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Dropbox\Research In Progress\Remotivi\Analisis Output\"/>
    </mc:Choice>
  </mc:AlternateContent>
  <bookViews>
    <workbookView xWindow="0" yWindow="0" windowWidth="23040" windowHeight="8664" activeTab="2"/>
  </bookViews>
  <sheets>
    <sheet name="Coder 1" sheetId="1" r:id="rId1"/>
    <sheet name="Coder 2" sheetId="2" r:id="rId2"/>
    <sheet name="Coder 3" sheetId="3" r:id="rId3"/>
    <sheet name="Coder 4" sheetId="4" r:id="rId4"/>
    <sheet name="Coder 5" sheetId="5" r:id="rId5"/>
    <sheet name="Coder 6" sheetId="6" r:id="rId6"/>
    <sheet name="Data Pengganti" sheetId="7" r:id="rId7"/>
  </sheets>
  <definedNames>
    <definedName name="Z_0B48C2DC_E7D4_4DCC_ACB5_09BD4089ED05_.wvu.FilterData" localSheetId="0" hidden="1">'Coder 1'!$I$2:$I$501</definedName>
    <definedName name="Z_0B48C2DC_E7D4_4DCC_ACB5_09BD4089ED05_.wvu.FilterData" localSheetId="1" hidden="1">'Coder 2'!$N$1:$N$503</definedName>
    <definedName name="Z_0B48C2DC_E7D4_4DCC_ACB5_09BD4089ED05_.wvu.FilterData" localSheetId="2" hidden="1">'Coder 3'!#REF!</definedName>
    <definedName name="Z_0B48C2DC_E7D4_4DCC_ACB5_09BD4089ED05_.wvu.FilterData" localSheetId="3" hidden="1">'Coder 4'!$Y$1:$Y$509</definedName>
    <definedName name="Z_0B48C2DC_E7D4_4DCC_ACB5_09BD4089ED05_.wvu.FilterData" localSheetId="4" hidden="1">'Coder 5'!#REF!</definedName>
    <definedName name="Z_0B48C2DC_E7D4_4DCC_ACB5_09BD4089ED05_.wvu.FilterData" localSheetId="5" hidden="1">'Coder 6'!$I$1:$I$506</definedName>
    <definedName name="Z_17EFBF60_FA66_46DD_8C66_7DD74D543108_.wvu.FilterData" localSheetId="0" hidden="1">'Coder 1'!$O$1:$O$501</definedName>
    <definedName name="Z_17EFBF60_FA66_46DD_8C66_7DD74D543108_.wvu.FilterData" localSheetId="1" hidden="1">'Coder 2'!$S$1:$S$503</definedName>
    <definedName name="Z_17EFBF60_FA66_46DD_8C66_7DD74D543108_.wvu.FilterData" localSheetId="2" hidden="1">'Coder 3'!$A$2:$A$496</definedName>
    <definedName name="Z_17EFBF60_FA66_46DD_8C66_7DD74D543108_.wvu.FilterData" localSheetId="3" hidden="1">'Coder 4'!$K$1:$K$509</definedName>
    <definedName name="Z_17EFBF60_FA66_46DD_8C66_7DD74D543108_.wvu.FilterData" localSheetId="4" hidden="1">'Coder 5'!$I$2:$I$503</definedName>
    <definedName name="Z_17EFBF60_FA66_46DD_8C66_7DD74D543108_.wvu.FilterData" localSheetId="5" hidden="1">'Coder 6'!$A$1:$A$506</definedName>
    <definedName name="Z_20CAB334_E8B9_4848_AC8F_2E0A8DBFE604_.wvu.FilterData" localSheetId="0" hidden="1">'Coder 1'!$K$1:$K$501</definedName>
    <definedName name="Z_20CAB334_E8B9_4848_AC8F_2E0A8DBFE604_.wvu.FilterData" localSheetId="2" hidden="1">'Coder 3'!$K$2:$K$496</definedName>
    <definedName name="Z_20CAB334_E8B9_4848_AC8F_2E0A8DBFE604_.wvu.FilterData" localSheetId="3" hidden="1">'Coder 4'!$S$1:$S$509</definedName>
    <definedName name="Z_20CAB334_E8B9_4848_AC8F_2E0A8DBFE604_.wvu.FilterData" localSheetId="4" hidden="1">'Coder 5'!$N$1:$N$503</definedName>
    <definedName name="Z_20CAB334_E8B9_4848_AC8F_2E0A8DBFE604_.wvu.FilterData" localSheetId="5" hidden="1">'Coder 6'!$N$1:$N$506</definedName>
    <definedName name="Z_62CFFA2F_2CDE_4159_80E8_0067D9460027_.wvu.FilterData" localSheetId="0" hidden="1">'Coder 1'!$N$1:$N$501</definedName>
    <definedName name="Z_62CFFA2F_2CDE_4159_80E8_0067D9460027_.wvu.FilterData" localSheetId="1" hidden="1">'Coder 2'!$P$1:$P$503</definedName>
    <definedName name="Z_62CFFA2F_2CDE_4159_80E8_0067D9460027_.wvu.FilterData" localSheetId="2" hidden="1">'Coder 3'!$I$2:$I$496</definedName>
    <definedName name="Z_62CFFA2F_2CDE_4159_80E8_0067D9460027_.wvu.FilterData" localSheetId="3" hidden="1">'Coder 4'!#REF!</definedName>
    <definedName name="Z_62CFFA2F_2CDE_4159_80E8_0067D9460027_.wvu.FilterData" localSheetId="4" hidden="1">'Coder 5'!#REF!</definedName>
    <definedName name="Z_62CFFA2F_2CDE_4159_80E8_0067D9460027_.wvu.FilterData" localSheetId="5" hidden="1">'Coder 6'!$I$1:$I$506</definedName>
    <definedName name="Z_66348944_9FC2_49D4_937A_1A6FEBFF4639_.wvu.FilterData" localSheetId="0" hidden="1">'Coder 1'!$A$2:$A$501</definedName>
    <definedName name="Z_66348944_9FC2_49D4_937A_1A6FEBFF4639_.wvu.FilterData" localSheetId="1" hidden="1">'Coder 2'!$K$1:$K$503</definedName>
    <definedName name="Z_66348944_9FC2_49D4_937A_1A6FEBFF4639_.wvu.FilterData" localSheetId="2" hidden="1">'Coder 3'!$P$2:$P$492</definedName>
    <definedName name="Z_66348944_9FC2_49D4_937A_1A6FEBFF4639_.wvu.FilterData" localSheetId="3" hidden="1">'Coder 4'!$A$1:$A$509</definedName>
    <definedName name="Z_66348944_9FC2_49D4_937A_1A6FEBFF4639_.wvu.FilterData" localSheetId="4" hidden="1">'Coder 5'!$I$2:$I$503</definedName>
    <definedName name="Z_66348944_9FC2_49D4_937A_1A6FEBFF4639_.wvu.FilterData" localSheetId="5" hidden="1">'Coder 6'!$P$1:$P$506</definedName>
    <definedName name="Z_73395ED9_AE98_48BE_901B_FBF6E91AA159_.wvu.FilterData" localSheetId="0" hidden="1">'Coder 1'!$U$1:$U$501</definedName>
    <definedName name="Z_73395ED9_AE98_48BE_901B_FBF6E91AA159_.wvu.FilterData" localSheetId="2" hidden="1">'Coder 3'!$U$1:$U$496</definedName>
    <definedName name="Z_73395ED9_AE98_48BE_901B_FBF6E91AA159_.wvu.FilterData" localSheetId="5" hidden="1">'Coder 6'!$O$1:$O$506</definedName>
    <definedName name="Z_7A661D72_FC41_4646_AEAF_00CD193B6D95_.wvu.FilterData" localSheetId="0" hidden="1">'Coder 1'!$P$2:$P$501</definedName>
    <definedName name="Z_7A661D72_FC41_4646_AEAF_00CD193B6D95_.wvu.FilterData" localSheetId="1" hidden="1">'Coder 2'!$A$1:$A$503</definedName>
    <definedName name="Z_7A661D72_FC41_4646_AEAF_00CD193B6D95_.wvu.FilterData" localSheetId="2" hidden="1">'Coder 3'!$N$2:$N$492</definedName>
    <definedName name="Z_7A661D72_FC41_4646_AEAF_00CD193B6D95_.wvu.FilterData" localSheetId="3" hidden="1">'Coder 4'!$P$1:$P$509</definedName>
    <definedName name="Z_7A661D72_FC41_4646_AEAF_00CD193B6D95_.wvu.FilterData" localSheetId="4" hidden="1">'Coder 5'!$I$2:$I$503</definedName>
    <definedName name="Z_7A661D72_FC41_4646_AEAF_00CD193B6D95_.wvu.FilterData" localSheetId="5" hidden="1">'Coder 6'!$N$1:$N$506</definedName>
    <definedName name="Z_95107451_AD48_4E36_95D5_D44A7511BFD9_.wvu.FilterData" localSheetId="0" hidden="1">'Coder 1'!$S$1:$S$501</definedName>
    <definedName name="Z_95107451_AD48_4E36_95D5_D44A7511BFD9_.wvu.FilterData" localSheetId="2" hidden="1">'Coder 3'!$S$2:$S$496</definedName>
    <definedName name="Z_95107451_AD48_4E36_95D5_D44A7511BFD9_.wvu.FilterData" localSheetId="4" hidden="1">'Coder 5'!$P$2:$P$503</definedName>
    <definedName name="Z_95107451_AD48_4E36_95D5_D44A7511BFD9_.wvu.FilterData" localSheetId="5" hidden="1">'Coder 6'!$O$1:$O$506</definedName>
    <definedName name="Z_B69A7256_2244_4A5A_98B8_5882F2FF8700_.wvu.FilterData" localSheetId="0" hidden="1">'Coder 1'!$M$1:$M$501</definedName>
    <definedName name="Z_B69A7256_2244_4A5A_98B8_5882F2FF8700_.wvu.FilterData" localSheetId="2" hidden="1">'Coder 3'!$M$1:$M$496</definedName>
    <definedName name="Z_B69A7256_2244_4A5A_98B8_5882F2FF8700_.wvu.FilterData" localSheetId="4" hidden="1">'Coder 5'!$K$1:$K$503</definedName>
    <definedName name="Z_B69A7256_2244_4A5A_98B8_5882F2FF8700_.wvu.FilterData" localSheetId="5" hidden="1">'Coder 6'!$L$1:$L$506</definedName>
    <definedName name="Z_C0FD2F62_3ADA_4E44_ABC2_10E955012945_.wvu.FilterData" localSheetId="0" hidden="1">'Coder 1'!$L$1:$L$501</definedName>
    <definedName name="Z_C0FD2F62_3ADA_4E44_ABC2_10E955012945_.wvu.FilterData" localSheetId="2" hidden="1">'Coder 3'!$L$1:$L$496</definedName>
    <definedName name="Z_C0FD2F62_3ADA_4E44_ABC2_10E955012945_.wvu.FilterData" localSheetId="4" hidden="1">'Coder 5'!$O$17:$O$503</definedName>
    <definedName name="Z_C0FD2F62_3ADA_4E44_ABC2_10E955012945_.wvu.FilterData" localSheetId="5" hidden="1">'Coder 6'!$S$1:$S$506</definedName>
    <definedName name="Z_D0A54268_7389_43AB_A5BA_78B6DAB825D3_.wvu.FilterData" localSheetId="0" hidden="1">'Coder 1'!$Q$1:$Q$501</definedName>
    <definedName name="Z_D0A54268_7389_43AB_A5BA_78B6DAB825D3_.wvu.FilterData" localSheetId="2" hidden="1">'Coder 3'!$A$1:$A$496</definedName>
    <definedName name="Z_D0A54268_7389_43AB_A5BA_78B6DAB825D3_.wvu.FilterData" localSheetId="4" hidden="1">'Coder 5'!$A$1:$A$503</definedName>
    <definedName name="Z_D0A54268_7389_43AB_A5BA_78B6DAB825D3_.wvu.FilterData" localSheetId="5" hidden="1">'Coder 6'!$K$1:$K$506</definedName>
    <definedName name="Z_E0B68C8C_9E59_4D09_A796_DABAD0F2C26F_.wvu.FilterData" localSheetId="0" hidden="1">'Coder 1'!$O$1:$O$501</definedName>
    <definedName name="Z_E0B68C8C_9E59_4D09_A796_DABAD0F2C26F_.wvu.FilterData" localSheetId="2" hidden="1">'Coder 3'!$O$1:$O$496</definedName>
    <definedName name="Z_E0B68C8C_9E59_4D09_A796_DABAD0F2C26F_.wvu.FilterData" localSheetId="4" hidden="1">'Coder 5'!$S$1:$S$503</definedName>
    <definedName name="Z_E0B68C8C_9E59_4D09_A796_DABAD0F2C26F_.wvu.FilterData" localSheetId="5" hidden="1">'Coder 6'!$M$1:$M$506</definedName>
    <definedName name="Z_E3B16FF4_157A_41A8_880D_5DDB83361892_.wvu.FilterData" localSheetId="0" hidden="1">'Coder 1'!#REF!</definedName>
    <definedName name="Z_E3B16FF4_157A_41A8_880D_5DDB83361892_.wvu.FilterData" localSheetId="1" hidden="1">'Coder 2'!$I$1:$I$503</definedName>
    <definedName name="Z_E3B16FF4_157A_41A8_880D_5DDB83361892_.wvu.FilterData" localSheetId="2" hidden="1">'Coder 3'!$Y$1:$Y$496</definedName>
    <definedName name="Z_E3B16FF4_157A_41A8_880D_5DDB83361892_.wvu.FilterData" localSheetId="3" hidden="1">'Coder 4'!$Y$8</definedName>
    <definedName name="Z_E3B16FF4_157A_41A8_880D_5DDB83361892_.wvu.FilterData" localSheetId="4" hidden="1">'Coder 5'!#REF!</definedName>
    <definedName name="Z_E3B16FF4_157A_41A8_880D_5DDB83361892_.wvu.FilterData" localSheetId="5" hidden="1">'Coder 6'!#REF!</definedName>
    <definedName name="Z_E3B16FF4_157A_41A8_880D_5DDB83361892_.wvu.FilterData" localSheetId="6" hidden="1">'Data Pengganti'!$A$1:$A$304</definedName>
    <definedName name="Z_E86185C4_4744_4607_8BAA_B6F1F3EDD783_.wvu.FilterData" localSheetId="5" hidden="1">'Coder 6'!$U$1:$U$506</definedName>
  </definedNames>
  <calcPr calcId="152511"/>
  <customWorkbookViews>
    <customWorkbookView name="Filter 11" guid="{B69A7256-2244-4A5A-98B8-5882F2FF8700}" maximized="1" windowWidth="0" windowHeight="0" activeSheetId="0"/>
    <customWorkbookView name="Filter 12" guid="{E0B68C8C-9E59-4D09-A796-DABAD0F2C26F}" maximized="1" windowWidth="0" windowHeight="0" activeSheetId="0"/>
    <customWorkbookView name="Filter 13" guid="{73395ED9-AE98-48BE-901B-FBF6E91AA159}" maximized="1" windowWidth="0" windowHeight="0" activeSheetId="0"/>
    <customWorkbookView name="Filter 14" guid="{E86185C4-4744-4607-8BAA-B6F1F3EDD783}" maximized="1" windowWidth="0" windowHeight="0" activeSheetId="0"/>
    <customWorkbookView name="Filter 8" guid="{95107451-AD48-4E36-95D5-D44A7511BFD9}" maximized="1" windowWidth="0" windowHeight="0" activeSheetId="0"/>
    <customWorkbookView name="Filter 10" guid="{C0FD2F62-3ADA-4E44-ABC2-10E955012945}" maximized="1" windowWidth="0" windowHeight="0" activeSheetId="0"/>
    <customWorkbookView name="Filter 9" guid="{D0A54268-7389-43AB-A5BA-78B6DAB825D3}" maximized="1" windowWidth="0" windowHeight="0" activeSheetId="0"/>
    <customWorkbookView name="Filter 6" guid="{17EFBF60-FA66-46DD-8C66-7DD74D543108}" maximized="1" windowWidth="0" windowHeight="0" activeSheetId="0"/>
    <customWorkbookView name="Filter 7" guid="{20CAB334-E8B9-4848-AC8F-2E0A8DBFE604}" maximized="1" windowWidth="0" windowHeight="0" activeSheetId="0"/>
    <customWorkbookView name="Filter 4" guid="{7A661D72-FC41-4646-AEAF-00CD193B6D95}" maximized="1" windowWidth="0" windowHeight="0" activeSheetId="0"/>
    <customWorkbookView name="Filter 5" guid="{66348944-9FC2-49D4-937A-1A6FEBFF4639}" maximized="1" windowWidth="0" windowHeight="0" activeSheetId="0"/>
    <customWorkbookView name="Filter 2" guid="{0B48C2DC-E7D4-4DCC-ACB5-09BD4089ED05}" maximized="1" windowWidth="0" windowHeight="0" activeSheetId="0"/>
    <customWorkbookView name="Filter 3" guid="{62CFFA2F-2CDE-4159-80E8-0067D9460027}" maximized="1" windowWidth="0" windowHeight="0" activeSheetId="0"/>
    <customWorkbookView name="Filter 1" guid="{E3B16FF4-157A-41A8-880D-5DDB83361892}" maximized="1" windowWidth="0" windowHeight="0" activeSheetId="0"/>
  </customWorkbookViews>
</workbook>
</file>

<file path=xl/calcChain.xml><?xml version="1.0" encoding="utf-8"?>
<calcChain xmlns="http://schemas.openxmlformats.org/spreadsheetml/2006/main">
  <c r="F506" i="6" l="1"/>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H261" i="6"/>
  <c r="F261" i="6"/>
  <c r="F260" i="6"/>
  <c r="F259" i="6"/>
  <c r="F258" i="6"/>
  <c r="F257" i="6"/>
  <c r="F256" i="6"/>
  <c r="F255"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0" i="6"/>
  <c r="G9" i="6"/>
  <c r="F9" i="6"/>
  <c r="F8" i="6"/>
  <c r="F7" i="6"/>
  <c r="G6" i="6"/>
  <c r="F6" i="6"/>
  <c r="G5" i="6"/>
  <c r="F5" i="6"/>
  <c r="F4" i="6"/>
  <c r="F3" i="6"/>
  <c r="G2" i="6"/>
  <c r="F2" i="6"/>
  <c r="F1" i="6"/>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F71" i="5"/>
  <c r="F70" i="5"/>
  <c r="F69" i="5"/>
  <c r="G68" i="5"/>
  <c r="F68" i="5"/>
  <c r="G67" i="5"/>
  <c r="F67" i="5"/>
  <c r="F66" i="5"/>
  <c r="F65" i="5"/>
  <c r="F64" i="5"/>
  <c r="F63" i="5"/>
  <c r="F62" i="5"/>
  <c r="F61" i="5"/>
  <c r="F60"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F3" i="5"/>
  <c r="G2" i="5"/>
  <c r="F2" i="5"/>
  <c r="F1" i="5"/>
  <c r="F509" i="4"/>
  <c r="F508" i="4"/>
  <c r="F507" i="4"/>
  <c r="F506" i="4"/>
  <c r="F505" i="4"/>
  <c r="F504" i="4"/>
  <c r="F503" i="4"/>
  <c r="F502" i="4"/>
  <c r="F501" i="4"/>
  <c r="F500" i="4"/>
  <c r="F499" i="4"/>
  <c r="F498" i="4"/>
  <c r="F497" i="4"/>
  <c r="F496" i="4"/>
  <c r="F495" i="4"/>
  <c r="F494" i="4"/>
  <c r="F493" i="4"/>
  <c r="F491" i="4"/>
  <c r="F490" i="4"/>
  <c r="F489" i="4"/>
  <c r="F488" i="4"/>
  <c r="F487" i="4"/>
  <c r="F486"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1" i="4"/>
  <c r="G496" i="3"/>
  <c r="F496" i="3"/>
  <c r="G495" i="3"/>
  <c r="F495" i="3"/>
  <c r="G494" i="3"/>
  <c r="F494" i="3"/>
  <c r="G493" i="3"/>
  <c r="F493" i="3"/>
  <c r="F492" i="3"/>
  <c r="F491" i="3"/>
  <c r="G490" i="3"/>
  <c r="F490" i="3"/>
  <c r="G489" i="3"/>
  <c r="F489" i="3"/>
  <c r="G488" i="3"/>
  <c r="F488" i="3"/>
  <c r="G487" i="3"/>
  <c r="F487" i="3"/>
  <c r="G486" i="3"/>
  <c r="F486" i="3"/>
  <c r="F485" i="3"/>
  <c r="G484" i="3"/>
  <c r="F484" i="3"/>
  <c r="G483" i="3"/>
  <c r="F483" i="3"/>
  <c r="F482" i="3"/>
  <c r="G481" i="3"/>
  <c r="F481" i="3"/>
  <c r="G480" i="3"/>
  <c r="F480" i="3"/>
  <c r="G479" i="3"/>
  <c r="F479" i="3"/>
  <c r="G478" i="3"/>
  <c r="F478" i="3"/>
  <c r="G477" i="3"/>
  <c r="F477" i="3"/>
  <c r="F476" i="3"/>
  <c r="G475" i="3"/>
  <c r="F475" i="3"/>
  <c r="G474" i="3"/>
  <c r="F474" i="3"/>
  <c r="G473" i="3"/>
  <c r="F473" i="3"/>
  <c r="G472" i="3"/>
  <c r="F472" i="3"/>
  <c r="G471" i="3"/>
  <c r="F471" i="3"/>
  <c r="G470" i="3"/>
  <c r="F470" i="3"/>
  <c r="F469" i="3"/>
  <c r="F468" i="3"/>
  <c r="F467" i="3"/>
  <c r="G466" i="3"/>
  <c r="F466" i="3"/>
  <c r="G465" i="3"/>
  <c r="F465" i="3"/>
  <c r="G464" i="3"/>
  <c r="F464" i="3"/>
  <c r="F463" i="3"/>
  <c r="F462" i="3"/>
  <c r="F461" i="3"/>
  <c r="G460" i="3"/>
  <c r="F460" i="3"/>
  <c r="F459" i="3"/>
  <c r="G458" i="3"/>
  <c r="F458" i="3"/>
  <c r="G457" i="3"/>
  <c r="F457" i="3"/>
  <c r="G456" i="3"/>
  <c r="F456" i="3"/>
  <c r="G455" i="3"/>
  <c r="F455" i="3"/>
  <c r="G454" i="3"/>
  <c r="F454" i="3"/>
  <c r="G453" i="3"/>
  <c r="F453" i="3"/>
  <c r="F452" i="3"/>
  <c r="G451" i="3"/>
  <c r="F451" i="3"/>
  <c r="G450" i="3"/>
  <c r="F450" i="3"/>
  <c r="G449" i="3"/>
  <c r="F449" i="3"/>
  <c r="G448" i="3"/>
  <c r="F448" i="3"/>
  <c r="G447" i="3"/>
  <c r="F447" i="3"/>
  <c r="F446" i="3"/>
  <c r="G445" i="3"/>
  <c r="F445" i="3"/>
  <c r="F444" i="3"/>
  <c r="F443" i="3"/>
  <c r="F442" i="3"/>
  <c r="G441" i="3"/>
  <c r="F441" i="3"/>
  <c r="G440" i="3"/>
  <c r="F440" i="3"/>
  <c r="F439" i="3"/>
  <c r="F438" i="3"/>
  <c r="G437" i="3"/>
  <c r="F437" i="3"/>
  <c r="F436" i="3"/>
  <c r="G435" i="3"/>
  <c r="F435" i="3"/>
  <c r="F434" i="3"/>
  <c r="F433" i="3"/>
  <c r="G432" i="3"/>
  <c r="F432" i="3"/>
  <c r="G431" i="3"/>
  <c r="F431" i="3"/>
  <c r="G430" i="3"/>
  <c r="F430" i="3"/>
  <c r="F429" i="3"/>
  <c r="F428" i="3"/>
  <c r="F427" i="3"/>
  <c r="F426" i="3"/>
  <c r="F425" i="3"/>
  <c r="G424" i="3"/>
  <c r="F424" i="3"/>
  <c r="F423" i="3"/>
  <c r="G422" i="3"/>
  <c r="F422" i="3"/>
  <c r="F421" i="3"/>
  <c r="G420" i="3"/>
  <c r="F420" i="3"/>
  <c r="F419" i="3"/>
  <c r="G418" i="3"/>
  <c r="F418" i="3"/>
  <c r="G417" i="3"/>
  <c r="F417" i="3"/>
  <c r="G416" i="3"/>
  <c r="F416" i="3"/>
  <c r="G415" i="3"/>
  <c r="F415" i="3"/>
  <c r="G414" i="3"/>
  <c r="F414" i="3"/>
  <c r="F413" i="3"/>
  <c r="G412" i="3"/>
  <c r="F412" i="3"/>
  <c r="G411" i="3"/>
  <c r="F411" i="3"/>
  <c r="F410" i="3"/>
  <c r="F409" i="3"/>
  <c r="G408" i="3"/>
  <c r="F408" i="3"/>
  <c r="F407" i="3"/>
  <c r="G406" i="3"/>
  <c r="F406" i="3"/>
  <c r="G405" i="3"/>
  <c r="F405" i="3"/>
  <c r="G404" i="3"/>
  <c r="F404" i="3"/>
  <c r="G403" i="3"/>
  <c r="F403" i="3"/>
  <c r="F402" i="3"/>
  <c r="G401" i="3"/>
  <c r="F401" i="3"/>
  <c r="F400" i="3"/>
  <c r="F399" i="3"/>
  <c r="G398" i="3"/>
  <c r="F398" i="3"/>
  <c r="F397" i="3"/>
  <c r="F396" i="3"/>
  <c r="F395" i="3"/>
  <c r="F394" i="3"/>
  <c r="F393" i="3"/>
  <c r="F392" i="3"/>
  <c r="F391" i="3"/>
  <c r="G390" i="3"/>
  <c r="F390" i="3"/>
  <c r="F389" i="3"/>
  <c r="G388" i="3"/>
  <c r="F388" i="3"/>
  <c r="G387" i="3"/>
  <c r="F387" i="3"/>
  <c r="G386" i="3"/>
  <c r="F386" i="3"/>
  <c r="G385" i="3"/>
  <c r="F385" i="3"/>
  <c r="G384" i="3"/>
  <c r="F384" i="3"/>
  <c r="G383" i="3"/>
  <c r="F383" i="3"/>
  <c r="G382" i="3"/>
  <c r="F382" i="3"/>
  <c r="G381" i="3"/>
  <c r="F381" i="3"/>
  <c r="G380" i="3"/>
  <c r="F380" i="3"/>
  <c r="G379" i="3"/>
  <c r="F379" i="3"/>
  <c r="G378" i="3"/>
  <c r="F378" i="3"/>
  <c r="G377" i="3"/>
  <c r="F377" i="3"/>
  <c r="G376" i="3"/>
  <c r="F376" i="3"/>
  <c r="G375" i="3"/>
  <c r="F375" i="3"/>
  <c r="G374" i="3"/>
  <c r="F374" i="3"/>
  <c r="G373" i="3"/>
  <c r="F373" i="3"/>
  <c r="G372" i="3"/>
  <c r="F372" i="3"/>
  <c r="G371" i="3"/>
  <c r="F371" i="3"/>
  <c r="G370" i="3"/>
  <c r="F370" i="3"/>
  <c r="G369" i="3"/>
  <c r="F369" i="3"/>
  <c r="G368" i="3"/>
  <c r="F368" i="3"/>
  <c r="G367" i="3"/>
  <c r="F367" i="3"/>
  <c r="G366" i="3"/>
  <c r="F366" i="3"/>
  <c r="G365" i="3"/>
  <c r="F365" i="3"/>
  <c r="G364" i="3"/>
  <c r="F364" i="3"/>
  <c r="G363" i="3"/>
  <c r="F363" i="3"/>
  <c r="G362" i="3"/>
  <c r="F362" i="3"/>
  <c r="G361" i="3"/>
  <c r="F361" i="3"/>
  <c r="G360" i="3"/>
  <c r="F360" i="3"/>
  <c r="G359" i="3"/>
  <c r="F359" i="3"/>
  <c r="G358" i="3"/>
  <c r="F358" i="3"/>
  <c r="G357" i="3"/>
  <c r="F357" i="3"/>
  <c r="G356" i="3"/>
  <c r="F356" i="3"/>
  <c r="G355" i="3"/>
  <c r="F355" i="3"/>
  <c r="G354" i="3"/>
  <c r="F354" i="3"/>
  <c r="G353" i="3"/>
  <c r="F353" i="3"/>
  <c r="G352" i="3"/>
  <c r="F352" i="3"/>
  <c r="G351" i="3"/>
  <c r="F351" i="3"/>
  <c r="G350" i="3"/>
  <c r="F350" i="3"/>
  <c r="G349" i="3"/>
  <c r="F349" i="3"/>
  <c r="G348" i="3"/>
  <c r="F348" i="3"/>
  <c r="G347" i="3"/>
  <c r="F347" i="3"/>
  <c r="G346" i="3"/>
  <c r="F346" i="3"/>
  <c r="G345" i="3"/>
  <c r="F345" i="3"/>
  <c r="G344" i="3"/>
  <c r="F344" i="3"/>
  <c r="G343" i="3"/>
  <c r="F343" i="3"/>
  <c r="G342" i="3"/>
  <c r="F342" i="3"/>
  <c r="G341" i="3"/>
  <c r="F341" i="3"/>
  <c r="G340" i="3"/>
  <c r="F340" i="3"/>
  <c r="G339" i="3"/>
  <c r="F339" i="3"/>
  <c r="G338" i="3"/>
  <c r="F338" i="3"/>
  <c r="G337" i="3"/>
  <c r="F337" i="3"/>
  <c r="G336" i="3"/>
  <c r="F336" i="3"/>
  <c r="G335" i="3"/>
  <c r="F335" i="3"/>
  <c r="G334" i="3"/>
  <c r="F334" i="3"/>
  <c r="G333" i="3"/>
  <c r="F333" i="3"/>
  <c r="G332" i="3"/>
  <c r="F332" i="3"/>
  <c r="G331" i="3"/>
  <c r="F331" i="3"/>
  <c r="G330" i="3"/>
  <c r="F330" i="3"/>
  <c r="G329" i="3"/>
  <c r="F329" i="3"/>
  <c r="G328" i="3"/>
  <c r="F328" i="3"/>
  <c r="G327" i="3"/>
  <c r="F327" i="3"/>
  <c r="G326" i="3"/>
  <c r="F326" i="3"/>
  <c r="G325" i="3"/>
  <c r="F325" i="3"/>
  <c r="G324" i="3"/>
  <c r="F324" i="3"/>
  <c r="G323" i="3"/>
  <c r="F323" i="3"/>
  <c r="G322" i="3"/>
  <c r="F322" i="3"/>
  <c r="G321" i="3"/>
  <c r="F321" i="3"/>
  <c r="G320" i="3"/>
  <c r="F320" i="3"/>
  <c r="G319" i="3"/>
  <c r="F319" i="3"/>
  <c r="G318" i="3"/>
  <c r="F318" i="3"/>
  <c r="G317" i="3"/>
  <c r="F317" i="3"/>
  <c r="G316" i="3"/>
  <c r="F316" i="3"/>
  <c r="G315" i="3"/>
  <c r="F315" i="3"/>
  <c r="G314" i="3"/>
  <c r="F314" i="3"/>
  <c r="G313" i="3"/>
  <c r="F313" i="3"/>
  <c r="G312" i="3"/>
  <c r="F312" i="3"/>
  <c r="G311" i="3"/>
  <c r="F311" i="3"/>
  <c r="G310" i="3"/>
  <c r="F310" i="3"/>
  <c r="G309" i="3"/>
  <c r="F309" i="3"/>
  <c r="G308" i="3"/>
  <c r="F308" i="3"/>
  <c r="G307" i="3"/>
  <c r="F307" i="3"/>
  <c r="G306" i="3"/>
  <c r="F306" i="3"/>
  <c r="G305" i="3"/>
  <c r="F305" i="3"/>
  <c r="G304" i="3"/>
  <c r="F304" i="3"/>
  <c r="G303" i="3"/>
  <c r="F303" i="3"/>
  <c r="G302" i="3"/>
  <c r="F302" i="3"/>
  <c r="G301" i="3"/>
  <c r="F301" i="3"/>
  <c r="G300" i="3"/>
  <c r="F300" i="3"/>
  <c r="G299" i="3"/>
  <c r="F299" i="3"/>
  <c r="G298" i="3"/>
  <c r="F298" i="3"/>
  <c r="G297" i="3"/>
  <c r="F297" i="3"/>
  <c r="G296" i="3"/>
  <c r="F296" i="3"/>
  <c r="G295" i="3"/>
  <c r="F295" i="3"/>
  <c r="G294" i="3"/>
  <c r="F294" i="3"/>
  <c r="G293" i="3"/>
  <c r="F293" i="3"/>
  <c r="G292" i="3"/>
  <c r="F292" i="3"/>
  <c r="G291" i="3"/>
  <c r="F291" i="3"/>
  <c r="G290" i="3"/>
  <c r="F290" i="3"/>
  <c r="G289" i="3"/>
  <c r="F289" i="3"/>
  <c r="G288" i="3"/>
  <c r="F288" i="3"/>
  <c r="G287" i="3"/>
  <c r="F287" i="3"/>
  <c r="G286" i="3"/>
  <c r="F286" i="3"/>
  <c r="G285" i="3"/>
  <c r="F285" i="3"/>
  <c r="G284" i="3"/>
  <c r="F284" i="3"/>
  <c r="G283" i="3"/>
  <c r="F283" i="3"/>
  <c r="G282" i="3"/>
  <c r="F282" i="3"/>
  <c r="G281" i="3"/>
  <c r="F281" i="3"/>
  <c r="G280" i="3"/>
  <c r="F280" i="3"/>
  <c r="G279" i="3"/>
  <c r="F279" i="3"/>
  <c r="G278" i="3"/>
  <c r="F278" i="3"/>
  <c r="G277" i="3"/>
  <c r="F277" i="3"/>
  <c r="G276" i="3"/>
  <c r="F276" i="3"/>
  <c r="G275" i="3"/>
  <c r="F275" i="3"/>
  <c r="G274" i="3"/>
  <c r="F274" i="3"/>
  <c r="G273" i="3"/>
  <c r="F273" i="3"/>
  <c r="G272" i="3"/>
  <c r="F272" i="3"/>
  <c r="G271" i="3"/>
  <c r="F271" i="3"/>
  <c r="G270" i="3"/>
  <c r="F270" i="3"/>
  <c r="G269" i="3"/>
  <c r="F269" i="3"/>
  <c r="G268" i="3"/>
  <c r="F268" i="3"/>
  <c r="G267" i="3"/>
  <c r="F267" i="3"/>
  <c r="G266" i="3"/>
  <c r="F266" i="3"/>
  <c r="G265" i="3"/>
  <c r="F265" i="3"/>
  <c r="G264" i="3"/>
  <c r="F264" i="3"/>
  <c r="G263" i="3"/>
  <c r="F263" i="3"/>
  <c r="G262" i="3"/>
  <c r="F262" i="3"/>
  <c r="G261" i="3"/>
  <c r="F261" i="3"/>
  <c r="G260" i="3"/>
  <c r="F260" i="3"/>
  <c r="G259" i="3"/>
  <c r="F259" i="3"/>
  <c r="G258" i="3"/>
  <c r="F258" i="3"/>
  <c r="G257" i="3"/>
  <c r="F257" i="3"/>
  <c r="G256" i="3"/>
  <c r="F256" i="3"/>
  <c r="G255" i="3"/>
  <c r="F255" i="3"/>
  <c r="G254" i="3"/>
  <c r="F254" i="3"/>
  <c r="G253" i="3"/>
  <c r="F253" i="3"/>
  <c r="G252" i="3"/>
  <c r="F252" i="3"/>
  <c r="G251" i="3"/>
  <c r="F251" i="3"/>
  <c r="G250" i="3"/>
  <c r="F250" i="3"/>
  <c r="G249" i="3"/>
  <c r="F249" i="3"/>
  <c r="G248" i="3"/>
  <c r="F248" i="3"/>
  <c r="G247" i="3"/>
  <c r="F247" i="3"/>
  <c r="G246" i="3"/>
  <c r="F246" i="3"/>
  <c r="G245" i="3"/>
  <c r="F245" i="3"/>
  <c r="G244" i="3"/>
  <c r="F244" i="3"/>
  <c r="G243" i="3"/>
  <c r="F243" i="3"/>
  <c r="G242" i="3"/>
  <c r="F242" i="3"/>
  <c r="G241" i="3"/>
  <c r="F241" i="3"/>
  <c r="G240" i="3"/>
  <c r="F240" i="3"/>
  <c r="G239" i="3"/>
  <c r="F239" i="3"/>
  <c r="G238" i="3"/>
  <c r="F238" i="3"/>
  <c r="G237" i="3"/>
  <c r="F237" i="3"/>
  <c r="G236" i="3"/>
  <c r="F236" i="3"/>
  <c r="G235" i="3"/>
  <c r="F235" i="3"/>
  <c r="G234" i="3"/>
  <c r="F234" i="3"/>
  <c r="G233" i="3"/>
  <c r="F233" i="3"/>
  <c r="G232" i="3"/>
  <c r="F232" i="3"/>
  <c r="G231" i="3"/>
  <c r="F231" i="3"/>
  <c r="G230" i="3"/>
  <c r="F230" i="3"/>
  <c r="G229" i="3"/>
  <c r="F229" i="3"/>
  <c r="G228" i="3"/>
  <c r="F228" i="3"/>
  <c r="G227" i="3"/>
  <c r="F227" i="3"/>
  <c r="G226" i="3"/>
  <c r="F226" i="3"/>
  <c r="G225" i="3"/>
  <c r="F225" i="3"/>
  <c r="G224" i="3"/>
  <c r="F224" i="3"/>
  <c r="G223" i="3"/>
  <c r="F223" i="3"/>
  <c r="G222" i="3"/>
  <c r="F222" i="3"/>
  <c r="G221" i="3"/>
  <c r="F221" i="3"/>
  <c r="G220" i="3"/>
  <c r="F220" i="3"/>
  <c r="G219" i="3"/>
  <c r="F219" i="3"/>
  <c r="G218" i="3"/>
  <c r="F218" i="3"/>
  <c r="G217" i="3"/>
  <c r="F217" i="3"/>
  <c r="G216" i="3"/>
  <c r="F216" i="3"/>
  <c r="G215" i="3"/>
  <c r="F215" i="3"/>
  <c r="G214" i="3"/>
  <c r="F214" i="3"/>
  <c r="G213" i="3"/>
  <c r="F213" i="3"/>
  <c r="G212" i="3"/>
  <c r="F212" i="3"/>
  <c r="G211" i="3"/>
  <c r="F211" i="3"/>
  <c r="G210" i="3"/>
  <c r="F210" i="3"/>
  <c r="G209" i="3"/>
  <c r="F209" i="3"/>
  <c r="G208" i="3"/>
  <c r="F208" i="3"/>
  <c r="G207" i="3"/>
  <c r="F207" i="3"/>
  <c r="G206" i="3"/>
  <c r="F206" i="3"/>
  <c r="G205" i="3"/>
  <c r="F205" i="3"/>
  <c r="G204" i="3"/>
  <c r="F204" i="3"/>
  <c r="G203" i="3"/>
  <c r="F203" i="3"/>
  <c r="G202" i="3"/>
  <c r="F202" i="3"/>
  <c r="G201" i="3"/>
  <c r="F201" i="3"/>
  <c r="G200" i="3"/>
  <c r="F200" i="3"/>
  <c r="G199" i="3"/>
  <c r="F199" i="3"/>
  <c r="G198" i="3"/>
  <c r="F198" i="3"/>
  <c r="G197" i="3"/>
  <c r="F197" i="3"/>
  <c r="G196" i="3"/>
  <c r="F196" i="3"/>
  <c r="G195" i="3"/>
  <c r="F195" i="3"/>
  <c r="G194" i="3"/>
  <c r="F194" i="3"/>
  <c r="G193" i="3"/>
  <c r="F193" i="3"/>
  <c r="G192" i="3"/>
  <c r="F192" i="3"/>
  <c r="G191" i="3"/>
  <c r="F191" i="3"/>
  <c r="G190" i="3"/>
  <c r="F190" i="3"/>
  <c r="G189" i="3"/>
  <c r="F189" i="3"/>
  <c r="G188" i="3"/>
  <c r="F188" i="3"/>
  <c r="G187" i="3"/>
  <c r="F187" i="3"/>
  <c r="G186" i="3"/>
  <c r="F186" i="3"/>
  <c r="G185" i="3"/>
  <c r="F185" i="3"/>
  <c r="G184" i="3"/>
  <c r="F184" i="3"/>
  <c r="G183" i="3"/>
  <c r="F183" i="3"/>
  <c r="G182" i="3"/>
  <c r="F182" i="3"/>
  <c r="G181" i="3"/>
  <c r="F181" i="3"/>
  <c r="G180" i="3"/>
  <c r="F180" i="3"/>
  <c r="G179" i="3"/>
  <c r="F179" i="3"/>
  <c r="G178" i="3"/>
  <c r="F178" i="3"/>
  <c r="G177" i="3"/>
  <c r="F177" i="3"/>
  <c r="G176" i="3"/>
  <c r="F176" i="3"/>
  <c r="G175" i="3"/>
  <c r="F175" i="3"/>
  <c r="G174" i="3"/>
  <c r="F174" i="3"/>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G1" i="3"/>
  <c r="F1" i="3"/>
  <c r="G503" i="2"/>
  <c r="F503" i="2"/>
  <c r="G502" i="2"/>
  <c r="F502" i="2"/>
  <c r="G501" i="2"/>
  <c r="F501" i="2"/>
  <c r="F500" i="2"/>
  <c r="G499" i="2"/>
  <c r="F499" i="2"/>
  <c r="G498" i="2"/>
  <c r="F498" i="2"/>
  <c r="G497" i="2"/>
  <c r="F497" i="2"/>
  <c r="G496" i="2"/>
  <c r="F496" i="2"/>
  <c r="G495" i="2"/>
  <c r="F495" i="2"/>
  <c r="G494" i="2"/>
  <c r="F494" i="2"/>
  <c r="G493" i="2"/>
  <c r="F493" i="2"/>
  <c r="G492" i="2"/>
  <c r="F492" i="2"/>
  <c r="G491" i="2"/>
  <c r="F491" i="2"/>
  <c r="G490" i="2"/>
  <c r="F490" i="2"/>
  <c r="F489" i="2"/>
  <c r="F488" i="2"/>
  <c r="G487" i="2"/>
  <c r="F487" i="2"/>
  <c r="G486" i="2"/>
  <c r="F486" i="2"/>
  <c r="G485" i="2"/>
  <c r="F485" i="2"/>
  <c r="G484" i="2"/>
  <c r="F484" i="2"/>
  <c r="G483" i="2"/>
  <c r="F483" i="2"/>
  <c r="G482" i="2"/>
  <c r="F482" i="2"/>
  <c r="G481" i="2"/>
  <c r="F481" i="2"/>
  <c r="G480" i="2"/>
  <c r="F480" i="2"/>
  <c r="F479" i="2"/>
  <c r="G478" i="2"/>
  <c r="F478" i="2"/>
  <c r="F477" i="2"/>
  <c r="G476" i="2"/>
  <c r="F476" i="2"/>
  <c r="G475" i="2"/>
  <c r="F475" i="2"/>
  <c r="G474" i="2"/>
  <c r="F474" i="2"/>
  <c r="G473" i="2"/>
  <c r="F473" i="2"/>
  <c r="G472" i="2"/>
  <c r="F472" i="2"/>
  <c r="G471" i="2"/>
  <c r="F471" i="2"/>
  <c r="G470" i="2"/>
  <c r="F470" i="2"/>
  <c r="F469" i="2"/>
  <c r="G468" i="2"/>
  <c r="F468" i="2"/>
  <c r="G467" i="2"/>
  <c r="F467" i="2"/>
  <c r="G466" i="2"/>
  <c r="F466" i="2"/>
  <c r="G465" i="2"/>
  <c r="F465" i="2"/>
  <c r="F464" i="2"/>
  <c r="G463" i="2"/>
  <c r="F463" i="2"/>
  <c r="F462" i="2"/>
  <c r="G461" i="2"/>
  <c r="F461" i="2"/>
  <c r="F460" i="2"/>
  <c r="G459" i="2"/>
  <c r="F459" i="2"/>
  <c r="F458" i="2"/>
  <c r="G457" i="2"/>
  <c r="F457" i="2"/>
  <c r="F456" i="2"/>
  <c r="F455" i="2"/>
  <c r="G454" i="2"/>
  <c r="F454" i="2"/>
  <c r="G453" i="2"/>
  <c r="F453" i="2"/>
  <c r="G452" i="2"/>
  <c r="F452" i="2"/>
  <c r="F451" i="2"/>
  <c r="G450" i="2"/>
  <c r="F450" i="2"/>
  <c r="G449" i="2"/>
  <c r="F449" i="2"/>
  <c r="G448" i="2"/>
  <c r="F448" i="2"/>
  <c r="G447" i="2"/>
  <c r="F447" i="2"/>
  <c r="G446" i="2"/>
  <c r="F446" i="2"/>
  <c r="G445" i="2"/>
  <c r="F445" i="2"/>
  <c r="F444" i="2"/>
  <c r="G443" i="2"/>
  <c r="F443" i="2"/>
  <c r="G442" i="2"/>
  <c r="F442" i="2"/>
  <c r="G441" i="2"/>
  <c r="F441" i="2"/>
  <c r="G440" i="2"/>
  <c r="F440" i="2"/>
  <c r="G439" i="2"/>
  <c r="F439" i="2"/>
  <c r="F438" i="2"/>
  <c r="G437" i="2"/>
  <c r="F437" i="2"/>
  <c r="G436" i="2"/>
  <c r="F436" i="2"/>
  <c r="G435" i="2"/>
  <c r="F435" i="2"/>
  <c r="G434" i="2"/>
  <c r="F434" i="2"/>
  <c r="F433" i="2"/>
  <c r="G432" i="2"/>
  <c r="F432" i="2"/>
  <c r="F431" i="2"/>
  <c r="F430" i="2"/>
  <c r="F429" i="2"/>
  <c r="G428" i="2"/>
  <c r="F428" i="2"/>
  <c r="G427" i="2"/>
  <c r="F427" i="2"/>
  <c r="G426" i="2"/>
  <c r="F426" i="2"/>
  <c r="G425" i="2"/>
  <c r="F425" i="2"/>
  <c r="F424" i="2"/>
  <c r="G423" i="2"/>
  <c r="F423" i="2"/>
  <c r="G422" i="2"/>
  <c r="F422" i="2"/>
  <c r="G421" i="2"/>
  <c r="F421" i="2"/>
  <c r="G420" i="2"/>
  <c r="F420" i="2"/>
  <c r="G419" i="2"/>
  <c r="F419" i="2"/>
  <c r="G418" i="2"/>
  <c r="F418" i="2"/>
  <c r="G417" i="2"/>
  <c r="F417" i="2"/>
  <c r="F416" i="2"/>
  <c r="G415" i="2"/>
  <c r="F415" i="2"/>
  <c r="F414" i="2"/>
  <c r="F413" i="2"/>
  <c r="F412" i="2"/>
  <c r="G411" i="2"/>
  <c r="F411" i="2"/>
  <c r="G410" i="2"/>
  <c r="F410" i="2"/>
  <c r="G409" i="2"/>
  <c r="F409" i="2"/>
  <c r="F408" i="2"/>
  <c r="G407" i="2"/>
  <c r="F407" i="2"/>
  <c r="F406" i="2"/>
  <c r="F405" i="2"/>
  <c r="G404" i="2"/>
  <c r="F404" i="2"/>
  <c r="G403" i="2"/>
  <c r="F403" i="2"/>
  <c r="F402" i="2"/>
  <c r="F401" i="2"/>
  <c r="G400" i="2"/>
  <c r="F400" i="2"/>
  <c r="G399" i="2"/>
  <c r="F399" i="2"/>
  <c r="F398" i="2"/>
  <c r="F397" i="2"/>
  <c r="F396" i="2"/>
  <c r="F395" i="2"/>
  <c r="F394" i="2"/>
  <c r="G393" i="2"/>
  <c r="F393" i="2"/>
  <c r="G392" i="2"/>
  <c r="F392" i="2"/>
  <c r="G391" i="2"/>
  <c r="F391" i="2"/>
  <c r="G390" i="2"/>
  <c r="F390" i="2"/>
  <c r="G389" i="2"/>
  <c r="F389" i="2"/>
  <c r="F388" i="2"/>
  <c r="G387" i="2"/>
  <c r="F387" i="2"/>
  <c r="G386" i="2"/>
  <c r="F386" i="2"/>
  <c r="F385" i="2"/>
  <c r="G384" i="2"/>
  <c r="F384" i="2"/>
  <c r="G383" i="2"/>
  <c r="F383" i="2"/>
  <c r="G382" i="2"/>
  <c r="F382" i="2"/>
  <c r="G381" i="2"/>
  <c r="F381" i="2"/>
  <c r="F380" i="2"/>
  <c r="G379" i="2"/>
  <c r="F379" i="2"/>
  <c r="G378" i="2"/>
  <c r="F378" i="2"/>
  <c r="G377" i="2"/>
  <c r="F377" i="2"/>
  <c r="G376" i="2"/>
  <c r="F376" i="2"/>
  <c r="G375" i="2"/>
  <c r="F375" i="2"/>
  <c r="F374" i="2"/>
  <c r="G373" i="2"/>
  <c r="F373" i="2"/>
  <c r="G372" i="2"/>
  <c r="F372" i="2"/>
  <c r="G371" i="2"/>
  <c r="F371" i="2"/>
  <c r="G370" i="2"/>
  <c r="F370" i="2"/>
  <c r="G369" i="2"/>
  <c r="F369" i="2"/>
  <c r="G368" i="2"/>
  <c r="F368" i="2"/>
  <c r="F367" i="2"/>
  <c r="G366" i="2"/>
  <c r="F366" i="2"/>
  <c r="G365" i="2"/>
  <c r="F365" i="2"/>
  <c r="G364" i="2"/>
  <c r="F364" i="2"/>
  <c r="G363" i="2"/>
  <c r="F363" i="2"/>
  <c r="G362" i="2"/>
  <c r="F362" i="2"/>
  <c r="G361" i="2"/>
  <c r="F361" i="2"/>
  <c r="G360" i="2"/>
  <c r="F360" i="2"/>
  <c r="G359" i="2"/>
  <c r="F359" i="2"/>
  <c r="G358" i="2"/>
  <c r="F358" i="2"/>
  <c r="G357" i="2"/>
  <c r="F357" i="2"/>
  <c r="G356" i="2"/>
  <c r="F356" i="2"/>
  <c r="G355" i="2"/>
  <c r="F355" i="2"/>
  <c r="G354" i="2"/>
  <c r="F354" i="2"/>
  <c r="G353" i="2"/>
  <c r="F353" i="2"/>
  <c r="G352" i="2"/>
  <c r="F352" i="2"/>
  <c r="G351" i="2"/>
  <c r="F351" i="2"/>
  <c r="G350" i="2"/>
  <c r="F350" i="2"/>
  <c r="G349" i="2"/>
  <c r="F349" i="2"/>
  <c r="G348" i="2"/>
  <c r="F348" i="2"/>
  <c r="G347" i="2"/>
  <c r="F347" i="2"/>
  <c r="G346" i="2"/>
  <c r="F346" i="2"/>
  <c r="G345" i="2"/>
  <c r="F345" i="2"/>
  <c r="F344" i="2"/>
  <c r="G343" i="2"/>
  <c r="F343" i="2"/>
  <c r="F342" i="2"/>
  <c r="G341" i="2"/>
  <c r="F341" i="2"/>
  <c r="G340" i="2"/>
  <c r="F340" i="2"/>
  <c r="G339" i="2"/>
  <c r="F339" i="2"/>
  <c r="G338" i="2"/>
  <c r="F338" i="2"/>
  <c r="F337" i="2"/>
  <c r="G336" i="2"/>
  <c r="F336" i="2"/>
  <c r="G335" i="2"/>
  <c r="F335" i="2"/>
  <c r="G334" i="2"/>
  <c r="F334" i="2"/>
  <c r="F333" i="2"/>
  <c r="G332" i="2"/>
  <c r="F332" i="2"/>
  <c r="G331" i="2"/>
  <c r="F331" i="2"/>
  <c r="G330" i="2"/>
  <c r="F330" i="2"/>
  <c r="G329" i="2"/>
  <c r="F329" i="2"/>
  <c r="G328" i="2"/>
  <c r="F328" i="2"/>
  <c r="G327" i="2"/>
  <c r="F327" i="2"/>
  <c r="G326" i="2"/>
  <c r="F326" i="2"/>
  <c r="G325" i="2"/>
  <c r="F325" i="2"/>
  <c r="G324" i="2"/>
  <c r="F324" i="2"/>
  <c r="G323" i="2"/>
  <c r="F323" i="2"/>
  <c r="G322" i="2"/>
  <c r="F322" i="2"/>
  <c r="F321" i="2"/>
  <c r="G320" i="2"/>
  <c r="F320" i="2"/>
  <c r="G319" i="2"/>
  <c r="F319" i="2"/>
  <c r="F318" i="2"/>
  <c r="G317" i="2"/>
  <c r="F317" i="2"/>
  <c r="G316" i="2"/>
  <c r="F316" i="2"/>
  <c r="G315" i="2"/>
  <c r="F315" i="2"/>
  <c r="F314" i="2"/>
  <c r="G313" i="2"/>
  <c r="F313" i="2"/>
  <c r="G312" i="2"/>
  <c r="F312" i="2"/>
  <c r="G311" i="2"/>
  <c r="F311" i="2"/>
  <c r="G310" i="2"/>
  <c r="F310" i="2"/>
  <c r="F309" i="2"/>
  <c r="G308" i="2"/>
  <c r="F308" i="2"/>
  <c r="G307" i="2"/>
  <c r="F307" i="2"/>
  <c r="F306" i="2"/>
  <c r="G305" i="2"/>
  <c r="F305" i="2"/>
  <c r="G304" i="2"/>
  <c r="F304" i="2"/>
  <c r="F303" i="2"/>
  <c r="G302" i="2"/>
  <c r="F302" i="2"/>
  <c r="G301" i="2"/>
  <c r="F301" i="2"/>
  <c r="G300" i="2"/>
  <c r="F300" i="2"/>
  <c r="G299" i="2"/>
  <c r="F299" i="2"/>
  <c r="G298" i="2"/>
  <c r="F298" i="2"/>
  <c r="G297" i="2"/>
  <c r="F297" i="2"/>
  <c r="G296" i="2"/>
  <c r="F296" i="2"/>
  <c r="G295" i="2"/>
  <c r="F295" i="2"/>
  <c r="G294" i="2"/>
  <c r="F294" i="2"/>
  <c r="G293" i="2"/>
  <c r="F293" i="2"/>
  <c r="G292" i="2"/>
  <c r="F292" i="2"/>
  <c r="G291" i="2"/>
  <c r="F291" i="2"/>
  <c r="G290" i="2"/>
  <c r="F290" i="2"/>
  <c r="G289" i="2"/>
  <c r="F289" i="2"/>
  <c r="G288" i="2"/>
  <c r="F288" i="2"/>
  <c r="G287" i="2"/>
  <c r="F287" i="2"/>
  <c r="G286" i="2"/>
  <c r="F286" i="2"/>
  <c r="F285" i="2"/>
  <c r="F284" i="2"/>
  <c r="G283" i="2"/>
  <c r="F283" i="2"/>
  <c r="G282" i="2"/>
  <c r="F282" i="2"/>
  <c r="G281" i="2"/>
  <c r="F281" i="2"/>
  <c r="G280" i="2"/>
  <c r="F280" i="2"/>
  <c r="F279" i="2"/>
  <c r="G278" i="2"/>
  <c r="F278" i="2"/>
  <c r="G277" i="2"/>
  <c r="F277" i="2"/>
  <c r="G276" i="2"/>
  <c r="F276" i="2"/>
  <c r="F275" i="2"/>
  <c r="G274" i="2"/>
  <c r="F274" i="2"/>
  <c r="G273" i="2"/>
  <c r="F273" i="2"/>
  <c r="G272" i="2"/>
  <c r="F272" i="2"/>
  <c r="G271" i="2"/>
  <c r="F271" i="2"/>
  <c r="F270" i="2"/>
  <c r="F269" i="2"/>
  <c r="G268" i="2"/>
  <c r="F268" i="2"/>
  <c r="G267" i="2"/>
  <c r="F267" i="2"/>
  <c r="G266" i="2"/>
  <c r="F266" i="2"/>
  <c r="G265" i="2"/>
  <c r="F265" i="2"/>
  <c r="G264" i="2"/>
  <c r="F264" i="2"/>
  <c r="G263" i="2"/>
  <c r="F263" i="2"/>
  <c r="G262" i="2"/>
  <c r="F262" i="2"/>
  <c r="G261" i="2"/>
  <c r="F261" i="2"/>
  <c r="G260" i="2"/>
  <c r="F260" i="2"/>
  <c r="G259" i="2"/>
  <c r="F259" i="2"/>
  <c r="G258" i="2"/>
  <c r="F258" i="2"/>
  <c r="G257" i="2"/>
  <c r="F257" i="2"/>
  <c r="G256" i="2"/>
  <c r="F256" i="2"/>
  <c r="G255" i="2"/>
  <c r="F255" i="2"/>
  <c r="F254" i="2"/>
  <c r="F253" i="2"/>
  <c r="G252" i="2"/>
  <c r="F252" i="2"/>
  <c r="G251" i="2"/>
  <c r="F251" i="2"/>
  <c r="G250" i="2"/>
  <c r="F250" i="2"/>
  <c r="G249" i="2"/>
  <c r="F249" i="2"/>
  <c r="G248" i="2"/>
  <c r="F248" i="2"/>
  <c r="G247" i="2"/>
  <c r="F247" i="2"/>
  <c r="G246" i="2"/>
  <c r="F246" i="2"/>
  <c r="G245" i="2"/>
  <c r="F245" i="2"/>
  <c r="F244" i="2"/>
  <c r="G243" i="2"/>
  <c r="F243" i="2"/>
  <c r="G242" i="2"/>
  <c r="F242" i="2"/>
  <c r="G241" i="2"/>
  <c r="F241" i="2"/>
  <c r="F240" i="2"/>
  <c r="G239" i="2"/>
  <c r="F239" i="2"/>
  <c r="G238" i="2"/>
  <c r="F238" i="2"/>
  <c r="G237" i="2"/>
  <c r="F237" i="2"/>
  <c r="G236" i="2"/>
  <c r="F236" i="2"/>
  <c r="G235" i="2"/>
  <c r="F235" i="2"/>
  <c r="G234" i="2"/>
  <c r="F234" i="2"/>
  <c r="G233" i="2"/>
  <c r="F233" i="2"/>
  <c r="G232" i="2"/>
  <c r="F232" i="2"/>
  <c r="G231" i="2"/>
  <c r="F231" i="2"/>
  <c r="G230" i="2"/>
  <c r="F230" i="2"/>
  <c r="G229" i="2"/>
  <c r="F229" i="2"/>
  <c r="G228" i="2"/>
  <c r="F228" i="2"/>
  <c r="G227" i="2"/>
  <c r="F227" i="2"/>
  <c r="G226" i="2"/>
  <c r="F226" i="2"/>
  <c r="G225" i="2"/>
  <c r="F225" i="2"/>
  <c r="G224" i="2"/>
  <c r="F224" i="2"/>
  <c r="G223" i="2"/>
  <c r="F223" i="2"/>
  <c r="G222" i="2"/>
  <c r="F222" i="2"/>
  <c r="G221" i="2"/>
  <c r="F221" i="2"/>
  <c r="G220" i="2"/>
  <c r="F220" i="2"/>
  <c r="G219" i="2"/>
  <c r="F219" i="2"/>
  <c r="G218" i="2"/>
  <c r="F218" i="2"/>
  <c r="G217" i="2"/>
  <c r="F217" i="2"/>
  <c r="G216" i="2"/>
  <c r="F216" i="2"/>
  <c r="G215" i="2"/>
  <c r="F215" i="2"/>
  <c r="G214" i="2"/>
  <c r="F214" i="2"/>
  <c r="G213" i="2"/>
  <c r="F213" i="2"/>
  <c r="G212" i="2"/>
  <c r="F212" i="2"/>
  <c r="G211" i="2"/>
  <c r="F211" i="2"/>
  <c r="F210" i="2"/>
  <c r="F209" i="2"/>
  <c r="G208" i="2"/>
  <c r="F208" i="2"/>
  <c r="G207" i="2"/>
  <c r="F207" i="2"/>
  <c r="G206" i="2"/>
  <c r="F206" i="2"/>
  <c r="G205" i="2"/>
  <c r="F205" i="2"/>
  <c r="G204" i="2"/>
  <c r="F204" i="2"/>
  <c r="F203" i="2"/>
  <c r="G202" i="2"/>
  <c r="F202" i="2"/>
  <c r="G201" i="2"/>
  <c r="F201" i="2"/>
  <c r="G200" i="2"/>
  <c r="F200" i="2"/>
  <c r="G199" i="2"/>
  <c r="F199" i="2"/>
  <c r="G198" i="2"/>
  <c r="F198" i="2"/>
  <c r="G197" i="2"/>
  <c r="F197" i="2"/>
  <c r="G196" i="2"/>
  <c r="F196" i="2"/>
  <c r="G195" i="2"/>
  <c r="F195" i="2"/>
  <c r="G194" i="2"/>
  <c r="F194" i="2"/>
  <c r="G193" i="2"/>
  <c r="F193" i="2"/>
  <c r="G192" i="2"/>
  <c r="F192" i="2"/>
  <c r="G191" i="2"/>
  <c r="F191" i="2"/>
  <c r="G190" i="2"/>
  <c r="F190" i="2"/>
  <c r="G189" i="2"/>
  <c r="F189" i="2"/>
  <c r="F188" i="2"/>
  <c r="G187" i="2"/>
  <c r="F187" i="2"/>
  <c r="G186" i="2"/>
  <c r="F186" i="2"/>
  <c r="G185" i="2"/>
  <c r="F185" i="2"/>
  <c r="G184" i="2"/>
  <c r="F184" i="2"/>
  <c r="F183" i="2"/>
  <c r="F182" i="2"/>
  <c r="F181" i="2"/>
  <c r="F180" i="2"/>
  <c r="F179" i="2"/>
  <c r="F178" i="2"/>
  <c r="G177" i="2"/>
  <c r="F177" i="2"/>
  <c r="G176" i="2"/>
  <c r="F176" i="2"/>
  <c r="F175" i="2"/>
  <c r="G174" i="2"/>
  <c r="F174" i="2"/>
  <c r="G173" i="2"/>
  <c r="F173" i="2"/>
  <c r="F172" i="2"/>
  <c r="F171" i="2"/>
  <c r="F170" i="2"/>
  <c r="F169" i="2"/>
  <c r="G168" i="2"/>
  <c r="F168" i="2"/>
  <c r="F167" i="2"/>
  <c r="G166" i="2"/>
  <c r="F166" i="2"/>
  <c r="G165" i="2"/>
  <c r="F165" i="2"/>
  <c r="F164" i="2"/>
  <c r="F163" i="2"/>
  <c r="G162" i="2"/>
  <c r="F162" i="2"/>
  <c r="G161" i="2"/>
  <c r="F161" i="2"/>
  <c r="F160" i="2"/>
  <c r="F159" i="2"/>
  <c r="G158" i="2"/>
  <c r="F158" i="2"/>
  <c r="G157" i="2"/>
  <c r="F157" i="2"/>
  <c r="G156" i="2"/>
  <c r="F156" i="2"/>
  <c r="F155" i="2"/>
  <c r="F154" i="2"/>
  <c r="F153" i="2"/>
  <c r="F152" i="2"/>
  <c r="G151" i="2"/>
  <c r="F151" i="2"/>
  <c r="G150" i="2"/>
  <c r="F150" i="2"/>
  <c r="F149" i="2"/>
  <c r="G148" i="2"/>
  <c r="F148" i="2"/>
  <c r="F147" i="2"/>
  <c r="G146" i="2"/>
  <c r="F146" i="2"/>
  <c r="G145" i="2"/>
  <c r="F145" i="2"/>
  <c r="F144" i="2"/>
  <c r="G143" i="2"/>
  <c r="F143" i="2"/>
  <c r="G142" i="2"/>
  <c r="F142" i="2"/>
  <c r="F141" i="2"/>
  <c r="G140" i="2"/>
  <c r="F140" i="2"/>
  <c r="F139" i="2"/>
  <c r="G138" i="2"/>
  <c r="F138" i="2"/>
  <c r="F137" i="2"/>
  <c r="F136" i="2"/>
  <c r="G135" i="2"/>
  <c r="F135" i="2"/>
  <c r="F134" i="2"/>
  <c r="F133" i="2"/>
  <c r="G132" i="2"/>
  <c r="F132" i="2"/>
  <c r="G131" i="2"/>
  <c r="F131" i="2"/>
  <c r="G130" i="2"/>
  <c r="F130" i="2"/>
  <c r="G129" i="2"/>
  <c r="F129" i="2"/>
  <c r="G128" i="2"/>
  <c r="F128" i="2"/>
  <c r="G127" i="2"/>
  <c r="F127" i="2"/>
  <c r="G126" i="2"/>
  <c r="F126" i="2"/>
  <c r="F125" i="2"/>
  <c r="G124" i="2"/>
  <c r="F124" i="2"/>
  <c r="G123" i="2"/>
  <c r="F123" i="2"/>
  <c r="G122" i="2"/>
  <c r="F122" i="2"/>
  <c r="G121" i="2"/>
  <c r="F121" i="2"/>
  <c r="F120" i="2"/>
  <c r="G119" i="2"/>
  <c r="F119" i="2"/>
  <c r="G118" i="2"/>
  <c r="F118" i="2"/>
  <c r="G117" i="2"/>
  <c r="F117" i="2"/>
  <c r="F116" i="2"/>
  <c r="G115" i="2"/>
  <c r="F115" i="2"/>
  <c r="G114" i="2"/>
  <c r="F114" i="2"/>
  <c r="F113" i="2"/>
  <c r="G112" i="2"/>
  <c r="F112" i="2"/>
  <c r="G111" i="2"/>
  <c r="F111" i="2"/>
  <c r="G110" i="2"/>
  <c r="F110" i="2"/>
  <c r="G109" i="2"/>
  <c r="F109" i="2"/>
  <c r="F108" i="2"/>
  <c r="G107" i="2"/>
  <c r="F107" i="2"/>
  <c r="G106" i="2"/>
  <c r="F106" i="2"/>
  <c r="F105" i="2"/>
  <c r="G104" i="2"/>
  <c r="F104" i="2"/>
  <c r="F103" i="2"/>
  <c r="G102" i="2"/>
  <c r="F102" i="2"/>
  <c r="G101" i="2"/>
  <c r="F101" i="2"/>
  <c r="F100" i="2"/>
  <c r="F99" i="2"/>
  <c r="F98" i="2"/>
  <c r="F97" i="2"/>
  <c r="G96" i="2"/>
  <c r="F96" i="2"/>
  <c r="F95" i="2"/>
  <c r="G94" i="2"/>
  <c r="F94" i="2"/>
  <c r="G93" i="2"/>
  <c r="F93" i="2"/>
  <c r="G92" i="2"/>
  <c r="F92" i="2"/>
  <c r="G91" i="2"/>
  <c r="F91" i="2"/>
  <c r="G90" i="2"/>
  <c r="F90" i="2"/>
  <c r="F89" i="2"/>
  <c r="F88" i="2"/>
  <c r="G87" i="2"/>
  <c r="F87" i="2"/>
  <c r="G86" i="2"/>
  <c r="F86" i="2"/>
  <c r="G85" i="2"/>
  <c r="F85" i="2"/>
  <c r="G84" i="2"/>
  <c r="F84" i="2"/>
  <c r="F83" i="2"/>
  <c r="G82" i="2"/>
  <c r="F82" i="2"/>
  <c r="F81" i="2"/>
  <c r="G80" i="2"/>
  <c r="F80" i="2"/>
  <c r="F79" i="2"/>
  <c r="G78" i="2"/>
  <c r="F78" i="2"/>
  <c r="G77" i="2"/>
  <c r="F77" i="2"/>
  <c r="G76" i="2"/>
  <c r="F76" i="2"/>
  <c r="G75" i="2"/>
  <c r="F75" i="2"/>
  <c r="F74" i="2"/>
  <c r="F73" i="2"/>
  <c r="F72" i="2"/>
  <c r="F71" i="2"/>
  <c r="F70" i="2"/>
  <c r="G69" i="2"/>
  <c r="F69" i="2"/>
  <c r="G68" i="2"/>
  <c r="F68" i="2"/>
  <c r="G67" i="2"/>
  <c r="F67" i="2"/>
  <c r="F66" i="2"/>
  <c r="F65" i="2"/>
  <c r="F64" i="2"/>
  <c r="F63" i="2"/>
  <c r="G62" i="2"/>
  <c r="F62" i="2"/>
  <c r="G61" i="2"/>
  <c r="F61" i="2"/>
  <c r="F60" i="2"/>
  <c r="F59" i="2"/>
  <c r="G58" i="2"/>
  <c r="F58" i="2"/>
  <c r="G57" i="2"/>
  <c r="F57" i="2"/>
  <c r="G56" i="2"/>
  <c r="F56" i="2"/>
  <c r="G55" i="2"/>
  <c r="F55" i="2"/>
  <c r="G54" i="2"/>
  <c r="F54" i="2"/>
  <c r="F53" i="2"/>
  <c r="G52" i="2"/>
  <c r="F52" i="2"/>
  <c r="G51" i="2"/>
  <c r="F51" i="2"/>
  <c r="G50" i="2"/>
  <c r="F50" i="2"/>
  <c r="F49" i="2"/>
  <c r="F48" i="2"/>
  <c r="G47" i="2"/>
  <c r="F47" i="2"/>
  <c r="G46" i="2"/>
  <c r="F46" i="2"/>
  <c r="G45" i="2"/>
  <c r="F45" i="2"/>
  <c r="G44" i="2"/>
  <c r="F44" i="2"/>
  <c r="G43" i="2"/>
  <c r="F43" i="2"/>
  <c r="G42" i="2"/>
  <c r="F42" i="2"/>
  <c r="G41" i="2"/>
  <c r="F41" i="2"/>
  <c r="F40" i="2"/>
  <c r="G39" i="2"/>
  <c r="F39" i="2"/>
  <c r="G38" i="2"/>
  <c r="F38" i="2"/>
  <c r="G37" i="2"/>
  <c r="F37" i="2"/>
  <c r="F36" i="2"/>
  <c r="G35" i="2"/>
  <c r="F35" i="2"/>
  <c r="G34" i="2"/>
  <c r="F34" i="2"/>
  <c r="F33" i="2"/>
  <c r="G32" i="2"/>
  <c r="F32" i="2"/>
  <c r="G31" i="2"/>
  <c r="F31" i="2"/>
  <c r="F30" i="2"/>
  <c r="G29" i="2"/>
  <c r="F29" i="2"/>
  <c r="G28" i="2"/>
  <c r="F28" i="2"/>
  <c r="G27" i="2"/>
  <c r="F27" i="2"/>
  <c r="G26" i="2"/>
  <c r="F26" i="2"/>
  <c r="G25" i="2"/>
  <c r="F25" i="2"/>
  <c r="F24" i="2"/>
  <c r="G23" i="2"/>
  <c r="F23" i="2"/>
  <c r="G22" i="2"/>
  <c r="F22" i="2"/>
  <c r="G21" i="2"/>
  <c r="F21" i="2"/>
  <c r="G20" i="2"/>
  <c r="F20" i="2"/>
  <c r="F19" i="2"/>
  <c r="G18" i="2"/>
  <c r="F18" i="2"/>
  <c r="F17" i="2"/>
  <c r="F16" i="2"/>
  <c r="G15" i="2"/>
  <c r="F15" i="2"/>
  <c r="G14" i="2"/>
  <c r="F14" i="2"/>
  <c r="G13" i="2"/>
  <c r="F13" i="2"/>
  <c r="F12" i="2"/>
  <c r="G11" i="2"/>
  <c r="F11" i="2"/>
  <c r="G10" i="2"/>
  <c r="F10" i="2"/>
  <c r="F9" i="2"/>
  <c r="G8" i="2"/>
  <c r="F8" i="2"/>
  <c r="G7" i="2"/>
  <c r="F7" i="2"/>
  <c r="G6" i="2"/>
  <c r="F6" i="2"/>
  <c r="F5" i="2"/>
  <c r="G4" i="2"/>
  <c r="F4" i="2"/>
  <c r="G3" i="2"/>
  <c r="F3" i="2"/>
  <c r="G2" i="2"/>
  <c r="F2" i="2"/>
  <c r="G1" i="2"/>
  <c r="F1" i="2"/>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alcChain>
</file>

<file path=xl/comments1.xml><?xml version="1.0" encoding="utf-8"?>
<comments xmlns="http://schemas.openxmlformats.org/spreadsheetml/2006/main">
  <authors>
    <author/>
  </authors>
  <commentList>
    <comment ref="B120" authorId="0" shapeId="0">
      <text>
        <r>
          <rPr>
            <sz val="10"/>
            <color rgb="FF000000"/>
            <rFont val="Arial"/>
          </rPr>
          <t>kekerasan verbal slutshaming
	-Faris Dzaki</t>
        </r>
      </text>
    </comment>
    <comment ref="N124" authorId="0" shapeId="0">
      <text>
        <r>
          <rPr>
            <sz val="10"/>
            <color rgb="FF000000"/>
            <rFont val="Arial"/>
          </rPr>
          <t>Alih-alih dipublikasikan, identitas pelaku malah disembunyikan.
	-Arlandy</t>
        </r>
      </text>
    </comment>
    <comment ref="B126" authorId="0" shapeId="0">
      <text>
        <r>
          <rPr>
            <sz val="10"/>
            <color rgb="FF000000"/>
            <rFont val="Arial"/>
          </rPr>
          <t>Bullying, slutshaming (kekerasan verbal)
	-Faris Dzaki</t>
        </r>
      </text>
    </comment>
    <comment ref="B129" authorId="0" shapeId="0">
      <text>
        <r>
          <rPr>
            <sz val="10"/>
            <color rgb="FF000000"/>
            <rFont val="Arial"/>
          </rPr>
          <t>Berita tidak relevan
	-Arlandy</t>
        </r>
      </text>
    </comment>
    <comment ref="B131" authorId="0" shapeId="0">
      <text>
        <r>
          <rPr>
            <sz val="10"/>
            <color rgb="FF000000"/>
            <rFont val="Arial"/>
          </rPr>
          <t>Berita tidak relevan
	-Arlandy</t>
        </r>
      </text>
    </comment>
    <comment ref="B132" authorId="0" shapeId="0">
      <text>
        <r>
          <rPr>
            <sz val="10"/>
            <color rgb="FF000000"/>
            <rFont val="Arial"/>
          </rPr>
          <t>Berita tidak relevan
	-Arlandy</t>
        </r>
      </text>
    </comment>
    <comment ref="B133" authorId="0" shapeId="0">
      <text>
        <r>
          <rPr>
            <sz val="10"/>
            <color rgb="FF000000"/>
            <rFont val="Arial"/>
          </rPr>
          <t>Berita tidak relevan
	-Arlandy</t>
        </r>
      </text>
    </comment>
    <comment ref="B134" authorId="0" shapeId="0">
      <text>
        <r>
          <rPr>
            <sz val="10"/>
            <color rgb="FF000000"/>
            <rFont val="Arial"/>
          </rPr>
          <t>Berita tidak relevan
	-Arlandy</t>
        </r>
      </text>
    </comment>
    <comment ref="B135" authorId="0" shapeId="0">
      <text>
        <r>
          <rPr>
            <sz val="10"/>
            <color rgb="FF000000"/>
            <rFont val="Arial"/>
          </rPr>
          <t>Berita tidak relevan
	-Arlandy</t>
        </r>
      </text>
    </comment>
    <comment ref="B139" authorId="0" shapeId="0">
      <text>
        <r>
          <rPr>
            <sz val="10"/>
            <color rgb="FF000000"/>
            <rFont val="Arial"/>
          </rPr>
          <t>Berita tidak relevan
	-Arlandy</t>
        </r>
      </text>
    </comment>
    <comment ref="B142" authorId="0" shapeId="0">
      <text>
        <r>
          <rPr>
            <sz val="10"/>
            <color rgb="FF000000"/>
            <rFont val="Arial"/>
          </rPr>
          <t>Berita tidak relevan
	-Arlandy</t>
        </r>
      </text>
    </comment>
    <comment ref="B143" authorId="0" shapeId="0">
      <text>
        <r>
          <rPr>
            <sz val="10"/>
            <color rgb="FF000000"/>
            <rFont val="Arial"/>
          </rPr>
          <t>Berita tidak relevan
	-Arlandy</t>
        </r>
      </text>
    </comment>
    <comment ref="B144" authorId="0" shapeId="0">
      <text>
        <r>
          <rPr>
            <sz val="10"/>
            <color rgb="FF000000"/>
            <rFont val="Arial"/>
          </rPr>
          <t>Berita tidak relevan
	-Arlandy</t>
        </r>
      </text>
    </comment>
    <comment ref="B145" authorId="0" shapeId="0">
      <text>
        <r>
          <rPr>
            <sz val="10"/>
            <color rgb="FF000000"/>
            <rFont val="Arial"/>
          </rPr>
          <t>Berita tidak relevan
	-Arlandy</t>
        </r>
      </text>
    </comment>
    <comment ref="B146" authorId="0" shapeId="0">
      <text>
        <r>
          <rPr>
            <sz val="10"/>
            <color rgb="FF000000"/>
            <rFont val="Arial"/>
          </rPr>
          <t>Berita tidak relevan
	-Arlandy</t>
        </r>
      </text>
    </comment>
    <comment ref="B148" authorId="0" shapeId="0">
      <text>
        <r>
          <rPr>
            <sz val="10"/>
            <color rgb="FF000000"/>
            <rFont val="Arial"/>
          </rPr>
          <t>Berita tidak relevan
	-Arlandy</t>
        </r>
      </text>
    </comment>
    <comment ref="B150" authorId="0" shapeId="0">
      <text>
        <r>
          <rPr>
            <sz val="10"/>
            <color rgb="FF000000"/>
            <rFont val="Arial"/>
          </rPr>
          <t>Berita tidak relevan
	-Arlandy</t>
        </r>
      </text>
    </comment>
    <comment ref="B152" authorId="0" shapeId="0">
      <text>
        <r>
          <rPr>
            <sz val="10"/>
            <color rgb="FF000000"/>
            <rFont val="Arial"/>
          </rPr>
          <t>Berita tidak relevan
	-Arlandy</t>
        </r>
      </text>
    </comment>
    <comment ref="B153" authorId="0" shapeId="0">
      <text>
        <r>
          <rPr>
            <sz val="10"/>
            <color rgb="FF000000"/>
            <rFont val="Arial"/>
          </rPr>
          <t>Berita tidak relevan
	-Arlandy</t>
        </r>
      </text>
    </comment>
    <comment ref="B154" authorId="0" shapeId="0">
      <text>
        <r>
          <rPr>
            <sz val="10"/>
            <color rgb="FF000000"/>
            <rFont val="Arial"/>
          </rPr>
          <t>Berita tidak relevan
	-Arlandy</t>
        </r>
      </text>
    </comment>
    <comment ref="B155" authorId="0" shapeId="0">
      <text>
        <r>
          <rPr>
            <sz val="10"/>
            <color rgb="FF000000"/>
            <rFont val="Arial"/>
          </rPr>
          <t>Berita tidak relevan
	-Arlandy</t>
        </r>
      </text>
    </comment>
    <comment ref="B164" authorId="0" shapeId="0">
      <text>
        <r>
          <rPr>
            <sz val="10"/>
            <color rgb="FF000000"/>
            <rFont val="Arial"/>
          </rPr>
          <t>Berita tidak relevan
	-Arlandy</t>
        </r>
      </text>
    </comment>
    <comment ref="B198" authorId="0" shapeId="0">
      <text>
        <r>
          <rPr>
            <sz val="10"/>
            <color rgb="FF000000"/>
            <rFont val="Arial"/>
          </rPr>
          <t>+bhenageerushtia@gmail.com warna ini artinya apa?
_Assigned to bhena geerushtia_
	-Roy Thaniago
wah iya nih, aku pernah pengin tanya sama diki soal warna ini. tapi lupa terus. besok aku tanya deh
	-bhena geerushtia
Roy, kata Diki, warna oranye ini dari dirimuuu waktu itu, entah kapan, diki ga ingat
	-bhena geerushtia</t>
        </r>
      </text>
    </comment>
    <comment ref="P198" authorId="0" shapeId="0">
      <text>
        <r>
          <rPr>
            <sz val="10"/>
            <color rgb="FF000000"/>
            <rFont val="Arial"/>
          </rPr>
          <t>Gw rasa judulnya agak sensasional, sih.
	-Arlandy</t>
        </r>
      </text>
    </comment>
    <comment ref="P201" authorId="0" shapeId="0">
      <text>
        <r>
          <rPr>
            <sz val="10"/>
            <color rgb="FF000000"/>
            <rFont val="Arial"/>
          </rPr>
          <t>"Diduga gangguan jiwa" gw rasa masuk ke opinionated.
	-Arlandy
tapi kita gak punya instrumen untuk menilai itu, dik. jadi abaikan saja, dan coding sesuai yg tersedia aja ya
	-Roy Thaniago</t>
        </r>
      </text>
    </comment>
    <comment ref="K214" authorId="0" shapeId="0">
      <text>
        <r>
          <rPr>
            <sz val="10"/>
            <color rgb="FF000000"/>
            <rFont val="Arial"/>
          </rPr>
          <t>Ini gw bingung sih mesti nulisnya "mantan penderita" apa gimana, tapi teksnya gitu.
	-Arlandy
ditulis "penderita gangguan mental" sebagai istilah non-inklusif
	-Roy Thaniago</t>
        </r>
      </text>
    </comment>
    <comment ref="B239" authorId="0" shapeId="0">
      <text>
        <r>
          <rPr>
            <sz val="10"/>
            <color rgb="FF000000"/>
            <rFont val="Arial"/>
          </rPr>
          <t>Sebenernya disabilitas bukan fokus utama, tapi gw rasa berita ini penting karena menyangkut juga tentang kebijakan terhadap disabilitas.
	-Arlandy</t>
        </r>
      </text>
    </comment>
    <comment ref="B244" authorId="0" shapeId="0">
      <text>
        <r>
          <rPr>
            <sz val="10"/>
            <color rgb="FF000000"/>
            <rFont val="Arial"/>
          </rPr>
          <t>Bener-bener dah ini Tribun.
	-Arlandy</t>
        </r>
      </text>
    </comment>
    <comment ref="I244" authorId="0" shapeId="0">
      <text>
        <r>
          <rPr>
            <sz val="10"/>
            <color rgb="FF000000"/>
            <rFont val="Arial"/>
          </rPr>
          <t>Ini gw bingung sih konteksnya, antara konflik atau everyday life.
	-Arlandy</t>
        </r>
      </text>
    </comment>
    <comment ref="P249" authorId="0" shapeId="0">
      <text>
        <r>
          <rPr>
            <sz val="10"/>
            <color rgb="FF000000"/>
            <rFont val="Arial"/>
          </rPr>
          <t>Catatan: judul menggunakan istilah non-inklusif.
	-Arlandy</t>
        </r>
      </text>
    </comment>
    <comment ref="P257" authorId="0" shapeId="0">
      <text>
        <r>
          <rPr>
            <sz val="10"/>
            <color rgb="FF000000"/>
            <rFont val="Arial"/>
          </rPr>
          <t>Judulnya agak sensasional.
	-Arlandy</t>
        </r>
      </text>
    </comment>
    <comment ref="B285" authorId="0" shapeId="0">
      <text>
        <r>
          <rPr>
            <sz val="10"/>
            <color rgb="FF000000"/>
            <rFont val="Arial"/>
          </rPr>
          <t>Ini satu artikel dua berita berbeda.
	-Arlandy
representasi disabilitas mental: skizofrenia
	-Faris Dzaki
Ini gw bingung. Betul ada 1 berita soal skizofrenia, tapi ada 1 berita lain di link yang sama ini.
	-Arlandy
artikel ini invalid, Dik.
	-Roy Thaniago</t>
        </r>
      </text>
    </comment>
    <comment ref="I328" authorId="0" shapeId="0">
      <text>
        <r>
          <rPr>
            <sz val="10"/>
            <color rgb="FF000000"/>
            <rFont val="Arial"/>
          </rPr>
          <t>Mengarah pada fearmongering kelompok gay
	-Arlandy</t>
        </r>
      </text>
    </comment>
    <comment ref="B337" authorId="0" shapeId="0">
      <text>
        <r>
          <rPr>
            <sz val="10"/>
            <color rgb="FF000000"/>
            <rFont val="Arial"/>
          </rPr>
          <t>Sebenernya ini lebih ke kekerasan seksual (RUU PKS), tapi penting dimasukkin ke cluster ini karena beritanya terkait minoritas seksual juga.
	-Arlandy</t>
        </r>
      </text>
    </comment>
    <comment ref="S383" authorId="0" shapeId="0">
      <text>
        <r>
          <rPr>
            <sz val="10"/>
            <color rgb="FF000000"/>
            <rFont val="Arial"/>
          </rPr>
          <t>Istilah "disorientasi seksual" ini kayaknya perlu dimasukkin.
	-Arlandy
Dimasukkan sebagai apa dan untuk apa?
	-Roy Thaniago
Karena menurut gw istilah ini jelas memberi kesan kalo bukan heteroseksual berarti seseorang mengalami disorientasi.
	-Arlandy</t>
        </r>
      </text>
    </comment>
    <comment ref="B392" authorId="0" shapeId="0">
      <text>
        <r>
          <rPr>
            <sz val="10"/>
            <color rgb="FF000000"/>
            <rFont val="Arial"/>
          </rPr>
          <t>Opini.
	-Arlandy</t>
        </r>
      </text>
    </comment>
    <comment ref="B393" authorId="0" shapeId="0">
      <text>
        <r>
          <rPr>
            <sz val="10"/>
            <color rgb="FF000000"/>
            <rFont val="Arial"/>
          </rPr>
          <t>Tidak relevan, tentang perang.
	-Arlandy</t>
        </r>
      </text>
    </comment>
    <comment ref="B394" authorId="0" shapeId="0">
      <text>
        <r>
          <rPr>
            <sz val="10"/>
            <color rgb="FF000000"/>
            <rFont val="Arial"/>
          </rPr>
          <t>Tidak relevan.
	-Arlandy</t>
        </r>
      </text>
    </comment>
    <comment ref="B395" authorId="0" shapeId="0">
      <text>
        <r>
          <rPr>
            <sz val="10"/>
            <color rgb="FF000000"/>
            <rFont val="Arial"/>
          </rPr>
          <t>Tidak relevan.
	-Arlandy</t>
        </r>
      </text>
    </comment>
    <comment ref="B396" authorId="0" shapeId="0">
      <text>
        <r>
          <rPr>
            <sz val="10"/>
            <color rgb="FF000000"/>
            <rFont val="Arial"/>
          </rPr>
          <t>Tidak relevan.
	-Arlandy</t>
        </r>
      </text>
    </comment>
    <comment ref="B397" authorId="0" shapeId="0">
      <text>
        <r>
          <rPr>
            <sz val="10"/>
            <color rgb="FF000000"/>
            <rFont val="Arial"/>
          </rPr>
          <t>Tidak relevan.
	-Arlandy</t>
        </r>
      </text>
    </comment>
    <comment ref="B410" authorId="0" shapeId="0">
      <text>
        <r>
          <rPr>
            <sz val="10"/>
            <color rgb="FF000000"/>
            <rFont val="Arial"/>
          </rPr>
          <t>Ini lebih cocok masuk cluster perempuan dalam kekerasan.
	-Arlandy</t>
        </r>
      </text>
    </comment>
    <comment ref="Q426" authorId="0" shapeId="0">
      <text>
        <r>
          <rPr>
            <sz val="10"/>
            <color rgb="FF000000"/>
            <rFont val="Arial"/>
          </rPr>
          <t>Gw rasa narasumber ini masuk sebagai individu yang mewakili disabilitas (anaknya).
	-Arlandy
Menurut gw bukan disabilitas. Kalau wartawannya mau usaha dikit, mereka bisa wawancarai disabilitas di organisasi (meski gak harus autisme). Jadi ini bkn ya, Dik.
	-Roy Thaniago</t>
        </r>
      </text>
    </comment>
  </commentList>
</comments>
</file>

<file path=xl/comments2.xml><?xml version="1.0" encoding="utf-8"?>
<comments xmlns="http://schemas.openxmlformats.org/spreadsheetml/2006/main">
  <authors>
    <author/>
  </authors>
  <commentList>
    <comment ref="H443" authorId="0" shapeId="0">
      <text>
        <r>
          <rPr>
            <sz val="10"/>
            <color rgb="FF000000"/>
            <rFont val="Arial"/>
          </rPr>
          <t>kayanya panjang beritanya salah deh ini
	-Pendekar Cinta</t>
        </r>
      </text>
    </comment>
    <comment ref="F488" authorId="0" shapeId="0">
      <text>
        <r>
          <rPr>
            <sz val="10"/>
            <color rgb="FF000000"/>
            <rFont val="Arial"/>
          </rPr>
          <t>ini dari berita sebenernya masuk, cuma gue ga bisa akses soalnya disuruh verifikasi dan gabisa verif terus. gue skip dulu ya.
	-Pendekar Cinta
ku ganti aja kalo gitu ya!
	-bhena geerushtia
raf data penggantinya: tidak ada data pengganti. ini langsung kubirukan aja ya. kode ku ganti ke awal. karena hari ini aku ingin memastikan smuanya sudh beres soalnya. takutnya km blm bs pegang codesheet.
	-bhena geerushtia</t>
        </r>
      </text>
    </comment>
  </commentList>
</comments>
</file>

<file path=xl/comments3.xml><?xml version="1.0" encoding="utf-8"?>
<comments xmlns="http://schemas.openxmlformats.org/spreadsheetml/2006/main">
  <authors>
    <author/>
  </authors>
  <commentList>
    <comment ref="C1" authorId="0" shapeId="0">
      <text>
        <r>
          <rPr>
            <sz val="10"/>
            <color rgb="FF000000"/>
            <rFont val="Arial"/>
          </rPr>
          <t>kolom
	-Dealysa Puspa Dwita</t>
        </r>
      </text>
    </comment>
    <comment ref="G2" authorId="0" shapeId="0">
      <text>
        <r>
          <rPr>
            <sz val="10"/>
            <color rgb="FF000000"/>
            <rFont val="Arial"/>
          </rPr>
          <t>Penamaan filenya salah, berlaku ke seluruhnya
	-Roy Thaniago</t>
        </r>
      </text>
    </comment>
    <comment ref="S2" authorId="0" shapeId="0">
      <text>
        <r>
          <rPr>
            <sz val="10"/>
            <color rgb="FF000000"/>
            <rFont val="Arial"/>
          </rPr>
          <t>Ini gw hapus karena "kalangan/kelompok Ahamdiyah" bukan istilah yg bermasalah
	-Roy Thaniago</t>
        </r>
      </text>
    </comment>
    <comment ref="C3" authorId="0" shapeId="0">
      <text>
        <r>
          <rPr>
            <sz val="10"/>
            <color rgb="FF000000"/>
            <rFont val="Arial"/>
          </rPr>
          <t>kolom
	-Dealysa Puspa Dwita</t>
        </r>
      </text>
    </comment>
    <comment ref="C5" authorId="0" shapeId="0">
      <text>
        <r>
          <rPr>
            <sz val="10"/>
            <color rgb="FF000000"/>
            <rFont val="Arial"/>
          </rPr>
          <t>syiah kuala
	-Dealysa Puspa Dwita</t>
        </r>
      </text>
    </comment>
    <comment ref="C6" authorId="0" shapeId="0">
      <text>
        <r>
          <rPr>
            <sz val="10"/>
            <color rgb="FF000000"/>
            <rFont val="Arial"/>
          </rPr>
          <t>syiah kuala
	-Dealysa Puspa Dwita</t>
        </r>
      </text>
    </comment>
    <comment ref="C8" authorId="0" shapeId="0">
      <text>
        <r>
          <rPr>
            <sz val="10"/>
            <color rgb="FF000000"/>
            <rFont val="Arial"/>
          </rPr>
          <t>pembahasan hanya ttg isis dan al qaeda
	-Dealysa Puspa Dwita</t>
        </r>
      </text>
    </comment>
    <comment ref="C10" authorId="0" shapeId="0">
      <text>
        <r>
          <rPr>
            <sz val="10"/>
            <color rgb="FF000000"/>
            <rFont val="Arial"/>
          </rPr>
          <t>syiah kuala
	-Dealysa Puspa Dwita</t>
        </r>
      </text>
    </comment>
    <comment ref="C11" authorId="0" shapeId="0">
      <text>
        <r>
          <rPr>
            <sz val="10"/>
            <color rgb="FF000000"/>
            <rFont val="Arial"/>
          </rPr>
          <t>syiah kuala
	-Dealysa Puspa Dwita</t>
        </r>
      </text>
    </comment>
    <comment ref="C15" authorId="0" shapeId="0">
      <text>
        <r>
          <rPr>
            <sz val="10"/>
            <color rgb="FF000000"/>
            <rFont val="Arial"/>
          </rPr>
          <t>Pembahasan hanya ttg Isis
	-Dealysa Puspa Dwita</t>
        </r>
      </text>
    </comment>
    <comment ref="C18" authorId="0" shapeId="0">
      <text>
        <r>
          <rPr>
            <sz val="10"/>
            <color rgb="FF000000"/>
            <rFont val="Arial"/>
          </rPr>
          <t>Syiah kuala
	-Dealysa Puspa Dwita</t>
        </r>
      </text>
    </comment>
    <comment ref="C19" authorId="0" shapeId="0">
      <text>
        <r>
          <rPr>
            <sz val="10"/>
            <color rgb="FF000000"/>
            <rFont val="Arial"/>
          </rPr>
          <t>syiah kuala
	-Dealysa Puspa Dwita</t>
        </r>
      </text>
    </comment>
    <comment ref="C20" authorId="0" shapeId="0">
      <text>
        <r>
          <rPr>
            <sz val="10"/>
            <color rgb="FF000000"/>
            <rFont val="Arial"/>
          </rPr>
          <t>ttg penangkapan saddam husein, syiah hanya disebut dlm kalimat "perang sunni dan syiah terus berlanjut"
	-Dealysa Puspa Dwita</t>
        </r>
      </text>
    </comment>
    <comment ref="C24" authorId="0" shapeId="0">
      <text>
        <r>
          <rPr>
            <sz val="10"/>
            <color rgb="FF000000"/>
            <rFont val="Arial"/>
          </rPr>
          <t>Kasus pendeta WNI hilang, Syiah hanya disebut sbg agama salah satu tokoh yang hilang juga
	-Dealysa Puspa Dwita</t>
        </r>
      </text>
    </comment>
    <comment ref="C26" authorId="0" shapeId="0">
      <text>
        <r>
          <rPr>
            <sz val="10"/>
            <color rgb="FF000000"/>
            <rFont val="Arial"/>
          </rPr>
          <t>Syiah Kuala
	-Dealysa Puspa Dwita</t>
        </r>
      </text>
    </comment>
    <comment ref="C28" authorId="0" shapeId="0">
      <text>
        <r>
          <rPr>
            <sz val="10"/>
            <color rgb="FF000000"/>
            <rFont val="Arial"/>
          </rPr>
          <t>Cerita sejarah
	-Dealysa Puspa Dwita</t>
        </r>
      </text>
    </comment>
    <comment ref="C30" authorId="0" shapeId="0">
      <text>
        <r>
          <rPr>
            <sz val="10"/>
            <color rgb="FF000000"/>
            <rFont val="Arial"/>
          </rPr>
          <t>Tentang Garda Revolusi Iran
	-Dealysa Puspa Dwita</t>
        </r>
      </text>
    </comment>
    <comment ref="C38" authorId="0" shapeId="0">
      <text>
        <r>
          <rPr>
            <sz val="10"/>
            <color rgb="FF000000"/>
            <rFont val="Arial"/>
          </rPr>
          <t>Hanya menyebut orang-orang Sunni dan Syiah memiliki tradisi pergi ke Sufi yang diledakan
	-Dealysa Puspa Dwita</t>
        </r>
      </text>
    </comment>
    <comment ref="C39" authorId="0" shapeId="0">
      <text>
        <r>
          <rPr>
            <sz val="10"/>
            <color rgb="FF000000"/>
            <rFont val="Arial"/>
          </rPr>
          <t>Hanya menyebut Irak sesama syiah dengan Iran
	-Dealysa Puspa Dwita</t>
        </r>
      </text>
    </comment>
    <comment ref="C40" authorId="0" shapeId="0">
      <text>
        <r>
          <rPr>
            <sz val="10"/>
            <color rgb="FF000000"/>
            <rFont val="Arial"/>
          </rPr>
          <t>Pembahasan mengenai Garda Revolusi Iran
	-Dealysa Puspa Dwita</t>
        </r>
      </text>
    </comment>
    <comment ref="B42" authorId="0" shapeId="0">
      <text>
        <r>
          <rPr>
            <sz val="10"/>
            <color rgb="FF000000"/>
            <rFont val="Arial"/>
          </rPr>
          <t>@RoyThaniago gue rasa ini bisa masuk. Berita ini memiliki beberapa paragraf sendiri yang menjelaskan Syiah sebagai identitas agama.
	-Faris Dzaki</t>
        </r>
      </text>
    </comment>
    <comment ref="C42" authorId="0" shapeId="0">
      <text>
        <r>
          <rPr>
            <sz val="10"/>
            <color rgb="FF000000"/>
            <rFont val="Arial"/>
          </rPr>
          <t>Perseteruan Iran dan AS
	-Dealysa Puspa Dwita</t>
        </r>
      </text>
    </comment>
    <comment ref="C43" authorId="0" shapeId="0">
      <text>
        <r>
          <rPr>
            <sz val="10"/>
            <color rgb="FF000000"/>
            <rFont val="Arial"/>
          </rPr>
          <t>Hanya terdapat tulisan "ketegangan antara syiah iran dan AS"
	-Dealysa Puspa Dwita</t>
        </r>
      </text>
    </comment>
    <comment ref="C44" authorId="0" shapeId="0">
      <text>
        <r>
          <rPr>
            <sz val="10"/>
            <color rgb="FF000000"/>
            <rFont val="Arial"/>
          </rPr>
          <t>Kolom
	-Dealysa Puspa Dwita</t>
        </r>
      </text>
    </comment>
    <comment ref="C45" authorId="0" shapeId="0">
      <text>
        <r>
          <rPr>
            <sz val="10"/>
            <color rgb="FF000000"/>
            <rFont val="Arial"/>
          </rPr>
          <t>hanya membahas ttg Muhammad Mursi
	-Dealysa Puspa Dwita</t>
        </r>
      </text>
    </comment>
    <comment ref="C46" authorId="0" shapeId="0">
      <text>
        <r>
          <rPr>
            <sz val="10"/>
            <color rgb="FF000000"/>
            <rFont val="Arial"/>
          </rPr>
          <t>Syiah kuala
	-Dealysa Puspa Dwita</t>
        </r>
      </text>
    </comment>
    <comment ref="C47" authorId="0" shapeId="0">
      <text>
        <r>
          <rPr>
            <sz val="10"/>
            <color rgb="FF000000"/>
            <rFont val="Arial"/>
          </rPr>
          <t>tidak relevan
	-Dealysa Puspa Dwita</t>
        </r>
      </text>
    </comment>
    <comment ref="F47" authorId="0" shapeId="0">
      <text>
        <r>
          <rPr>
            <sz val="10"/>
            <color rgb="FF000000"/>
            <rFont val="Arial"/>
          </rPr>
          <t>gue rasa kondisi Timteng rada beda ya, Syiah ga selalu bisa dikelompokkan sebagai marjinal di Timteng
	-Faris Dzaki</t>
        </r>
      </text>
    </comment>
    <comment ref="C48" authorId="0" shapeId="0">
      <text>
        <r>
          <rPr>
            <sz val="10"/>
            <color rgb="FF000000"/>
            <rFont val="Arial"/>
          </rPr>
          <t>trivia tentang masjid di jepang
	-Dealysa Puspa Dwita</t>
        </r>
      </text>
    </comment>
    <comment ref="C49" authorId="0" shapeId="0">
      <text>
        <r>
          <rPr>
            <sz val="10"/>
            <color rgb="FF000000"/>
            <rFont val="Arial"/>
          </rPr>
          <t>konflik Iran-AS
	-Dealysa Puspa Dwita</t>
        </r>
      </text>
    </comment>
    <comment ref="C50" authorId="0" shapeId="0">
      <text>
        <r>
          <rPr>
            <sz val="10"/>
            <color rgb="FF000000"/>
            <rFont val="Arial"/>
          </rPr>
          <t>syiah kuala
	-Dealysa Puspa Dwita</t>
        </r>
      </text>
    </comment>
    <comment ref="B51" authorId="0" shapeId="0">
      <text>
        <r>
          <rPr>
            <sz val="10"/>
            <color rgb="FF000000"/>
            <rFont val="Arial"/>
          </rPr>
          <t>tidak relevan: kata kunci "dukun" digunakan tanpa menyinggung aliran kepercayaan
	-Faris Dzaki</t>
        </r>
      </text>
    </comment>
    <comment ref="C51" authorId="0" shapeId="0">
      <text>
        <r>
          <rPr>
            <sz val="10"/>
            <color rgb="FF000000"/>
            <rFont val="Arial"/>
          </rPr>
          <t>kompetisi sihir
	-Dealysa Puspa Dwita</t>
        </r>
      </text>
    </comment>
    <comment ref="C56" authorId="0" shapeId="0">
      <text>
        <r>
          <rPr>
            <sz val="10"/>
            <color rgb="FF000000"/>
            <rFont val="Arial"/>
          </rPr>
          <t>kolom
	-Dealysa Puspa Dwita</t>
        </r>
      </text>
    </comment>
    <comment ref="C57" authorId="0" shapeId="0">
      <text>
        <r>
          <rPr>
            <sz val="10"/>
            <color rgb="FF000000"/>
            <rFont val="Arial"/>
          </rPr>
          <t>Unsyiah
	-Dealysa Puspa Dwita</t>
        </r>
      </text>
    </comment>
    <comment ref="C59" authorId="0" shapeId="0">
      <text>
        <r>
          <rPr>
            <sz val="10"/>
            <color rgb="FF000000"/>
            <rFont val="Arial"/>
          </rPr>
          <t>Cerita tentang Sisingamangaraja XII
	-Dealysa Puspa Dwita</t>
        </r>
      </text>
    </comment>
    <comment ref="C61" authorId="0" shapeId="0">
      <text>
        <r>
          <rPr>
            <sz val="10"/>
            <color rgb="FF000000"/>
            <rFont val="Arial"/>
          </rPr>
          <t>Syiah kuala
	-Dealysa Puspa Dwita</t>
        </r>
      </text>
    </comment>
    <comment ref="C62" authorId="0" shapeId="0">
      <text>
        <r>
          <rPr>
            <sz val="10"/>
            <color rgb="FF000000"/>
            <rFont val="Arial"/>
          </rPr>
          <t>Konflik Israel-Iran, hanya ada kata "milisi syiah"
	-Dealysa Puspa Dwita</t>
        </r>
      </text>
    </comment>
    <comment ref="C63" authorId="0" shapeId="0">
      <text>
        <r>
          <rPr>
            <sz val="10"/>
            <color rgb="FF000000"/>
            <rFont val="Arial"/>
          </rPr>
          <t>doa
	-Dealysa Puspa Dwita</t>
        </r>
      </text>
    </comment>
    <comment ref="C64" authorId="0" shapeId="0">
      <text>
        <r>
          <rPr>
            <sz val="10"/>
            <color rgb="FF000000"/>
            <rFont val="Arial"/>
          </rPr>
          <t>Unsyiah
	-Dealysa Puspa Dwita</t>
        </r>
      </text>
    </comment>
    <comment ref="C65" authorId="0" shapeId="0">
      <text>
        <r>
          <rPr>
            <sz val="10"/>
            <color rgb="FF000000"/>
            <rFont val="Arial"/>
          </rPr>
          <t>Unsyiah
	-Dealysa Puspa Dwita</t>
        </r>
      </text>
    </comment>
    <comment ref="C66" authorId="0" shapeId="0">
      <text>
        <r>
          <rPr>
            <sz val="10"/>
            <color rgb="FF000000"/>
            <rFont val="Arial"/>
          </rPr>
          <t>Unsyiah
	-Dealysa Puspa Dwita</t>
        </r>
      </text>
    </comment>
    <comment ref="C67" authorId="0" shapeId="0">
      <text>
        <r>
          <rPr>
            <sz val="10"/>
            <color rgb="FF000000"/>
            <rFont val="Arial"/>
          </rPr>
          <t>Unsyiah
	-Dealysa Puspa Dwita</t>
        </r>
      </text>
    </comment>
    <comment ref="C68" authorId="0" shapeId="0">
      <text>
        <r>
          <rPr>
            <sz val="10"/>
            <color rgb="FF000000"/>
            <rFont val="Arial"/>
          </rPr>
          <t>Sejarah Al Quran
	-Dealysa Puspa Dwita</t>
        </r>
      </text>
    </comment>
    <comment ref="C69" authorId="0" shapeId="0">
      <text>
        <r>
          <rPr>
            <sz val="10"/>
            <color rgb="FF000000"/>
            <rFont val="Arial"/>
          </rPr>
          <t>Pria tewas di mobil
	-Dealysa Puspa Dwita
Kata kunci "Gila" di hyperlink
	-Faris Dzaki</t>
        </r>
      </text>
    </comment>
    <comment ref="C73" authorId="0" shapeId="0">
      <text>
        <r>
          <rPr>
            <sz val="10"/>
            <color rgb="FF000000"/>
            <rFont val="Arial"/>
          </rPr>
          <t>tidak relevan, ttg pemilu, kampanye
	-Dealysa Puspa Dwita</t>
        </r>
      </text>
    </comment>
    <comment ref="C74" authorId="0" shapeId="0">
      <text>
        <r>
          <rPr>
            <sz val="10"/>
            <color rgb="FF000000"/>
            <rFont val="Arial"/>
          </rPr>
          <t>tidak relevan, ttg pemilu, kampanye
	-Dealysa Puspa Dwita
Kata kunci: "membabi buta"
	-Faris Dzaki</t>
        </r>
      </text>
    </comment>
    <comment ref="C78" authorId="0" shapeId="0">
      <text>
        <r>
          <rPr>
            <sz val="10"/>
            <color rgb="FF000000"/>
            <rFont val="Arial"/>
          </rPr>
          <t>tidak relevan, ttg Sandiaga Uno melihat petani membuang cabai
	-Dealysa Puspa Dwita
ada kata kunci "difabel" dalam hyperlink
	-Faris Dzaki</t>
        </r>
      </text>
    </comment>
    <comment ref="C79" authorId="0" shapeId="0">
      <text>
        <r>
          <rPr>
            <sz val="10"/>
            <color rgb="FF000000"/>
            <rFont val="Arial"/>
          </rPr>
          <t>tentang debat capres dengan metafora sepakbola
	-Dealysa Puspa Dwita
kolom
	-Faris Dzaki</t>
        </r>
      </text>
    </comment>
    <comment ref="C80" authorId="0" shapeId="0">
      <text>
        <r>
          <rPr>
            <sz val="10"/>
            <color rgb="FF000000"/>
            <rFont val="Arial"/>
          </rPr>
          <t>trivia tentang John Logie Baird
	-Dealysa Puspa Dwita</t>
        </r>
      </text>
    </comment>
    <comment ref="C81" authorId="0" shapeId="0">
      <text>
        <r>
          <rPr>
            <sz val="10"/>
            <color rgb="FF000000"/>
            <rFont val="Arial"/>
          </rPr>
          <t>berita tidak bisa dibuka
	-Dealysa Puspa Dwita
bisa dibuka. Ada kata kunci "buta" dalam frasa "membabi buta"
	-Faris Dzaki</t>
        </r>
      </text>
    </comment>
    <comment ref="C82" authorId="0" shapeId="0">
      <text>
        <r>
          <rPr>
            <sz val="10"/>
            <color rgb="FF000000"/>
            <rFont val="Arial"/>
          </rPr>
          <t>tentang pemilu
	-Dealysa Puspa Dwita
Ada representasi disabilitas sepanjang satu paragraf
	-Faris Dzaki</t>
        </r>
      </text>
    </comment>
    <comment ref="C83" authorId="0" shapeId="0">
      <text>
        <r>
          <rPr>
            <sz val="10"/>
            <color rgb="FF000000"/>
            <rFont val="Arial"/>
          </rPr>
          <t>industri hiburan ditopang teknologi digital
	-Dealysa Puspa Dwita
ada kata kunci "gila" dalam konotasi
	-Faris Dzaki</t>
        </r>
      </text>
    </comment>
    <comment ref="C84" authorId="0" shapeId="0">
      <text>
        <r>
          <rPr>
            <sz val="10"/>
            <color rgb="FF000000"/>
            <rFont val="Arial"/>
          </rPr>
          <t>tentang tips dan trik PUBG
	-Dealysa Puspa Dwita</t>
        </r>
      </text>
    </comment>
    <comment ref="C90" authorId="0" shapeId="0">
      <text>
        <r>
          <rPr>
            <sz val="10"/>
            <color rgb="FF000000"/>
            <rFont val="Arial"/>
          </rPr>
          <t>Slamet Maarif melakukan pelanggaran Pemilu, PA 212 bukan minoritas
	-Dealysa Puspa Dwita</t>
        </r>
      </text>
    </comment>
    <comment ref="C91" authorId="0" shapeId="0">
      <text>
        <r>
          <rPr>
            <sz val="10"/>
            <color rgb="FF000000"/>
            <rFont val="Arial"/>
          </rPr>
          <t>"Liverpool membabi buta"
	-Dealysa Puspa Dwita</t>
        </r>
      </text>
    </comment>
    <comment ref="C94" authorId="0" shapeId="0">
      <text>
        <r>
          <rPr>
            <sz val="10"/>
            <color rgb="FF000000"/>
            <rFont val="Arial"/>
          </rPr>
          <t>Cacat formil dakwaan hukum
	-Dealysa Puspa Dwita</t>
        </r>
      </text>
    </comment>
    <comment ref="C95" authorId="0" shapeId="0">
      <text>
        <r>
          <rPr>
            <sz val="10"/>
            <color rgb="FF000000"/>
            <rFont val="Arial"/>
          </rPr>
          <t>Buta nada termasuk disabilitas atau tidak ya?
	-Dealysa Puspa Dwita</t>
        </r>
      </text>
    </comment>
    <comment ref="C96" authorId="0" shapeId="0">
      <text>
        <r>
          <rPr>
            <sz val="10"/>
            <color rgb="FF000000"/>
            <rFont val="Arial"/>
          </rPr>
          <t>Wawancara Thomas Mueller, "gila" dalam konteks lucu dan jahil
	-Dealysa Puspa Dwita</t>
        </r>
      </text>
    </comment>
    <comment ref="C98" authorId="0" shapeId="0">
      <text>
        <r>
          <rPr>
            <sz val="10"/>
            <color rgb="FF000000"/>
            <rFont val="Arial"/>
          </rPr>
          <t>Melakukan aksi gila
	-Dealysa Puspa Dwita</t>
        </r>
      </text>
    </comment>
    <comment ref="C100" authorId="0" shapeId="0">
      <text>
        <r>
          <rPr>
            <sz val="10"/>
            <color rgb="FF000000"/>
            <rFont val="Arial"/>
          </rPr>
          <t>"hal ini mungkin terdengar gila"
	-Dealysa Puspa Dwita</t>
        </r>
      </text>
    </comment>
    <comment ref="C102" authorId="0" shapeId="0">
      <text>
        <r>
          <rPr>
            <sz val="10"/>
            <color rgb="FF000000"/>
            <rFont val="Arial"/>
          </rPr>
          <t>"Nyanyi bersama, mabuk bersama, gila bersama yang penting guyub, gak berdebat."
	-Dealysa Puspa Dwita</t>
        </r>
      </text>
    </comment>
    <comment ref="C103" authorId="0" shapeId="0">
      <text>
        <r>
          <rPr>
            <sz val="10"/>
            <color rgb="FF000000"/>
            <rFont val="Arial"/>
          </rPr>
          <t>"saya bisa melakukan hal gila"
	-Dealysa Puspa Dwita</t>
        </r>
      </text>
    </comment>
    <comment ref="C105" authorId="0" shapeId="0">
      <text>
        <r>
          <rPr>
            <sz val="10"/>
            <color rgb="FF000000"/>
            <rFont val="Arial"/>
          </rPr>
          <t>putus karena game online
	-Dealysa Puspa Dwita</t>
        </r>
      </text>
    </comment>
    <comment ref="C106" authorId="0" shapeId="0">
      <text>
        <r>
          <rPr>
            <sz val="10"/>
            <color rgb="FF000000"/>
            <rFont val="Arial"/>
          </rPr>
          <t>gila kekuasaan
	-Dealysa Puspa Dwita</t>
        </r>
      </text>
    </comment>
    <comment ref="C109" authorId="0" shapeId="0">
      <text>
        <r>
          <rPr>
            <sz val="10"/>
            <color rgb="FF000000"/>
            <rFont val="Arial"/>
          </rPr>
          <t>membabi buta
	-Dealysa Puspa Dwita</t>
        </r>
      </text>
    </comment>
    <comment ref="C112" authorId="0" shapeId="0">
      <text>
        <r>
          <rPr>
            <sz val="10"/>
            <color rgb="FF000000"/>
            <rFont val="Arial"/>
          </rPr>
          <t>buta transaksi digital
	-Dealysa Puspa Dwita</t>
        </r>
      </text>
    </comment>
    <comment ref="C121" authorId="0" shapeId="0">
      <text>
        <r>
          <rPr>
            <sz val="10"/>
            <color rgb="FF000000"/>
            <rFont val="Arial"/>
          </rPr>
          <t>santunan KPU pada petugas KPPS yang meninggal atau cacat atau luka besar maupun ringan
	-Dealysa Puspa Dwita</t>
        </r>
      </text>
    </comment>
    <comment ref="C123" authorId="0" shapeId="0">
      <text>
        <r>
          <rPr>
            <sz val="10"/>
            <color rgb="FF000000"/>
            <rFont val="Arial"/>
          </rPr>
          <t>Jumlah pemilih di Padang
	-Dealysa Puspa Dwita</t>
        </r>
      </text>
    </comment>
    <comment ref="C124" authorId="0" shapeId="0">
      <text>
        <r>
          <rPr>
            <sz val="10"/>
            <color rgb="FF000000"/>
            <rFont val="Arial"/>
          </rPr>
          <t>Atalanta menjadi tim paling menarik di seri A
	-Dealysa Puspa Dwita</t>
        </r>
      </text>
    </comment>
    <comment ref="C125" authorId="0" shapeId="0">
      <text>
        <r>
          <rPr>
            <sz val="10"/>
            <color rgb="FF000000"/>
            <rFont val="Arial"/>
          </rPr>
          <t>pilpres cacat hukum
	-Dealysa Puspa Dwita</t>
        </r>
      </text>
    </comment>
    <comment ref="C127" authorId="0" shapeId="0">
      <text>
        <r>
          <rPr>
            <sz val="10"/>
            <color rgb="FF000000"/>
            <rFont val="Arial"/>
          </rPr>
          <t>Lorenzo motogp diapresiasi sungguh gila
	-Dealysa Puspa Dwita</t>
        </r>
      </text>
    </comment>
    <comment ref="C129" authorId="0" shapeId="0">
      <text>
        <r>
          <rPr>
            <sz val="10"/>
            <color rgb="FF000000"/>
            <rFont val="Arial"/>
          </rPr>
          <t>Berita tentang sutradara Angga Sasongko
	-Dealysa Puspa Dwita</t>
        </r>
      </text>
    </comment>
    <comment ref="C130" authorId="0" shapeId="0">
      <text>
        <r>
          <rPr>
            <sz val="10"/>
            <color rgb="FF000000"/>
            <rFont val="Arial"/>
          </rPr>
          <t>bagi-bagi thr 3.5 miliar
	-Dealysa Puspa Dwita</t>
        </r>
      </text>
    </comment>
    <comment ref="C131" authorId="0" shapeId="0">
      <text>
        <r>
          <rPr>
            <sz val="10"/>
            <color rgb="FF000000"/>
            <rFont val="Arial"/>
          </rPr>
          <t>"Ibu Rumah Tangga Gagal Diet Umumnya karena Kebiasaan Ini"
	-Dealysa Puspa Dwita</t>
        </r>
      </text>
    </comment>
    <comment ref="C132" authorId="0" shapeId="0">
      <text>
        <r>
          <rPr>
            <sz val="10"/>
            <color rgb="FF000000"/>
            <rFont val="Arial"/>
          </rPr>
          <t>harga tiket pesawat gila
	-Dealysa Puspa Dwita</t>
        </r>
      </text>
    </comment>
    <comment ref="C136" authorId="0" shapeId="0">
      <text>
        <r>
          <rPr>
            <sz val="10"/>
            <color rgb="FF000000"/>
            <rFont val="Arial"/>
          </rPr>
          <t>pendaftar bidikmisi di unair
	-Dealysa Puspa Dwita</t>
        </r>
      </text>
    </comment>
    <comment ref="C137" authorId="0" shapeId="0">
      <text>
        <r>
          <rPr>
            <sz val="10"/>
            <color rgb="FF000000"/>
            <rFont val="Arial"/>
          </rPr>
          <t>david beckham disebut gila karena cium anaknya
	-Dealysa Puspa Dwita</t>
        </r>
      </text>
    </comment>
    <comment ref="C138" authorId="0" shapeId="0">
      <text>
        <r>
          <rPr>
            <sz val="10"/>
            <color rgb="FF000000"/>
            <rFont val="Arial"/>
          </rPr>
          <t>pinjaman bank dunia untuk sampah bandung
	-Dealysa Puspa Dwita</t>
        </r>
      </text>
    </comment>
    <comment ref="B141" authorId="0" shapeId="0">
      <text>
        <r>
          <rPr>
            <sz val="10"/>
            <color rgb="FF000000"/>
            <rFont val="Arial"/>
          </rPr>
          <t>sudah direvisi dari data pengganti namun berita merupakan kolom
	-Dealysa Puspa Dwita
betul. nanti akan diperbaiki lg data penggantinya ya
	-Roy Thaniago
Gw gak nemu data ini di sheet data pengganti. Bisa tolong tunjukkan, Dea?
	-Roy Thaniago
eh apakah ini yg kmrn sudah kuperbaiki? yg roy tandai pink? soalnya kode itu kucari di sheet data pengganti gak ada
	-bhena geerushtia
dea berarti kode penggantinya ini ya d-11613-te
	-bhena geerushtia</t>
        </r>
      </text>
    </comment>
    <comment ref="C141" authorId="0" shapeId="0">
      <text>
        <r>
          <rPr>
            <sz val="10"/>
            <color rgb="FF000000"/>
            <rFont val="Arial"/>
          </rPr>
          <t>Anies disamakan dengan Ahok dalam kasus reklamasi
	-Dealysa Puspa Dwita</t>
        </r>
      </text>
    </comment>
    <comment ref="C142" authorId="0" shapeId="0">
      <text>
        <r>
          <rPr>
            <sz val="10"/>
            <color rgb="FF000000"/>
            <rFont val="Arial"/>
          </rPr>
          <t>kolom
	-Dealysa Puspa Dwita</t>
        </r>
      </text>
    </comment>
    <comment ref="C143" authorId="0" shapeId="0">
      <text>
        <r>
          <rPr>
            <sz val="10"/>
            <color rgb="FF000000"/>
            <rFont val="Arial"/>
          </rPr>
          <t>Lorenzo motogp
	-Dealysa Puspa Dwita</t>
        </r>
      </text>
    </comment>
    <comment ref="C144" authorId="0" shapeId="0">
      <text>
        <r>
          <rPr>
            <sz val="10"/>
            <color rgb="FF000000"/>
            <rFont val="Arial"/>
          </rPr>
          <t>bisnis Indonesia Tobacco
	-Dealysa Puspa Dwita</t>
        </r>
      </text>
    </comment>
    <comment ref="C147" authorId="0" shapeId="0">
      <text>
        <r>
          <rPr>
            <sz val="10"/>
            <color rgb="FF000000"/>
            <rFont val="Arial"/>
          </rPr>
          <t>api Asean School Games disimpan
	-Dealysa Puspa Dwita</t>
        </r>
      </text>
    </comment>
    <comment ref="C153" authorId="0" shapeId="0">
      <text>
        <r>
          <rPr>
            <sz val="10"/>
            <color rgb="FF000000"/>
            <rFont val="Arial"/>
          </rPr>
          <t>orang Jerman dikenal gila mobil
	-Dealysa Puspa Dwita</t>
        </r>
      </text>
    </comment>
    <comment ref="C155" authorId="0" shapeId="0">
      <text>
        <r>
          <rPr>
            <sz val="10"/>
            <color rgb="FF000000"/>
            <rFont val="Arial"/>
          </rPr>
          <t>dakwaan terhadap kivlan zein dianggap cacat prosedur
	-Dealysa Puspa Dwita</t>
        </r>
      </text>
    </comment>
    <comment ref="C158" authorId="0" shapeId="0">
      <text>
        <r>
          <rPr>
            <sz val="10"/>
            <color rgb="FF000000"/>
            <rFont val="Arial"/>
          </rPr>
          <t>review drama korea
	-Dealysa Puspa Dwita</t>
        </r>
      </text>
    </comment>
    <comment ref="C159" authorId="0" shapeId="0">
      <text>
        <r>
          <rPr>
            <sz val="10"/>
            <color rgb="FF000000"/>
            <rFont val="Arial"/>
          </rPr>
          <t>Penyakit-penyakit tulang
	-Dealysa Puspa Dwita</t>
        </r>
      </text>
    </comment>
    <comment ref="C161" authorId="0" shapeId="0">
      <text>
        <r>
          <rPr>
            <sz val="10"/>
            <color rgb="FF000000"/>
            <rFont val="Arial"/>
          </rPr>
          <t>kostum untuk 17-an
	-Dealysa Puspa Dwita</t>
        </r>
      </text>
    </comment>
    <comment ref="C162" authorId="0" shapeId="0">
      <text>
        <r>
          <rPr>
            <sz val="10"/>
            <color rgb="FF000000"/>
            <rFont val="Arial"/>
          </rPr>
          <t>budget film gila-gilaan
	-Dealysa Puspa Dwita</t>
        </r>
      </text>
    </comment>
    <comment ref="C163" authorId="0" shapeId="0">
      <text>
        <r>
          <rPr>
            <sz val="10"/>
            <color rgb="FF000000"/>
            <rFont val="Arial"/>
          </rPr>
          <t>"jadi gila" judul lagu RAN
	-Dealysa Puspa Dwita</t>
        </r>
      </text>
    </comment>
    <comment ref="C164" authorId="0" shapeId="0">
      <text>
        <r>
          <rPr>
            <sz val="10"/>
            <color rgb="FF000000"/>
            <rFont val="Arial"/>
          </rPr>
          <t>si buta dari gua hantu
	-Dealysa Puspa Dwita</t>
        </r>
      </text>
    </comment>
    <comment ref="C165" authorId="0" shapeId="0">
      <text>
        <r>
          <rPr>
            <sz val="10"/>
            <color rgb="FF000000"/>
            <rFont val="Arial"/>
          </rPr>
          <t>kelakuan absurd saat orang gabut
	-Dealysa Puspa Dwita</t>
        </r>
      </text>
    </comment>
    <comment ref="C167" authorId="0" shapeId="0">
      <text>
        <r>
          <rPr>
            <sz val="10"/>
            <color rgb="FF000000"/>
            <rFont val="Arial"/>
          </rPr>
          <t>tom holland tentang spiderman
	-Dealysa Puspa Dwita</t>
        </r>
      </text>
    </comment>
    <comment ref="C168" authorId="0" shapeId="0">
      <text>
        <r>
          <rPr>
            <sz val="10"/>
            <color rgb="FF000000"/>
            <rFont val="Arial"/>
          </rPr>
          <t>daftar film indonesia
	-Dealysa Puspa Dwita</t>
        </r>
      </text>
    </comment>
    <comment ref="C171" authorId="0" shapeId="0">
      <text>
        <r>
          <rPr>
            <sz val="10"/>
            <color rgb="FF000000"/>
            <rFont val="Arial"/>
          </rPr>
          <t>foto manipulasi
	-Dealysa Puspa Dwita</t>
        </r>
      </text>
    </comment>
    <comment ref="C173" authorId="0" shapeId="0">
      <text>
        <r>
          <rPr>
            <sz val="10"/>
            <color rgb="FF000000"/>
            <rFont val="Arial"/>
          </rPr>
          <t>halaman tidak ditemukan
	-Dealysa Puspa Dwita</t>
        </r>
      </text>
    </comment>
    <comment ref="C175" authorId="0" shapeId="0">
      <text>
        <r>
          <rPr>
            <sz val="10"/>
            <color rgb="FF000000"/>
            <rFont val="Arial"/>
          </rPr>
          <t>"Dengan Chinese Taipei pernah kami hadapi ketika di U-16, dan Timor Leste juga demikian. Artinya, lawan yang benar-benar kami buta kekuatannya adalah Korea Utara"
	-Dealysa Puspa Dwita</t>
        </r>
      </text>
    </comment>
    <comment ref="C176" authorId="0" shapeId="0">
      <text>
        <r>
          <rPr>
            <sz val="10"/>
            <color rgb="FF000000"/>
            <rFont val="Arial"/>
          </rPr>
          <t>kolom
	-Dealysa Puspa Dwita</t>
        </r>
      </text>
    </comment>
    <comment ref="C181" authorId="0" shapeId="0">
      <text>
        <r>
          <rPr>
            <sz val="10"/>
            <color rgb="FF000000"/>
            <rFont val="Arial"/>
          </rPr>
          <t>Video
	-Dealysa Puspa Dwita</t>
        </r>
      </text>
    </comment>
    <comment ref="C183" authorId="0" shapeId="0">
      <text>
        <r>
          <rPr>
            <sz val="10"/>
            <color rgb="FF000000"/>
            <rFont val="Arial"/>
          </rPr>
          <t>Kali Bencong, nama kali
	-Dealysa Puspa Dwita</t>
        </r>
      </text>
    </comment>
    <comment ref="C184" authorId="0" shapeId="0">
      <text>
        <r>
          <rPr>
            <sz val="10"/>
            <color rgb="FF000000"/>
            <rFont val="Arial"/>
          </rPr>
          <t>Penemuan tulang
	-Dealysa Puspa Dwita</t>
        </r>
      </text>
    </comment>
    <comment ref="C186" authorId="0" shapeId="0">
      <text>
        <r>
          <rPr>
            <sz val="10"/>
            <color rgb="FF000000"/>
            <rFont val="Arial"/>
          </rPr>
          <t>Pemimpin kuil setan
	-Dealysa Puspa Dwita</t>
        </r>
      </text>
    </comment>
    <comment ref="C188" authorId="0" shapeId="0">
      <text>
        <r>
          <rPr>
            <sz val="10"/>
            <color rgb="FF000000"/>
            <rFont val="Arial"/>
          </rPr>
          <t>fans kpop habiskan jutaan demi membeli barang idola
	-Dealysa Puspa Dwita</t>
        </r>
      </text>
    </comment>
    <comment ref="C193" authorId="0" shapeId="0">
      <text>
        <r>
          <rPr>
            <sz val="10"/>
            <color rgb="FF000000"/>
            <rFont val="Arial"/>
          </rPr>
          <t>Perayaan Tu B-Av Yahudi
	-Dealysa Puspa Dwita</t>
        </r>
      </text>
    </comment>
    <comment ref="C197" authorId="0" shapeId="0">
      <text>
        <r>
          <rPr>
            <sz val="10"/>
            <color rgb="FF000000"/>
            <rFont val="Arial"/>
          </rPr>
          <t>valencia vs real betis di copa del rey
	-Dealysa Puspa Dwita</t>
        </r>
      </text>
    </comment>
    <comment ref="C199" authorId="0" shapeId="0">
      <text>
        <r>
          <rPr>
            <sz val="10"/>
            <color rgb="FF000000"/>
            <rFont val="Arial"/>
          </rPr>
          <t>horoskop, zodiak stylish
	-Dealysa Puspa Dwita</t>
        </r>
      </text>
    </comment>
    <comment ref="C200" authorId="0" shapeId="0">
      <text>
        <r>
          <rPr>
            <sz val="10"/>
            <color rgb="FF000000"/>
            <rFont val="Arial"/>
          </rPr>
          <t>destinasi wisata di etiopia
	-Dealysa Puspa Dwita</t>
        </r>
      </text>
    </comment>
    <comment ref="C203" authorId="0" shapeId="0">
      <text>
        <r>
          <rPr>
            <sz val="10"/>
            <color rgb="FF000000"/>
            <rFont val="Arial"/>
          </rPr>
          <t>Manusia dalang punahnya hewan raksasa
	-Dealysa Puspa Dwita</t>
        </r>
      </text>
    </comment>
    <comment ref="C208" authorId="0" shapeId="0">
      <text>
        <r>
          <rPr>
            <sz val="10"/>
            <color rgb="FF000000"/>
            <rFont val="Arial"/>
          </rPr>
          <t>hanya berisi foto-foto lucinta luna
	-Dealysa Puspa Dwita</t>
        </r>
      </text>
    </comment>
    <comment ref="C220" authorId="0" shapeId="0">
      <text>
        <r>
          <rPr>
            <sz val="10"/>
            <color rgb="FF000000"/>
            <rFont val="Arial"/>
          </rPr>
          <t>pembakaran buku harry potter
	-Dealysa Puspa Dwita</t>
        </r>
      </text>
    </comment>
    <comment ref="C221" authorId="0" shapeId="0">
      <text>
        <r>
          <rPr>
            <sz val="10"/>
            <color rgb="FF000000"/>
            <rFont val="Arial"/>
          </rPr>
          <t>hanya berupa infografis
	-Dealysa Puspa Dwita</t>
        </r>
      </text>
    </comment>
    <comment ref="C222" authorId="0" shapeId="0">
      <text>
        <r>
          <rPr>
            <sz val="10"/>
            <color rgb="FF000000"/>
            <rFont val="Arial"/>
          </rPr>
          <t>berita valentino rossi
	-Dealysa Puspa Dwita</t>
        </r>
      </text>
    </comment>
    <comment ref="C227" authorId="0" shapeId="0">
      <text>
        <r>
          <rPr>
            <sz val="10"/>
            <color rgb="FF000000"/>
            <rFont val="Arial"/>
          </rPr>
          <t>Valentino rossi
	-Dealysa Puspa Dwita</t>
        </r>
      </text>
    </comment>
    <comment ref="C230" authorId="0" shapeId="0">
      <text>
        <r>
          <rPr>
            <sz val="10"/>
            <color rgb="FF000000"/>
            <rFont val="Arial"/>
          </rPr>
          <t>Operasi vagina dengan kulit ikan
	-Dealysa Puspa Dwita</t>
        </r>
      </text>
    </comment>
    <comment ref="C231" authorId="0" shapeId="0">
      <text>
        <r>
          <rPr>
            <sz val="10"/>
            <color rgb="FF000000"/>
            <rFont val="Arial"/>
          </rPr>
          <t>kolom
	-Dealysa Puspa Dwita</t>
        </r>
      </text>
    </comment>
    <comment ref="C232" authorId="0" shapeId="0">
      <text>
        <r>
          <rPr>
            <sz val="10"/>
            <color rgb="FF000000"/>
            <rFont val="Arial"/>
          </rPr>
          <t>harga bawang putih
	-Dealysa Puspa Dwita</t>
        </r>
      </text>
    </comment>
    <comment ref="C233" authorId="0" shapeId="0">
      <text>
        <r>
          <rPr>
            <sz val="10"/>
            <color rgb="FF000000"/>
            <rFont val="Arial"/>
          </rPr>
          <t>game
	-Dealysa Puspa Dwita</t>
        </r>
      </text>
    </comment>
    <comment ref="C234" authorId="0" shapeId="0">
      <text>
        <r>
          <rPr>
            <sz val="10"/>
            <color rgb="FF000000"/>
            <rFont val="Arial"/>
          </rPr>
          <t>trump ingatkan inggris hati-hati dengan huawei
	-Dealysa Puspa Dwita</t>
        </r>
      </text>
    </comment>
    <comment ref="C239" authorId="0" shapeId="0">
      <text>
        <r>
          <rPr>
            <sz val="10"/>
            <color rgb="FF000000"/>
            <rFont val="Arial"/>
          </rPr>
          <t>universitas terbaik di dunia
	-Dealysa Puspa Dwita</t>
        </r>
      </text>
    </comment>
    <comment ref="C243" authorId="0" shapeId="0">
      <text>
        <r>
          <rPr>
            <sz val="10"/>
            <color rgb="FF000000"/>
            <rFont val="Arial"/>
          </rPr>
          <t>PAN bergabung dengan pemerintah
	-Dealysa Puspa Dwita</t>
        </r>
      </text>
    </comment>
    <comment ref="C247" authorId="0" shapeId="0">
      <text>
        <r>
          <rPr>
            <sz val="10"/>
            <color rgb="FF000000"/>
            <rFont val="Arial"/>
          </rPr>
          <t>Perwira maju sbg KPK
	-Dealysa Puspa Dwita</t>
        </r>
      </text>
    </comment>
    <comment ref="B250" authorId="0" shapeId="0">
      <text>
        <r>
          <rPr>
            <sz val="10"/>
            <color rgb="FF000000"/>
            <rFont val="Arial"/>
          </rPr>
          <t>foto dena rachman menggunakan kebaya
	-Dealysa Puspa Dwita
kenapa memang? berita ini valid kok.
	-Roy Thaniago</t>
        </r>
      </text>
    </comment>
    <comment ref="C250" authorId="0" shapeId="0">
      <text>
        <r>
          <rPr>
            <sz val="10"/>
            <color rgb="FF000000"/>
            <rFont val="Arial"/>
          </rPr>
          <t>situs budaya
	-Dealysa Puspa Dwita</t>
        </r>
      </text>
    </comment>
    <comment ref="C251" authorId="0" shapeId="0">
      <text>
        <r>
          <rPr>
            <sz val="10"/>
            <color rgb="FF000000"/>
            <rFont val="Arial"/>
          </rPr>
          <t>klinik tompi
	-Dealysa Puspa Dwita</t>
        </r>
      </text>
    </comment>
    <comment ref="C252" authorId="0" shapeId="0">
      <text>
        <r>
          <rPr>
            <sz val="10"/>
            <color rgb="FF000000"/>
            <rFont val="Arial"/>
          </rPr>
          <t>fosil homo sapiens
	-Dealysa Puspa Dwita</t>
        </r>
      </text>
    </comment>
    <comment ref="C253" authorId="0" shapeId="0">
      <text>
        <r>
          <rPr>
            <sz val="10"/>
            <color rgb="FF000000"/>
            <rFont val="Arial"/>
          </rPr>
          <t>homo sapiens
	-Dealysa Puspa Dwita</t>
        </r>
      </text>
    </comment>
    <comment ref="C254" authorId="0" shapeId="0">
      <text>
        <r>
          <rPr>
            <sz val="10"/>
            <color rgb="FF000000"/>
            <rFont val="Arial"/>
          </rPr>
          <t>spiderman far from home
	-Dealysa Puspa Dwita</t>
        </r>
      </text>
    </comment>
    <comment ref="C259" authorId="0" shapeId="0">
      <text>
        <r>
          <rPr>
            <sz val="10"/>
            <color rgb="FF000000"/>
            <rFont val="Arial"/>
          </rPr>
          <t>halaman tidak tersedia
	-Dealysa Puspa Dwita</t>
        </r>
      </text>
    </comment>
    <comment ref="C262" authorId="0" shapeId="0">
      <text>
        <r>
          <rPr>
            <sz val="10"/>
            <color rgb="FF000000"/>
            <rFont val="Arial"/>
          </rPr>
          <t>bridesmaid laki-laki
	-Dealysa Puspa Dwita</t>
        </r>
      </text>
    </comment>
    <comment ref="C263" authorId="0" shapeId="0">
      <text>
        <r>
          <rPr>
            <sz val="10"/>
            <color rgb="FF000000"/>
            <rFont val="Arial"/>
          </rPr>
          <t>perjuangan bertemu westlife
	-Dealysa Puspa Dwita</t>
        </r>
      </text>
    </comment>
    <comment ref="C265" authorId="0" shapeId="0">
      <text>
        <r>
          <rPr>
            <sz val="10"/>
            <color rgb="FF000000"/>
            <rFont val="Arial"/>
          </rPr>
          <t>terapis spa
	-Dealysa Puspa Dwita</t>
        </r>
      </text>
    </comment>
    <comment ref="C266" authorId="0" shapeId="0">
      <text>
        <r>
          <rPr>
            <sz val="10"/>
            <color rgb="FF000000"/>
            <rFont val="Arial"/>
          </rPr>
          <t>sinopsis drama korea
	-Dealysa Puspa Dwita</t>
        </r>
      </text>
    </comment>
    <comment ref="C269" authorId="0" shapeId="0">
      <text>
        <r>
          <rPr>
            <sz val="10"/>
            <color rgb="FF000000"/>
            <rFont val="Arial"/>
          </rPr>
          <t>rezky aditya-citra kirana
	-Dealysa Puspa Dwita</t>
        </r>
      </text>
    </comment>
    <comment ref="C271" authorId="0" shapeId="0">
      <text>
        <r>
          <rPr>
            <sz val="10"/>
            <color rgb="FF000000"/>
            <rFont val="Arial"/>
          </rPr>
          <t>peran mathias muchus
	-Dealysa Puspa Dwita</t>
        </r>
      </text>
    </comment>
    <comment ref="C274" authorId="0" shapeId="0">
      <text>
        <r>
          <rPr>
            <sz val="10"/>
            <color rgb="FF000000"/>
            <rFont val="Arial"/>
          </rPr>
          <t>Baju taylor swift
	-Dealysa Puspa Dwita</t>
        </r>
      </text>
    </comment>
    <comment ref="C275" authorId="0" shapeId="0">
      <text>
        <r>
          <rPr>
            <sz val="10"/>
            <color rgb="FF000000"/>
            <rFont val="Arial"/>
          </rPr>
          <t>Paus berencana angkat kardinal dari indonesia
	-Dealysa Puspa Dwita</t>
        </r>
      </text>
    </comment>
    <comment ref="C277" authorId="0" shapeId="0">
      <text>
        <r>
          <rPr>
            <sz val="10"/>
            <color rgb="FF000000"/>
            <rFont val="Arial"/>
          </rPr>
          <t>Banser
	-Dealysa Puspa Dwita</t>
        </r>
      </text>
    </comment>
    <comment ref="C279" authorId="0" shapeId="0">
      <text>
        <r>
          <rPr>
            <sz val="10"/>
            <color rgb="FF000000"/>
            <rFont val="Arial"/>
          </rPr>
          <t>Denny siregar dan anak stm
	-Dealysa Puspa Dwita</t>
        </r>
      </text>
    </comment>
    <comment ref="C288" authorId="0" shapeId="0">
      <text>
        <r>
          <rPr>
            <sz val="10"/>
            <color rgb="FF000000"/>
            <rFont val="Arial"/>
          </rPr>
          <t>tabloid barokah
	-Dealysa Puspa Dwita</t>
        </r>
      </text>
    </comment>
    <comment ref="C290" authorId="0" shapeId="0">
      <text>
        <r>
          <rPr>
            <sz val="10"/>
            <color rgb="FF000000"/>
            <rFont val="Arial"/>
          </rPr>
          <t>aplikasi fintech
	-Dealysa Puspa Dwita</t>
        </r>
      </text>
    </comment>
    <comment ref="C294" authorId="0" shapeId="0">
      <text>
        <r>
          <rPr>
            <sz val="10"/>
            <color rgb="FF000000"/>
            <rFont val="Arial"/>
          </rPr>
          <t>Lapas Ahmad Dhani penuh Napi Narkoba
	-Dealysa Puspa Dwita</t>
        </r>
      </text>
    </comment>
    <comment ref="C301" authorId="0" shapeId="0">
      <text>
        <r>
          <rPr>
            <sz val="10"/>
            <color rgb="FF000000"/>
            <rFont val="Arial"/>
          </rPr>
          <t>Della Perez sempat ingin menikah dengan diego
	-Dealysa Puspa Dwita</t>
        </r>
      </text>
    </comment>
    <comment ref="C304" authorId="0" shapeId="0">
      <text>
        <r>
          <rPr>
            <sz val="10"/>
            <color rgb="FF000000"/>
            <rFont val="Arial"/>
          </rPr>
          <t>Video
	-Dealysa Puspa Dwita</t>
        </r>
      </text>
    </comment>
    <comment ref="C306" authorId="0" shapeId="0">
      <text>
        <r>
          <rPr>
            <sz val="10"/>
            <color rgb="FF000000"/>
            <rFont val="Arial"/>
          </rPr>
          <t>kolom
	-Dealysa Puspa Dwita</t>
        </r>
      </text>
    </comment>
    <comment ref="C309" authorId="0" shapeId="0">
      <text>
        <r>
          <rPr>
            <sz val="10"/>
            <color rgb="FF000000"/>
            <rFont val="Arial"/>
          </rPr>
          <t>video tindakan yg termasuk pelecehan
	-Dealysa Puspa Dwita</t>
        </r>
      </text>
    </comment>
    <comment ref="C317" authorId="0" shapeId="0">
      <text>
        <r>
          <rPr>
            <sz val="10"/>
            <color rgb="FF000000"/>
            <rFont val="Arial"/>
          </rPr>
          <t>rasisme sepakbola italia
	-Dealysa Puspa Dwita</t>
        </r>
      </text>
    </comment>
    <comment ref="C320" authorId="0" shapeId="0">
      <text>
        <r>
          <rPr>
            <sz val="10"/>
            <color rgb="FF000000"/>
            <rFont val="Arial"/>
          </rPr>
          <t>kolom opini
	-Dealysa Puspa Dwita</t>
        </r>
      </text>
    </comment>
    <comment ref="C321" authorId="0" shapeId="0">
      <text>
        <r>
          <rPr>
            <sz val="10"/>
            <color rgb="FF000000"/>
            <rFont val="Arial"/>
          </rPr>
          <t>website tidak bisa dibuka, has disallowed character
	-Dealysa Puspa Dwita
oke kugantiii
	-bhena geerushtia</t>
        </r>
      </text>
    </comment>
    <comment ref="C325" authorId="0" shapeId="0">
      <text>
        <r>
          <rPr>
            <sz val="10"/>
            <color rgb="FF000000"/>
            <rFont val="Arial"/>
          </rPr>
          <t>tips naik ojek online
	-Dealysa Puspa Dwita</t>
        </r>
      </text>
    </comment>
    <comment ref="C326" authorId="0" shapeId="0">
      <text>
        <r>
          <rPr>
            <sz val="10"/>
            <color rgb="FF000000"/>
            <rFont val="Arial"/>
          </rPr>
          <t>artis korea terkena kasus narkoba
	-Dealysa Puspa Dwita</t>
        </r>
      </text>
    </comment>
    <comment ref="C327" authorId="0" shapeId="0">
      <text>
        <r>
          <rPr>
            <sz val="10"/>
            <color rgb="FF000000"/>
            <rFont val="Arial"/>
          </rPr>
          <t>klaim prabowo presiden
	-Dealysa Puspa Dwita</t>
        </r>
      </text>
    </comment>
    <comment ref="C334" authorId="0" shapeId="0">
      <text>
        <r>
          <rPr>
            <sz val="10"/>
            <color rgb="FF000000"/>
            <rFont val="Arial"/>
          </rPr>
          <t>massa marah karena diberi sumbangan oleh indomaret
	-Dealysa Puspa Dwita</t>
        </r>
      </text>
    </comment>
    <comment ref="C339" authorId="0" shapeId="0">
      <text>
        <r>
          <rPr>
            <sz val="10"/>
            <color rgb="FF000000"/>
            <rFont val="Arial"/>
          </rPr>
          <t>paus beri penghargaan bagi jurnalis
	-Dealysa Puspa Dwita</t>
        </r>
      </text>
    </comment>
    <comment ref="C340" authorId="0" shapeId="0">
      <text>
        <r>
          <rPr>
            <sz val="10"/>
            <color rgb="FF000000"/>
            <rFont val="Arial"/>
          </rPr>
          <t>vanessa angel menangis saat mendengar azan
	-Dealysa Puspa Dwita</t>
        </r>
      </text>
    </comment>
    <comment ref="C341" authorId="0" shapeId="0">
      <text>
        <r>
          <rPr>
            <sz val="10"/>
            <color rgb="FF000000"/>
            <rFont val="Arial"/>
          </rPr>
          <t>pengajuan dakwaan terhadap julian assange
	-Dealysa Puspa Dwita</t>
        </r>
      </text>
    </comment>
    <comment ref="B344" authorId="0" shapeId="0">
      <text>
        <r>
          <rPr>
            <sz val="10"/>
            <color rgb="FF000000"/>
            <rFont val="Arial"/>
          </rPr>
          <t>Sudah dari data pengganti tapi berita merupakan surat pembaca
	-Dealysa Puspa Dwita
betul. Ini akan diganti datanya nanti. +bhenageerushtia@gmail.com
	-Roy Thaniago
p-11438-re kode data ini udh kuganti ya jd ga ada data pengganti
	-bhena geerushtia</t>
        </r>
      </text>
    </comment>
    <comment ref="C344" authorId="0" shapeId="0">
      <text>
        <r>
          <rPr>
            <sz val="10"/>
            <color rgb="FF000000"/>
            <rFont val="Arial"/>
          </rPr>
          <t>neymar dilepas psg
	-Dealysa Puspa Dwita</t>
        </r>
      </text>
    </comment>
    <comment ref="C348" authorId="0" shapeId="0">
      <text>
        <r>
          <rPr>
            <sz val="10"/>
            <color rgb="FF000000"/>
            <rFont val="Arial"/>
          </rPr>
          <t>buku roman atheis
	-Dealysa Puspa Dwita</t>
        </r>
      </text>
    </comment>
    <comment ref="C349" authorId="0" shapeId="0">
      <text>
        <r>
          <rPr>
            <sz val="10"/>
            <color rgb="FF000000"/>
            <rFont val="Arial"/>
          </rPr>
          <t>kesibukan james wan
	-Dealysa Puspa Dwita</t>
        </r>
      </text>
    </comment>
    <comment ref="C350" authorId="0" shapeId="0">
      <text>
        <r>
          <rPr>
            <sz val="10"/>
            <color rgb="FF000000"/>
            <rFont val="Arial"/>
          </rPr>
          <t>presiden la liga tidak ingin neymar pindah
	-Dealysa Puspa Dwita</t>
        </r>
      </text>
    </comment>
    <comment ref="C352" authorId="0" shapeId="0">
      <text>
        <r>
          <rPr>
            <sz val="10"/>
            <color rgb="FF000000"/>
            <rFont val="Arial"/>
          </rPr>
          <t>Dinar Candy rebut pacar orang
	-Dealysa Puspa Dwita</t>
        </r>
      </text>
    </comment>
    <comment ref="C353" authorId="0" shapeId="0">
      <text>
        <r>
          <rPr>
            <sz val="10"/>
            <color rgb="FF000000"/>
            <rFont val="Arial"/>
          </rPr>
          <t>link redirect ke okezone muslim
	-Dealysa Puspa Dwita
ok
	-bhena geerushtia
Gpp, ini tetap masuk. Okezone Muslim kita perlakukan seperti rubrik saja.
	-Roy Thaniago
+roythaniago@gmail.com ini brrti masuk dan menjadi data hijau?
	-bhena geerushtia
iya
	-Roy Thaniago</t>
        </r>
      </text>
    </comment>
    <comment ref="C354" authorId="0" shapeId="0">
      <text>
        <r>
          <rPr>
            <sz val="10"/>
            <color rgb="FF000000"/>
            <rFont val="Arial"/>
          </rPr>
          <t>wawancara neymar hilang
	-Dealysa Puspa Dwita</t>
        </r>
      </text>
    </comment>
    <comment ref="C355" authorId="0" shapeId="0">
      <text>
        <r>
          <rPr>
            <sz val="10"/>
            <color rgb="FF000000"/>
            <rFont val="Arial"/>
          </rPr>
          <t>boxing
	-Dealysa Puspa Dwita</t>
        </r>
      </text>
    </comment>
    <comment ref="C359" authorId="0" shapeId="0">
      <text>
        <r>
          <rPr>
            <sz val="10"/>
            <color rgb="FF000000"/>
            <rFont val="Arial"/>
          </rPr>
          <t>komentar junot di instagram tentang hubungan di luar nikah
	-Dealysa Puspa Dwita</t>
        </r>
      </text>
    </comment>
    <comment ref="C367" authorId="0" shapeId="0">
      <text>
        <r>
          <rPr>
            <sz val="10"/>
            <color rgb="FF000000"/>
            <rFont val="Arial"/>
          </rPr>
          <t>etos kerja dpr dinilai keropos
	-Dealysa Puspa Dwita</t>
        </r>
      </text>
    </comment>
    <comment ref="C369" authorId="0" shapeId="0">
      <text>
        <r>
          <rPr>
            <sz val="10"/>
            <color rgb="FF000000"/>
            <rFont val="Arial"/>
          </rPr>
          <t>kolom
	-Dealysa Puspa Dwita</t>
        </r>
      </text>
    </comment>
    <comment ref="C379" authorId="0" shapeId="0">
      <text>
        <r>
          <rPr>
            <sz val="10"/>
            <color rgb="FF000000"/>
            <rFont val="Arial"/>
          </rPr>
          <t>provokator rasisme papua
	-Dealysa Puspa Dwita</t>
        </r>
      </text>
    </comment>
    <comment ref="C381" authorId="0" shapeId="0">
      <text>
        <r>
          <rPr>
            <sz val="10"/>
            <color rgb="FF000000"/>
            <rFont val="Arial"/>
          </rPr>
          <t>rasisme cagliari
	-Dealysa Puspa Dwita</t>
        </r>
      </text>
    </comment>
    <comment ref="C383" authorId="0" shapeId="0">
      <text>
        <r>
          <rPr>
            <sz val="10"/>
            <color rgb="FF000000"/>
            <rFont val="Arial"/>
          </rPr>
          <t>dosen ugm dukung gejayan memanggil
	-Dealysa Puspa Dwita</t>
        </r>
      </text>
    </comment>
    <comment ref="C387" authorId="0" shapeId="0">
      <text>
        <r>
          <rPr>
            <sz val="10"/>
            <color rgb="FF000000"/>
            <rFont val="Arial"/>
          </rPr>
          <t>demo mujahid dan demo mahasiswa
	-Dealysa Puspa Dwita</t>
        </r>
      </text>
    </comment>
    <comment ref="I403" authorId="0" shapeId="0">
      <text>
        <r>
          <rPr>
            <sz val="10"/>
            <color rgb="FF000000"/>
            <rFont val="Arial"/>
          </rPr>
          <t>kenali gejala skizofrenia
	-bhena geerushtia</t>
        </r>
      </text>
    </comment>
    <comment ref="I424" authorId="0" shapeId="0">
      <text>
        <r>
          <rPr>
            <sz val="10"/>
            <color rgb="FF000000"/>
            <rFont val="Arial"/>
          </rPr>
          <t>penciptaan alat deteksi skizofrenia
	-bhena geerushtia</t>
        </r>
      </text>
    </comment>
    <comment ref="I432" authorId="0" shapeId="0">
      <text>
        <r>
          <rPr>
            <sz val="10"/>
            <color rgb="FF000000"/>
            <rFont val="Arial"/>
          </rPr>
          <t>bakti sosial bagi penderita katarak dari  Sidomuncul
	-bhena geerushtia</t>
        </r>
      </text>
    </comment>
    <comment ref="I445" authorId="0" shapeId="0">
      <text>
        <r>
          <rPr>
            <sz val="10"/>
            <color rgb="FF000000"/>
            <rFont val="Arial"/>
          </rPr>
          <t>homophobia
	-bhena geerushtia</t>
        </r>
      </text>
    </comment>
    <comment ref="I453" authorId="0" shapeId="0">
      <text>
        <r>
          <rPr>
            <sz val="10"/>
            <color rgb="FF000000"/>
            <rFont val="Arial"/>
          </rPr>
          <t>cek fakta soal gender dan pembentukan orientasi  seksual anak
	-bhena geerushtia</t>
        </r>
      </text>
    </comment>
    <comment ref="Q456" authorId="0" shapeId="0">
      <text>
        <r>
          <rPr>
            <sz val="10"/>
            <color rgb="FF000000"/>
            <rFont val="Arial"/>
          </rPr>
          <t>lembaga OPSI
	-bhena geerushtia</t>
        </r>
      </text>
    </comment>
    <comment ref="I478" authorId="0" shapeId="0">
      <text>
        <r>
          <rPr>
            <sz val="10"/>
            <color rgb="FF000000"/>
            <rFont val="Arial"/>
          </rPr>
          <t>mengenal gangguan ekshibisionisme
	-bhena geerushtia</t>
        </r>
      </text>
    </comment>
  </commentList>
</comments>
</file>

<file path=xl/comments4.xml><?xml version="1.0" encoding="utf-8"?>
<comments xmlns="http://schemas.openxmlformats.org/spreadsheetml/2006/main">
  <authors>
    <author/>
  </authors>
  <commentList>
    <comment ref="J6" authorId="0" shapeId="0">
      <text>
        <r>
          <rPr>
            <sz val="10"/>
            <color rgb="FF000000"/>
            <rFont val="Arial"/>
          </rPr>
          <t>(agama marjinal, perempuan, lgbt)
	-Gabrielle Alicia</t>
        </r>
      </text>
    </comment>
    <comment ref="F8" authorId="0" shapeId="0">
      <text>
        <r>
          <rPr>
            <sz val="10"/>
            <color rgb="FF000000"/>
            <rFont val="Arial"/>
          </rPr>
          <t>Syiah Kuala
	-Faris Dzaki</t>
        </r>
      </text>
    </comment>
    <comment ref="F16" authorId="0" shapeId="0">
      <text>
        <r>
          <rPr>
            <sz val="10"/>
            <color rgb="FF000000"/>
            <rFont val="Arial"/>
          </rPr>
          <t>Relevan: memberi gambaraan syiah dalam konteks kelompok marjinal
	-Faris Dzaki</t>
        </r>
      </text>
    </comment>
    <comment ref="J22" authorId="0" shapeId="0">
      <text>
        <r>
          <rPr>
            <sz val="10"/>
            <color rgb="FF000000"/>
            <rFont val="Arial"/>
          </rPr>
          <t>muslim di canada
	-Gabrielle Alicia</t>
        </r>
      </text>
    </comment>
    <comment ref="J23" authorId="0" shapeId="0">
      <text>
        <r>
          <rPr>
            <sz val="10"/>
            <color rgb="FF000000"/>
            <rFont val="Arial"/>
          </rPr>
          <t>muslim di new zealand
	-Gabrielle Alicia</t>
        </r>
      </text>
    </comment>
    <comment ref="J24" authorId="0" shapeId="0">
      <text>
        <r>
          <rPr>
            <sz val="10"/>
            <color rgb="FF000000"/>
            <rFont val="Arial"/>
          </rPr>
          <t>muslim di new zealand
	-Gabrielle Alicia</t>
        </r>
      </text>
    </comment>
    <comment ref="J25" authorId="0" shapeId="0">
      <text>
        <r>
          <rPr>
            <sz val="10"/>
            <color rgb="FF000000"/>
            <rFont val="Arial"/>
          </rPr>
          <t>muslim di new zealand
	-Gabrielle Alicia</t>
        </r>
      </text>
    </comment>
    <comment ref="F27" authorId="0" shapeId="0">
      <text>
        <r>
          <rPr>
            <sz val="10"/>
            <color rgb="FF000000"/>
            <rFont val="Arial"/>
          </rPr>
          <t>abu-abu, mostly irrelevant
	-Faris Dzaki</t>
        </r>
      </text>
    </comment>
    <comment ref="I28" authorId="0" shapeId="0">
      <text>
        <r>
          <rPr>
            <sz val="10"/>
            <color rgb="FF000000"/>
            <rFont val="Arial"/>
          </rPr>
          <t>debat capres pemilu 2019
	-Gabrielle Alicia</t>
        </r>
      </text>
    </comment>
    <comment ref="F32" authorId="0" shapeId="0">
      <text>
        <r>
          <rPr>
            <sz val="10"/>
            <color rgb="FF000000"/>
            <rFont val="Arial"/>
          </rPr>
          <t>sikap US thdp terorisme
	-Gabrielle Alicia</t>
        </r>
      </text>
    </comment>
    <comment ref="F33" authorId="0" shapeId="0">
      <text>
        <r>
          <rPr>
            <sz val="10"/>
            <color rgb="FF000000"/>
            <rFont val="Arial"/>
          </rPr>
          <t>sikap US terhadap terorisme
	-Gabrielle Alicia</t>
        </r>
      </text>
    </comment>
    <comment ref="F34" authorId="0" shapeId="0">
      <text>
        <r>
          <rPr>
            <sz val="10"/>
            <color rgb="FF000000"/>
            <rFont val="Arial"/>
          </rPr>
          <t>sikap US terhadap teroris
	-Gabrielle Alicia</t>
        </r>
      </text>
    </comment>
    <comment ref="F43" authorId="0" shapeId="0">
      <text>
        <r>
          <rPr>
            <sz val="10"/>
            <color rgb="FF000000"/>
            <rFont val="Arial"/>
          </rPr>
          <t>jual beli senjata
	-Gabrielle Alicia</t>
        </r>
      </text>
    </comment>
    <comment ref="F44" authorId="0" shapeId="0">
      <text>
        <r>
          <rPr>
            <sz val="10"/>
            <color rgb="FF000000"/>
            <rFont val="Arial"/>
          </rPr>
          <t>tentang jokowi prabowo
	-Gabrielle Alicia</t>
        </r>
      </text>
    </comment>
    <comment ref="F45" authorId="0" shapeId="0">
      <text>
        <r>
          <rPr>
            <sz val="10"/>
            <color rgb="FF000000"/>
            <rFont val="Arial"/>
          </rPr>
          <t>tentang perusahaan minyak
	-Gabrielle Alicia</t>
        </r>
      </text>
    </comment>
    <comment ref="F46" authorId="0" shapeId="0">
      <text>
        <r>
          <rPr>
            <sz val="10"/>
            <color rgb="FF000000"/>
            <rFont val="Arial"/>
          </rPr>
          <t>kanal opini; bahas pemilu
	-Gabrielle Alicia</t>
        </r>
      </text>
    </comment>
    <comment ref="F47" authorId="0" shapeId="0">
      <text>
        <r>
          <rPr>
            <sz val="10"/>
            <color rgb="FF000000"/>
            <rFont val="Arial"/>
          </rPr>
          <t>gencatan senjara AS - timteng
	-Gabrielle Alicia</t>
        </r>
      </text>
    </comment>
    <comment ref="F48" authorId="0" shapeId="0">
      <text>
        <r>
          <rPr>
            <sz val="10"/>
            <color rgb="FF000000"/>
            <rFont val="Arial"/>
          </rPr>
          <t>kanal "curhat" WNI di luar negeri
	-Gabrielle Alicia</t>
        </r>
      </text>
    </comment>
    <comment ref="F52" authorId="0" shapeId="0">
      <text>
        <r>
          <rPr>
            <sz val="10"/>
            <color rgb="FF000000"/>
            <rFont val="Arial"/>
          </rPr>
          <t>berendam air panas
	-Gabrielle Alicia
wut lol
	-firmanimad</t>
        </r>
      </text>
    </comment>
    <comment ref="F53" authorId="0" shapeId="0">
      <text>
        <r>
          <rPr>
            <sz val="10"/>
            <color rgb="FF000000"/>
            <rFont val="Arial"/>
          </rPr>
          <t>syiah kuala univ.
	-Gabrielle Alicia</t>
        </r>
      </text>
    </comment>
    <comment ref="F55" authorId="0" shapeId="0">
      <text>
        <r>
          <rPr>
            <sz val="10"/>
            <color rgb="FF000000"/>
            <rFont val="Arial"/>
          </rPr>
          <t>univ syiah kuala
	-Gabrielle Alicia</t>
        </r>
      </text>
    </comment>
    <comment ref="F56" authorId="0" shapeId="0">
      <text>
        <r>
          <rPr>
            <sz val="10"/>
            <color rgb="FF000000"/>
            <rFont val="Arial"/>
          </rPr>
          <t>univ. syiah kuala
	-Gabrielle Alicia</t>
        </r>
      </text>
    </comment>
    <comment ref="F57" authorId="0" shapeId="0">
      <text>
        <r>
          <rPr>
            <sz val="10"/>
            <color rgb="FF000000"/>
            <rFont val="Arial"/>
          </rPr>
          <t>gencatan senjata
	-Gabrielle Alicia</t>
        </r>
      </text>
    </comment>
    <comment ref="F59" authorId="0" shapeId="0">
      <text>
        <r>
          <rPr>
            <sz val="10"/>
            <color rgb="FF000000"/>
            <rFont val="Arial"/>
          </rPr>
          <t>acara di stonehenge
	-Gabrielle Alicia</t>
        </r>
      </text>
    </comment>
    <comment ref="F60" authorId="0" shapeId="0">
      <text>
        <r>
          <rPr>
            <sz val="10"/>
            <color rgb="FF000000"/>
            <rFont val="Arial"/>
          </rPr>
          <t>royal wedding
	-Gabrielle Alicia</t>
        </r>
      </text>
    </comment>
    <comment ref="F65" authorId="0" shapeId="0">
      <text>
        <r>
          <rPr>
            <sz val="10"/>
            <color rgb="FF000000"/>
            <rFont val="Arial"/>
          </rPr>
          <t>univ. syiah kuala
	-Gabrielle Alicia</t>
        </r>
      </text>
    </comment>
    <comment ref="F69" authorId="0" shapeId="0">
      <text>
        <r>
          <rPr>
            <sz val="10"/>
            <color rgb="FF000000"/>
            <rFont val="Arial"/>
          </rPr>
          <t>nama orang syiah
	-Gabrielle Alicia</t>
        </r>
      </text>
    </comment>
    <comment ref="F70" authorId="0" shapeId="0">
      <text>
        <r>
          <rPr>
            <sz val="10"/>
            <color rgb="FF000000"/>
            <rFont val="Arial"/>
          </rPr>
          <t>tentang pencegat rudak israel x AS
	-Gabrielle Alicia</t>
        </r>
      </text>
    </comment>
    <comment ref="F73" authorId="0" shapeId="0">
      <text>
        <r>
          <rPr>
            <sz val="10"/>
            <color rgb="FF000000"/>
            <rFont val="Arial"/>
          </rPr>
          <t>univ syiah kuala
	-Gabrielle Alicia</t>
        </r>
      </text>
    </comment>
    <comment ref="F74" authorId="0" shapeId="0">
      <text>
        <r>
          <rPr>
            <sz val="10"/>
            <color rgb="FF000000"/>
            <rFont val="Arial"/>
          </rPr>
          <t>univ syiah kuala
	-Gabrielle Alicia</t>
        </r>
      </text>
    </comment>
    <comment ref="F75" authorId="0" shapeId="0">
      <text>
        <r>
          <rPr>
            <sz val="10"/>
            <color rgb="FF000000"/>
            <rFont val="Arial"/>
          </rPr>
          <t>unsyiah
	-Gabrielle Alicia</t>
        </r>
      </text>
    </comment>
    <comment ref="F76" authorId="0" shapeId="0">
      <text>
        <r>
          <rPr>
            <sz val="10"/>
            <color rgb="FF000000"/>
            <rFont val="Arial"/>
          </rPr>
          <t>awards
	-Gabrielle Alicia</t>
        </r>
      </text>
    </comment>
    <comment ref="F77" authorId="0" shapeId="0">
      <text>
        <r>
          <rPr>
            <sz val="10"/>
            <color rgb="FF000000"/>
            <rFont val="Arial"/>
          </rPr>
          <t>berita tidak relevan
	-Gabrielle Alicia</t>
        </r>
      </text>
    </comment>
    <comment ref="I93" authorId="0" shapeId="0">
      <text>
        <r>
          <rPr>
            <sz val="10"/>
            <color rgb="FF000000"/>
            <rFont val="Arial"/>
          </rPr>
          <t>hasil penelitian
	-Tia Hanifa</t>
        </r>
      </text>
    </comment>
    <comment ref="J94" authorId="0" shapeId="0">
      <text>
        <r>
          <rPr>
            <sz val="10"/>
            <color rgb="FF000000"/>
            <rFont val="Arial"/>
          </rPr>
          <t>dua cluster marjiinal dibahas: perempuan dan disabilitas
	-Tia Hanifa</t>
        </r>
      </text>
    </comment>
    <comment ref="I137" authorId="0" shapeId="0">
      <text>
        <r>
          <rPr>
            <sz val="10"/>
            <color rgb="FF000000"/>
            <rFont val="Arial"/>
          </rPr>
          <t>setnov bukan disabled
	-Tia Hanifa</t>
        </r>
      </text>
    </comment>
    <comment ref="J149" authorId="0" shapeId="0">
      <text>
        <r>
          <rPr>
            <sz val="10"/>
            <color rgb="FF000000"/>
            <rFont val="Arial"/>
          </rPr>
          <t>yang disabled ikan...
	-Tia Hanifa</t>
        </r>
      </text>
    </comment>
    <comment ref="I152" authorId="0" shapeId="0">
      <text>
        <r>
          <rPr>
            <sz val="10"/>
            <color rgb="FF000000"/>
            <rFont val="Arial"/>
          </rPr>
          <t>review film
	-Tia Hanifa</t>
        </r>
      </text>
    </comment>
    <comment ref="J155" authorId="0" shapeId="0">
      <text>
        <r>
          <rPr>
            <sz val="10"/>
            <color rgb="FF000000"/>
            <rFont val="Arial"/>
          </rPr>
          <t>yang "cacat" sapi
	-Tia Hanifa</t>
        </r>
      </text>
    </comment>
    <comment ref="J158" authorId="0" shapeId="0">
      <text>
        <r>
          <rPr>
            <sz val="10"/>
            <color rgb="FF000000"/>
            <rFont val="Arial"/>
          </rPr>
          <t>gaada ttg disabilitas
	-Tia Hanifa</t>
        </r>
      </text>
    </comment>
    <comment ref="J159" authorId="0" shapeId="0">
      <text>
        <r>
          <rPr>
            <sz val="10"/>
            <color rgb="FF000000"/>
            <rFont val="Arial"/>
          </rPr>
          <t>gaada ttg disabilitas
	-Tia Hanifa</t>
        </r>
      </text>
    </comment>
    <comment ref="B160" authorId="0" shapeId="0">
      <text>
        <r>
          <rPr>
            <sz val="10"/>
            <color rgb="FF000000"/>
            <rFont val="Arial"/>
          </rPr>
          <t>Tiaa ini kodenya hilaang, bisa dicek lagi ga?
	-bhena geerushtia
aku cr data penggantiny pake kode ini dulu ya "2"
	-bhena geerushtia
ok ka, ini ternyata d-16130-cn
	-Tia Hanifa</t>
        </r>
      </text>
    </comment>
    <comment ref="J185" authorId="0" shapeId="0">
      <text>
        <r>
          <rPr>
            <sz val="10"/>
            <color rgb="FF000000"/>
            <rFont val="Arial"/>
          </rPr>
          <t>prostitusi
	-Tia Hanifa</t>
        </r>
      </text>
    </comment>
    <comment ref="B205" authorId="0" shapeId="0">
      <text>
        <r>
          <rPr>
            <sz val="10"/>
            <color rgb="FF000000"/>
            <rFont val="Arial"/>
          </rPr>
          <t>ini dah adaya, data penggantinya tidak ada
	-bhena geerushtia</t>
        </r>
      </text>
    </comment>
    <comment ref="J208" authorId="0" shapeId="0">
      <text>
        <r>
          <rPr>
            <sz val="10"/>
            <color rgb="FF000000"/>
            <rFont val="Arial"/>
          </rPr>
          <t>perempuan, LGBT, disabilitas
	-Tia Hanifa</t>
        </r>
      </text>
    </comment>
    <comment ref="J210" authorId="0" shapeId="0">
      <text>
        <r>
          <rPr>
            <sz val="10"/>
            <color rgb="FF000000"/>
            <rFont val="Arial"/>
          </rPr>
          <t>disabilitas, identitas gender
	-Tia Hanifa</t>
        </r>
      </text>
    </comment>
    <comment ref="I239" authorId="0" shapeId="0">
      <text>
        <r>
          <rPr>
            <sz val="10"/>
            <color rgb="FF000000"/>
            <rFont val="Arial"/>
          </rPr>
          <t>ulasan film
	-Tia Hanifa</t>
        </r>
      </text>
    </comment>
    <comment ref="I249" authorId="0" shapeId="0">
      <text>
        <r>
          <rPr>
            <sz val="10"/>
            <color rgb="FF000000"/>
            <rFont val="Arial"/>
          </rPr>
          <t>syarat
	-Tia Hanifa</t>
        </r>
      </text>
    </comment>
    <comment ref="I262" authorId="0" shapeId="0">
      <text>
        <r>
          <rPr>
            <sz val="10"/>
            <color rgb="FF000000"/>
            <rFont val="Arial"/>
          </rPr>
          <t>opini
	-Tia Hanifa</t>
        </r>
      </text>
    </comment>
    <comment ref="I283" authorId="0" shapeId="0">
      <text>
        <r>
          <rPr>
            <sz val="10"/>
            <color rgb="FF000000"/>
            <rFont val="Arial"/>
          </rPr>
          <t>prostitusi
	-Tia Hanifa</t>
        </r>
      </text>
    </comment>
    <comment ref="I284" authorId="0" shapeId="0">
      <text>
        <r>
          <rPr>
            <sz val="10"/>
            <color rgb="FF000000"/>
            <rFont val="Arial"/>
          </rPr>
          <t>prostitusi
	-Tia Hanifa</t>
        </r>
      </text>
    </comment>
    <comment ref="B331" authorId="0" shapeId="0">
      <text>
        <r>
          <rPr>
            <sz val="10"/>
            <color rgb="FF000000"/>
            <rFont val="Arial"/>
          </rPr>
          <t>dat apenggantinya ini ya p-8754-de
	-bhena geerushtia</t>
        </r>
      </text>
    </comment>
    <comment ref="J341" authorId="0" shapeId="0">
      <text>
        <r>
          <rPr>
            <sz val="10"/>
            <color rgb="FF000000"/>
            <rFont val="Arial"/>
          </rPr>
          <t>perempuan &amp; orientasi seksual (1, 3)
	-Tia Hanifa</t>
        </r>
      </text>
    </comment>
    <comment ref="J343" authorId="0" shapeId="0">
      <text>
        <r>
          <rPr>
            <sz val="10"/>
            <color rgb="FF000000"/>
            <rFont val="Arial"/>
          </rPr>
          <t>perempuan dan LGBT (1, 3)
	-Tia Hanifa</t>
        </r>
      </text>
    </comment>
    <comment ref="J367" authorId="0" shapeId="0">
      <text>
        <r>
          <rPr>
            <sz val="10"/>
            <color rgb="FF000000"/>
            <rFont val="Arial"/>
          </rPr>
          <t>lelaki yang dianiaya
	-Tia Hanifa</t>
        </r>
      </text>
    </comment>
    <comment ref="J368" authorId="0" shapeId="0">
      <text>
        <r>
          <rPr>
            <sz val="10"/>
            <color rgb="FF000000"/>
            <rFont val="Arial"/>
          </rPr>
          <t>lelaki yang dianiaya
	-Tia Hanifa</t>
        </r>
      </text>
    </comment>
    <comment ref="J371" authorId="0" shapeId="0">
      <text>
        <r>
          <rPr>
            <sz val="10"/>
            <color rgb="FF000000"/>
            <rFont val="Arial"/>
          </rPr>
          <t>anak
	-Tia Hanifa</t>
        </r>
      </text>
    </comment>
    <comment ref="J373" authorId="0" shapeId="0">
      <text>
        <r>
          <rPr>
            <sz val="10"/>
            <color rgb="FF000000"/>
            <rFont val="Arial"/>
          </rPr>
          <t>anak
	-Tia Hanifa</t>
        </r>
      </text>
    </comment>
    <comment ref="I380" authorId="0" shapeId="0">
      <text>
        <r>
          <rPr>
            <sz val="10"/>
            <color rgb="FF000000"/>
            <rFont val="Arial"/>
          </rPr>
          <t>sinopsis film
	-Tia Hanifa</t>
        </r>
      </text>
    </comment>
    <comment ref="B392" authorId="0" shapeId="0">
      <text>
        <r>
          <rPr>
            <sz val="10"/>
            <color rgb="FF000000"/>
            <rFont val="Arial"/>
          </rPr>
          <t>sudah dicek , tidak ada data pengganti ya
	-bhena geerushtia</t>
        </r>
      </text>
    </comment>
    <comment ref="B397" authorId="0" shapeId="0">
      <text>
        <r>
          <rPr>
            <sz val="10"/>
            <color rgb="FF000000"/>
            <rFont val="Arial"/>
          </rPr>
          <t>sudah di cek tidak ada data pengganti ya
	-bhena geerushtia</t>
        </r>
      </text>
    </comment>
    <comment ref="B401" authorId="0" shapeId="0">
      <text>
        <r>
          <rPr>
            <sz val="10"/>
            <color rgb="FF000000"/>
            <rFont val="Arial"/>
          </rPr>
          <t>sudah dicek tidak ada data pengganti ya
	-bhena geerushtia</t>
        </r>
      </text>
    </comment>
    <comment ref="J403" authorId="0" shapeId="0">
      <text>
        <r>
          <rPr>
            <sz val="10"/>
            <color rgb="FF000000"/>
            <rFont val="Arial"/>
          </rPr>
          <t>agama minoritas, tapi kayak kristen gt yg ttp masuk ke 6 agama yg diakui indonesia, jd bingung
	-Tia Hanifa
Gpp, ini tetap berita yang valid, Tia.
	-Roy Thaniago</t>
        </r>
      </text>
    </comment>
    <comment ref="J404" authorId="0" shapeId="0">
      <text>
        <r>
          <rPr>
            <sz val="10"/>
            <color rgb="FF000000"/>
            <rFont val="Arial"/>
          </rPr>
          <t>univ syiah kuala
	-Tia Hanifa</t>
        </r>
      </text>
    </comment>
    <comment ref="F430" authorId="0" shapeId="0">
      <text>
        <r>
          <rPr>
            <sz val="10"/>
            <color rgb="FF000000"/>
            <rFont val="Arial"/>
          </rPr>
          <t>halaman udh gabisa diakses
	-Tia Hanifa</t>
        </r>
      </text>
    </comment>
    <comment ref="J435" authorId="0" shapeId="0">
      <text>
        <r>
          <rPr>
            <sz val="10"/>
            <color rgb="FF000000"/>
            <rFont val="Arial"/>
          </rPr>
          <t>kursi roda tp bkn disabilitas
	-Tia Hanifa</t>
        </r>
      </text>
    </comment>
    <comment ref="J444" authorId="0" shapeId="0">
      <text>
        <r>
          <rPr>
            <sz val="10"/>
            <color rgb="FF000000"/>
            <rFont val="Arial"/>
          </rPr>
          <t>zodiak
	-Tia Hanifa</t>
        </r>
      </text>
    </comment>
    <comment ref="J451" authorId="0" shapeId="0">
      <text>
        <r>
          <rPr>
            <sz val="10"/>
            <color rgb="FF000000"/>
            <rFont val="Arial"/>
          </rPr>
          <t>LGBT &amp; perempuan dlm kekerasan
	-Tia Hanifa</t>
        </r>
      </text>
    </comment>
    <comment ref="I454" authorId="0" shapeId="0">
      <text>
        <r>
          <rPr>
            <sz val="10"/>
            <color rgb="FF000000"/>
            <rFont val="Arial"/>
          </rPr>
          <t>representasi pada film
	-Tia Hanifa</t>
        </r>
      </text>
    </comment>
  </commentList>
</comments>
</file>

<file path=xl/comments5.xml><?xml version="1.0" encoding="utf-8"?>
<comments xmlns="http://schemas.openxmlformats.org/spreadsheetml/2006/main">
  <authors>
    <author/>
  </authors>
  <commentList>
    <comment ref="B1" authorId="0" shapeId="0">
      <text>
        <r>
          <rPr>
            <sz val="10"/>
            <color rgb="FF000000"/>
            <rFont val="Arial"/>
          </rPr>
          <t>Univ Syiah di Aceh
	-Afkar Aristo</t>
        </r>
      </text>
    </comment>
    <comment ref="B2" authorId="0" shapeId="0">
      <text>
        <r>
          <rPr>
            <sz val="10"/>
            <color rgb="FF000000"/>
            <rFont val="Arial"/>
          </rPr>
          <t>berita tidak valid, di luar negeri
	-Afkar Aristo</t>
        </r>
      </text>
    </comment>
    <comment ref="B5" authorId="0" shapeId="0">
      <text>
        <r>
          <rPr>
            <sz val="10"/>
            <color rgb="FF000000"/>
            <rFont val="Arial"/>
          </rPr>
          <t>syiah nama univ
	-Afkar Aristo</t>
        </r>
      </text>
    </comment>
    <comment ref="B8" authorId="0" shapeId="0">
      <text>
        <r>
          <rPr>
            <sz val="10"/>
            <color rgb="FF000000"/>
            <rFont val="Arial"/>
          </rPr>
          <t>Syiah nama pantai di Aceh
	-Afkar Aristo</t>
        </r>
      </text>
    </comment>
    <comment ref="B15" authorId="0" shapeId="0">
      <text>
        <r>
          <rPr>
            <sz val="10"/>
            <color rgb="FF000000"/>
            <rFont val="Arial"/>
          </rPr>
          <t>berita bahas E-KTP asing, isu agama cuma sebatas kata.
	-Afkar Aristo</t>
        </r>
      </text>
    </comment>
    <comment ref="B16" authorId="0" shapeId="0">
      <text>
        <r>
          <rPr>
            <sz val="10"/>
            <color rgb="FF000000"/>
            <rFont val="Arial"/>
          </rPr>
          <t>urusan pembangunan masjid
	-Afkar Aristo
Syiah dalam konteks konflik TimTeng
	-Faris Dzaki</t>
        </r>
      </text>
    </comment>
    <comment ref="B17" authorId="0" shapeId="0">
      <text>
        <r>
          <rPr>
            <sz val="10"/>
            <color rgb="FF000000"/>
            <rFont val="Arial"/>
          </rPr>
          <t>Kecamatan Syiah Aceh
	-Afkar Aristo</t>
        </r>
      </text>
    </comment>
    <comment ref="B18" authorId="0" shapeId="0">
      <text>
        <r>
          <rPr>
            <sz val="10"/>
            <color rgb="FF000000"/>
            <rFont val="Arial"/>
          </rPr>
          <t>syiah aceh
	-Afkar Aristo</t>
        </r>
      </text>
    </comment>
    <comment ref="B21" authorId="0" shapeId="0">
      <text>
        <r>
          <rPr>
            <sz val="10"/>
            <color rgb="FF000000"/>
            <rFont val="Arial"/>
          </rPr>
          <t>KTP asing
	-Afkar Aristo</t>
        </r>
      </text>
    </comment>
    <comment ref="B22" authorId="0" shapeId="0">
      <text>
        <r>
          <rPr>
            <sz val="10"/>
            <color rgb="FF000000"/>
            <rFont val="Arial"/>
          </rPr>
          <t>syiah universitas
	-Afkar Aristo</t>
        </r>
      </text>
    </comment>
    <comment ref="B23" authorId="0" shapeId="0">
      <text>
        <r>
          <rPr>
            <sz val="10"/>
            <color rgb="FF000000"/>
            <rFont val="Arial"/>
          </rPr>
          <t>Syiah Universitas
	-Afkar Aristo</t>
        </r>
      </text>
    </comment>
    <comment ref="B25" authorId="0" shapeId="0">
      <text>
        <r>
          <rPr>
            <sz val="10"/>
            <color rgb="FF000000"/>
            <rFont val="Arial"/>
          </rPr>
          <t>syiah universitas
	-Afkar Aristo</t>
        </r>
      </text>
    </comment>
    <comment ref="B27" authorId="0" shapeId="0">
      <text>
        <r>
          <rPr>
            <sz val="10"/>
            <color rgb="FF000000"/>
            <rFont val="Arial"/>
          </rPr>
          <t>berita tidak relevan
	-Afkar Aristo</t>
        </r>
      </text>
    </comment>
    <comment ref="B28" authorId="0" shapeId="0">
      <text>
        <r>
          <rPr>
            <sz val="10"/>
            <color rgb="FF000000"/>
            <rFont val="Arial"/>
          </rPr>
          <t>berita tidak relevan
	-Afkar Aristo</t>
        </r>
      </text>
    </comment>
    <comment ref="B29" authorId="0" shapeId="0">
      <text>
        <r>
          <rPr>
            <sz val="10"/>
            <color rgb="FF000000"/>
            <rFont val="Arial"/>
          </rPr>
          <t>berita tidak relevan, Syiah yang tergempur oleh ISIS
	-Afkar Aristo</t>
        </r>
      </text>
    </comment>
    <comment ref="B32" authorId="0" shapeId="0">
      <text>
        <r>
          <rPr>
            <sz val="10"/>
            <color rgb="FF000000"/>
            <rFont val="Arial"/>
          </rPr>
          <t>berita tidak relevan, partai Syiah Iran
	-Afkar Aristo</t>
        </r>
      </text>
    </comment>
    <comment ref="B34" authorId="0" shapeId="0">
      <text>
        <r>
          <rPr>
            <sz val="10"/>
            <color rgb="FF000000"/>
            <rFont val="Arial"/>
          </rPr>
          <t>berita tidak relevan, syiah nama universitas
	-Afkar Aristo</t>
        </r>
      </text>
    </comment>
    <comment ref="B35" authorId="0" shapeId="0">
      <text>
        <r>
          <rPr>
            <sz val="10"/>
            <color rgb="FF000000"/>
            <rFont val="Arial"/>
          </rPr>
          <t>tidak relevan, syiah ideologi iran
	-Afkar Aristo</t>
        </r>
      </text>
    </comment>
    <comment ref="B36" authorId="0" shapeId="0">
      <text>
        <r>
          <rPr>
            <sz val="10"/>
            <color rgb="FF000000"/>
            <rFont val="Arial"/>
          </rPr>
          <t>syiah untuk berita tambahan konflik internasional iran
	-Afkar Aristo</t>
        </r>
      </text>
    </comment>
    <comment ref="B37" authorId="0" shapeId="0">
      <text>
        <r>
          <rPr>
            <sz val="10"/>
            <color rgb="FF000000"/>
            <rFont val="Arial"/>
          </rPr>
          <t>Berita perang ISIS, Syiah yang bersekutu dengan Sunni, Kristen untuk melawan ISIS
	-Afkar Aristo</t>
        </r>
      </text>
    </comment>
    <comment ref="B39" authorId="0" shapeId="0">
      <text>
        <r>
          <rPr>
            <sz val="10"/>
            <color rgb="FF000000"/>
            <rFont val="Arial"/>
          </rPr>
          <t>berita tidak relevan, membahas hukuman mati di Arab Saudi yang ditentang PBB
	-Afkar Aristo</t>
        </r>
      </text>
    </comment>
    <comment ref="B40" authorId="0" shapeId="0">
      <text>
        <r>
          <rPr>
            <sz val="10"/>
            <color rgb="FF000000"/>
            <rFont val="Arial"/>
          </rPr>
          <t>berita tidak relevan, membahas hukuman mati Arab Saudi yang dikecam PBB
	-Afkar Aristo</t>
        </r>
      </text>
    </comment>
    <comment ref="B41" authorId="0" shapeId="0">
      <text>
        <r>
          <rPr>
            <sz val="10"/>
            <color rgb="FF000000"/>
            <rFont val="Arial"/>
          </rPr>
          <t>berita tidak relevan, berita penangkapan permasalahan politik luar negeri syiah-sunni Arab Saudi
	-Afkar Aristo</t>
        </r>
      </text>
    </comment>
    <comment ref="B42" authorId="0" shapeId="0">
      <text>
        <r>
          <rPr>
            <sz val="10"/>
            <color rgb="FF000000"/>
            <rFont val="Arial"/>
          </rPr>
          <t>mahasiswa universitas syiah aceh
	-Afkar Aristo</t>
        </r>
      </text>
    </comment>
    <comment ref="B43" authorId="0" shapeId="0">
      <text>
        <r>
          <rPr>
            <sz val="10"/>
            <color rgb="FF000000"/>
            <rFont val="Arial"/>
          </rPr>
          <t>berita pengeboman masjid, tidak ada unsur agama marjinal dengan teks menyerang marjinal. pemberitaan sangat rancu
	-Afkar Aristo</t>
        </r>
      </text>
    </comment>
    <comment ref="B44" authorId="0" shapeId="0">
      <text>
        <r>
          <rPr>
            <sz val="10"/>
            <color rgb="FF000000"/>
            <rFont val="Arial"/>
          </rPr>
          <t>berita perang Iran Irak
	-Afkar Aristo</t>
        </r>
      </text>
    </comment>
    <comment ref="B45" authorId="0" shapeId="0">
      <text>
        <r>
          <rPr>
            <sz val="10"/>
            <color rgb="FF000000"/>
            <rFont val="Arial"/>
          </rPr>
          <t>berita membahas pendukung jokowi dan prabowo. ditemukan kata minoritas (yang kemungkinan peneliti pakai kata tersebut untuk cari artikel) sebagai penyebaran data pendukung jokowi
	-Afkar Aristo</t>
        </r>
      </text>
    </comment>
    <comment ref="B46" authorId="0" shapeId="0">
      <text>
        <r>
          <rPr>
            <sz val="10"/>
            <color rgb="FF000000"/>
            <rFont val="Arial"/>
          </rPr>
          <t>artikel penjelasan tentang gelar amirul mukmin dari sudut pandang sunni dan syiah
	-Afkar Aristo</t>
        </r>
      </text>
    </comment>
    <comment ref="B49" authorId="0" shapeId="0">
      <text>
        <r>
          <rPr>
            <sz val="10"/>
            <color rgb="FF000000"/>
            <rFont val="Arial"/>
          </rPr>
          <t>berita tidak relevan, perang arab vs yaman
	-Afkar Aristo</t>
        </r>
      </text>
    </comment>
    <comment ref="B50" authorId="0" shapeId="0">
      <text>
        <r>
          <rPr>
            <sz val="10"/>
            <color rgb="FF000000"/>
            <rFont val="Arial"/>
          </rPr>
          <t>universitas syiah
	-Afkar Aristo</t>
        </r>
      </text>
    </comment>
    <comment ref="B51" authorId="0" shapeId="0">
      <text>
        <r>
          <rPr>
            <sz val="10"/>
            <color rgb="FF000000"/>
            <rFont val="Arial"/>
          </rPr>
          <t>universitas syiah aceh
	-Afkar Aristo</t>
        </r>
      </text>
    </comment>
    <comment ref="B52" authorId="0" shapeId="0">
      <text>
        <r>
          <rPr>
            <sz val="10"/>
            <color rgb="FF000000"/>
            <rFont val="Arial"/>
          </rPr>
          <t>kecamatan syiah aceh
	-Afkar Aristo</t>
        </r>
      </text>
    </comment>
    <comment ref="B54" authorId="0" shapeId="0">
      <text>
        <r>
          <rPr>
            <sz val="10"/>
            <color rgb="FF000000"/>
            <rFont val="Arial"/>
          </rPr>
          <t>universitas syiah
	-Afkar Aristo</t>
        </r>
      </text>
    </comment>
    <comment ref="B57" authorId="0" shapeId="0">
      <text>
        <r>
          <rPr>
            <sz val="10"/>
            <color rgb="FF000000"/>
            <rFont val="Arial"/>
          </rPr>
          <t>berita tidak relevan, mengenai hukuman mati aktivis arab saudi
	-Afkar Aristo</t>
        </r>
      </text>
    </comment>
    <comment ref="B58" authorId="0" shapeId="0">
      <text>
        <r>
          <rPr>
            <sz val="10"/>
            <color rgb="FF000000"/>
            <rFont val="Arial"/>
          </rPr>
          <t>berrita tidak relevan, membahas hak istimewa kashmir
	-Afkar Aristo</t>
        </r>
      </text>
    </comment>
    <comment ref="B59" authorId="0" shapeId="0">
      <text>
        <r>
          <rPr>
            <sz val="10"/>
            <color rgb="FF000000"/>
            <rFont val="Arial"/>
          </rPr>
          <t>berita tidak relevan, mengenai ledakan di Kabul Afghanistan, belum pasti menyerang marjinal
	-Afkar Aristo</t>
        </r>
      </text>
    </comment>
    <comment ref="B60" authorId="0" shapeId="0">
      <text>
        <r>
          <rPr>
            <sz val="10"/>
            <color rgb="FF000000"/>
            <rFont val="Arial"/>
          </rPr>
          <t>berita tidak relevan, mengenai pengeboman di pernikahan kabul, tidak ada motif menyerang marjinal. sama kayak artikel sebelumnya. Motifnya di sini karena adanya diskusi Taliban-Amerika
	-Afkar Aristo</t>
        </r>
      </text>
    </comment>
    <comment ref="B61" authorId="0" shapeId="0">
      <text>
        <r>
          <rPr>
            <sz val="10"/>
            <color rgb="FF000000"/>
            <rFont val="Arial"/>
          </rPr>
          <t>tidak relevan, berita pengeboman di acara pernikahan
	-Afkar Aristo</t>
        </r>
      </text>
    </comment>
    <comment ref="B63" authorId="0" shapeId="0">
      <text>
        <r>
          <rPr>
            <sz val="10"/>
            <color rgb="FF000000"/>
            <rFont val="Arial"/>
          </rPr>
          <t>dugaan serangan drone dalam konflik Lebanon-Israel
	-Afkar Aristo</t>
        </r>
      </text>
    </comment>
    <comment ref="B64" authorId="0" shapeId="0">
      <text>
        <r>
          <rPr>
            <sz val="10"/>
            <color rgb="FF000000"/>
            <rFont val="Arial"/>
          </rPr>
          <t>universitas syiah aceh
	-Afkar Aristo</t>
        </r>
      </text>
    </comment>
    <comment ref="B65" authorId="0" shapeId="0">
      <text>
        <r>
          <rPr>
            <sz val="10"/>
            <color rgb="FF000000"/>
            <rFont val="Arial"/>
          </rPr>
          <t>berita tidak relevan, tuding-tudingan israel-syiah
	-Afkar Aristo</t>
        </r>
      </text>
    </comment>
    <comment ref="B66" authorId="0" shapeId="0">
      <text>
        <r>
          <rPr>
            <sz val="10"/>
            <color rgb="FF000000"/>
            <rFont val="Arial"/>
          </rPr>
          <t>berita tidak relevan, kritik dari dosen univ syiah
	-Afkar Aristo</t>
        </r>
      </text>
    </comment>
    <comment ref="B68" authorId="0" shapeId="0">
      <text>
        <r>
          <rPr>
            <sz val="10"/>
            <color rgb="FF000000"/>
            <rFont val="Arial"/>
          </rPr>
          <t>berita tidak relevan, serangan hizbullah lebanon terhadap israel
	-Afkar Aristo</t>
        </r>
      </text>
    </comment>
    <comment ref="B69" authorId="0" shapeId="0">
      <text>
        <r>
          <rPr>
            <sz val="10"/>
            <color rgb="FF000000"/>
            <rFont val="Arial"/>
          </rPr>
          <t>berita tidak relevan, unsyiah aceh
	-Afkar Aristo</t>
        </r>
      </text>
    </comment>
    <comment ref="B70" authorId="0" shapeId="0">
      <text>
        <r>
          <rPr>
            <sz val="10"/>
            <color rgb="FF000000"/>
            <rFont val="Arial"/>
          </rPr>
          <t>berita tidak relevan, ahmadiyah nama museum
	-Afkar Aristo
setelah ditelusuri, museum ini resmi dikelola komunitas Ahmadiyah. Berarti ia contoh representasi Ahmadiyah.
	-firmanimad</t>
        </r>
      </text>
    </comment>
    <comment ref="B71" authorId="0" shapeId="0">
      <text>
        <r>
          <rPr>
            <sz val="10"/>
            <color rgb="FF000000"/>
            <rFont val="Arial"/>
          </rPr>
          <t>berita tidak relevan, difable di sini hanya ada pada teks "Tokoh inspiratif penggerak pendidikan inklusi bagi difable"
	-Afkar Aristo</t>
        </r>
      </text>
    </comment>
    <comment ref="B73" authorId="0" shapeId="0">
      <text>
        <r>
          <rPr>
            <sz val="10"/>
            <color rgb="FF000000"/>
            <rFont val="Arial"/>
          </rPr>
          <t>berita tidak relevan, hanya bahas klasemen dan pertandingan Manchester City vs Wolves
	-Afkar Aristo</t>
        </r>
      </text>
    </comment>
    <comment ref="B74" authorId="0" shapeId="0">
      <text>
        <r>
          <rPr>
            <sz val="10"/>
            <color rgb="FF000000"/>
            <rFont val="Arial"/>
          </rPr>
          <t>berita tidak relevan, mengenai bpjs ketenagakerjaan yang berlaku untuk segala kecelakaan kerja
	-Afkar Aristo</t>
        </r>
      </text>
    </comment>
    <comment ref="B78" authorId="0" shapeId="0">
      <text>
        <r>
          <rPr>
            <sz val="10"/>
            <color rgb="FF000000"/>
            <rFont val="Arial"/>
          </rPr>
          <t>berita tidak relevan, membahas vanessa angel yang pingsan
	-Afkar Aristo</t>
        </r>
      </text>
    </comment>
    <comment ref="B79" authorId="0" shapeId="0">
      <text>
        <r>
          <rPr>
            <sz val="10"/>
            <color rgb="FF000000"/>
            <rFont val="Arial"/>
          </rPr>
          <t>berita tidak relevan, membahas adopsi anak
	-Afkar Aristo</t>
        </r>
      </text>
    </comment>
    <comment ref="B80" authorId="0" shapeId="0">
      <text>
        <r>
          <rPr>
            <sz val="10"/>
            <color rgb="FF000000"/>
            <rFont val="Arial"/>
          </rPr>
          <t>berita tidak relevan, menjadikan kata disabilitas sebagai data untuk bala bantuan pemerintah
	-Afkar Aristo</t>
        </r>
      </text>
    </comment>
    <comment ref="B81" authorId="0" shapeId="0">
      <text>
        <r>
          <rPr>
            <sz val="10"/>
            <color rgb="FF000000"/>
            <rFont val="Arial"/>
          </rPr>
          <t>berita tidak relevan, urusan jentik-jentik, dan tidak ada unsur gangguan jiwa
	-Afkar Aristo</t>
        </r>
      </text>
    </comment>
    <comment ref="B82" authorId="0" shapeId="0">
      <text>
        <r>
          <rPr>
            <sz val="10"/>
            <color rgb="FF000000"/>
            <rFont val="Arial"/>
          </rPr>
          <t>berita tidak relevan, berita mengenai rencana demo. kata 'cacat' ditemukan sebagai istilah 'cacat historis'
	-Afkar Aristo</t>
        </r>
      </text>
    </comment>
    <comment ref="B83" authorId="0" shapeId="0">
      <text>
        <r>
          <rPr>
            <sz val="10"/>
            <color rgb="FF000000"/>
            <rFont val="Arial"/>
          </rPr>
          <t>berita tidak relevan, menjelaskan tentang ibadah solat
	-Afkar Aristo</t>
        </r>
      </text>
    </comment>
    <comment ref="B85" authorId="0" shapeId="0">
      <text>
        <r>
          <rPr>
            <sz val="10"/>
            <color rgb="FF000000"/>
            <rFont val="Arial"/>
          </rPr>
          <t>berita tidak relevan, membahas mimpi perempuan laki-laki
	-Afkar Aristo</t>
        </r>
      </text>
    </comment>
    <comment ref="B90" authorId="0" shapeId="0">
      <text>
        <r>
          <rPr>
            <sz val="10"/>
            <color rgb="FF000000"/>
            <rFont val="Arial"/>
          </rPr>
          <t>berita tidak relevan, seputar perayaan nyepi yang dirayakan oleh atlet non-hindu
	-Afkar Aristo</t>
        </r>
      </text>
    </comment>
    <comment ref="B91" authorId="0" shapeId="0">
      <text>
        <r>
          <rPr>
            <sz val="10"/>
            <color rgb="FF000000"/>
            <rFont val="Arial"/>
          </rPr>
          <t>berita tidak relevan, kegiatan solat subuh
	-Afkar Aristo</t>
        </r>
      </text>
    </comment>
    <comment ref="B92" authorId="0" shapeId="0">
      <text>
        <r>
          <rPr>
            <sz val="10"/>
            <color rgb="FF000000"/>
            <rFont val="Arial"/>
          </rPr>
          <t>berita tidak relevan, mengenai 11.000 lowonan yang disipakan Menteri
	-Afkar Aristo</t>
        </r>
      </text>
    </comment>
    <comment ref="B93" authorId="0" shapeId="0">
      <text>
        <r>
          <rPr>
            <sz val="10"/>
            <color rgb="FF000000"/>
            <rFont val="Arial"/>
          </rPr>
          <t>berita tidak relevan, kata buta ditemukan dalam konteks, buta pemahaman indra sjafri mengenai kemampuan pemainnya
	-Afkar Aristo</t>
        </r>
      </text>
    </comment>
    <comment ref="B94" authorId="0" shapeId="0">
      <text>
        <r>
          <rPr>
            <sz val="10"/>
            <color rgb="FF000000"/>
            <rFont val="Arial"/>
          </rPr>
          <t>berita tidak relevan, pesawat cacat
	-Afkar Aristo</t>
        </r>
      </text>
    </comment>
    <comment ref="B95" authorId="0" shapeId="0">
      <text>
        <r>
          <rPr>
            <sz val="10"/>
            <color rgb="FF000000"/>
            <rFont val="Arial"/>
          </rPr>
          <t>berita tidak relevan, ditemukan kata gila dalam kata-kata "melakukan hal-hal gila" seperti lelucon saat syuting
	-Afkar Aristo</t>
        </r>
      </text>
    </comment>
    <comment ref="B96" authorId="0" shapeId="0">
      <text>
        <r>
          <rPr>
            <sz val="10"/>
            <color rgb="FF000000"/>
            <rFont val="Arial"/>
          </rPr>
          <t>berita tidak relevan, tentang penggeberan perekaman KTP. disabilitas ditemukan dalam artikel sebagai yang belum melakukan perekaman e-KTP
	-Afkar Aristo</t>
        </r>
      </text>
    </comment>
    <comment ref="B97" authorId="0" shapeId="0">
      <text>
        <r>
          <rPr>
            <sz val="10"/>
            <color rgb="FF000000"/>
            <rFont val="Arial"/>
          </rPr>
          <t>berita tidak relevan, mengenai pengacak-acakan masjid
	-Afkar Aristo
masuk karena ada spekulasi ngaitin  ini dengan scaremongering "orang gila nyerang masjid/ulama". Ada simplifikasi identitas.
	-firmanimad</t>
        </r>
      </text>
    </comment>
    <comment ref="B98" authorId="0" shapeId="0">
      <text>
        <r>
          <rPr>
            <sz val="10"/>
            <color rgb="FF000000"/>
            <rFont val="Arial"/>
          </rPr>
          <t>berita tentang mengecek pendengaran bayi baru lahir
	-Afkar Aristo</t>
        </r>
      </text>
    </comment>
    <comment ref="B99" authorId="0" shapeId="0">
      <text>
        <r>
          <rPr>
            <sz val="10"/>
            <color rgb="FF000000"/>
            <rFont val="Arial"/>
          </rPr>
          <t>berita tidak relevan, hanya pemberitaan persiapan pemilu oleh KPU Kudus
	-Afkar Aristo
bisa relevan, ada narasumber representatif juga
	-firmanimad</t>
        </r>
      </text>
    </comment>
    <comment ref="B101" authorId="0" shapeId="0">
      <text>
        <r>
          <rPr>
            <sz val="10"/>
            <color rgb="FF000000"/>
            <rFont val="Arial"/>
          </rPr>
          <t>berita tidak relevan, seputar peretasan akun twitter.
	-Afkar Aristo</t>
        </r>
      </text>
    </comment>
    <comment ref="B102" authorId="0" shapeId="0">
      <text>
        <r>
          <rPr>
            <sz val="10"/>
            <color rgb="FF000000"/>
            <rFont val="Arial"/>
          </rPr>
          <t>berita tidak relevan, seputar pasangan ala-ala vampire
	-Afkar Aristo</t>
        </r>
      </text>
    </comment>
    <comment ref="B103" authorId="0" shapeId="0">
      <text>
        <r>
          <rPr>
            <sz val="10"/>
            <color rgb="FF000000"/>
            <rFont val="Arial"/>
          </rPr>
          <t>berita tidak relevan, tentang tatoan
	-Afkar Aristo</t>
        </r>
      </text>
    </comment>
    <comment ref="B105" authorId="0" shapeId="0">
      <text>
        <r>
          <rPr>
            <sz val="10"/>
            <color rgb="FF000000"/>
            <rFont val="Arial"/>
          </rPr>
          <t>berita tidak relevan, berita tentang massa kampanye jokowi-ma'ruf amin
	-Afkar Aristo</t>
        </r>
      </text>
    </comment>
    <comment ref="B106" authorId="0" shapeId="0">
      <text>
        <r>
          <rPr>
            <sz val="10"/>
            <color rgb="FF000000"/>
            <rFont val="Arial"/>
          </rPr>
          <t>berita tidak relevan, tato game of thrones
	-Afkar Aristo</t>
        </r>
      </text>
    </comment>
    <comment ref="B109" authorId="0" shapeId="0">
      <text>
        <r>
          <rPr>
            <sz val="10"/>
            <color rgb="FF000000"/>
            <rFont val="Arial"/>
          </rPr>
          <t>berita tidak relevan, korut vs amrik
	-Afkar Aristo</t>
        </r>
      </text>
    </comment>
    <comment ref="B110" authorId="0" shapeId="0">
      <text>
        <r>
          <rPr>
            <sz val="10"/>
            <color rgb="FF000000"/>
            <rFont val="Arial"/>
          </rPr>
          <t>berita tidak relevan, penelitian LIPI petugas KPU meninggal dalam pemilu
	-Afkar Aristo</t>
        </r>
      </text>
    </comment>
    <comment ref="B111" authorId="0" shapeId="0">
      <text>
        <r>
          <rPr>
            <sz val="10"/>
            <color rgb="FF000000"/>
            <rFont val="Arial"/>
          </rPr>
          <t>berita tidak relevan, membahas anggota kpu yg sakit
	-Afkar Aristo</t>
        </r>
      </text>
    </comment>
    <comment ref="B113" authorId="0" shapeId="0">
      <text>
        <r>
          <rPr>
            <sz val="10"/>
            <color rgb="FF000000"/>
            <rFont val="Arial"/>
          </rPr>
          <t>berita tidak relevan, tentang sekolah, buta huruf, dan Soeharto
	-Afkar Aristo</t>
        </r>
      </text>
    </comment>
    <comment ref="B116" authorId="0" shapeId="0">
      <text>
        <r>
          <rPr>
            <sz val="10"/>
            <color rgb="FF000000"/>
            <rFont val="Arial"/>
          </rPr>
          <t>berita tidak relevan, hanya sinopsis sinetron cinta buta
	-Afkar Aristo</t>
        </r>
      </text>
    </comment>
    <comment ref="B117" authorId="0" shapeId="0">
      <text>
        <r>
          <rPr>
            <sz val="10"/>
            <color rgb="FF000000"/>
            <rFont val="Arial"/>
          </rPr>
          <t>berita tidak relevan, mengenai angka pengangguran yang turun
	-Afkar Aristo</t>
        </r>
      </text>
    </comment>
    <comment ref="B120" authorId="0" shapeId="0">
      <text>
        <r>
          <rPr>
            <sz val="10"/>
            <color rgb="FF000000"/>
            <rFont val="Arial"/>
          </rPr>
          <t>berita tidak relevan, mengenai fasilitas rest area tol
	-Afkar Aristo</t>
        </r>
      </text>
    </comment>
    <comment ref="B121" authorId="0" shapeId="0">
      <text>
        <r>
          <rPr>
            <sz val="10"/>
            <color rgb="FF000000"/>
            <rFont val="Arial"/>
          </rPr>
          <t>berita tidak relevan, people power cacat prosedural
	-Afkar Aristo</t>
        </r>
      </text>
    </comment>
    <comment ref="B123" authorId="0" shapeId="0">
      <text>
        <r>
          <rPr>
            <sz val="10"/>
            <color rgb="FF000000"/>
            <rFont val="Arial"/>
          </rPr>
          <t>berita tidak relevan, hasil UTBK 2019
	-Afkar Aristo</t>
        </r>
      </text>
    </comment>
    <comment ref="B124" authorId="0" shapeId="0">
      <text>
        <r>
          <rPr>
            <sz val="10"/>
            <color rgb="FF000000"/>
            <rFont val="Arial"/>
          </rPr>
          <t>berita tidak relevan, kendaraan produk cacat
	-Afkar Aristo</t>
        </r>
      </text>
    </comment>
    <comment ref="B126" authorId="0" shapeId="0">
      <text>
        <r>
          <rPr>
            <sz val="10"/>
            <color rgb="FF000000"/>
            <rFont val="Arial"/>
          </rPr>
          <t>isu radikalisme, kata 'buta' ditemukan dalam 'membabi buta'
	-Afkar Aristo</t>
        </r>
      </text>
    </comment>
    <comment ref="B128" authorId="0" shapeId="0">
      <text>
        <r>
          <rPr>
            <sz val="10"/>
            <color rgb="FF000000"/>
            <rFont val="Arial"/>
          </rPr>
          <t>berita mengenai Setnov di rutan Gunung Sindur
	-Afkar Aristo</t>
        </r>
      </text>
    </comment>
    <comment ref="B129" authorId="0" shapeId="0">
      <text>
        <r>
          <rPr>
            <sz val="10"/>
            <color rgb="FF000000"/>
            <rFont val="Arial"/>
          </rPr>
          <t>berita soal setnov di rutan gunung sindur
	-Afkar Aristo</t>
        </r>
      </text>
    </comment>
    <comment ref="B130" authorId="0" shapeId="0">
      <text>
        <r>
          <rPr>
            <sz val="10"/>
            <color rgb="FF000000"/>
            <rFont val="Arial"/>
          </rPr>
          <t>David Beckham cium anaknya malah dinyinyiri
	-Afkar Aristo</t>
        </r>
      </text>
    </comment>
    <comment ref="B132" authorId="0" shapeId="0">
      <text>
        <r>
          <rPr>
            <sz val="10"/>
            <color rgb="FF000000"/>
            <rFont val="Arial"/>
          </rPr>
          <t>berita tidak relevan, bahas toy story
	-Afkar Aristo</t>
        </r>
      </text>
    </comment>
    <comment ref="B133" authorId="0" shapeId="0">
      <text>
        <r>
          <rPr>
            <sz val="10"/>
            <color rgb="FF000000"/>
            <rFont val="Arial"/>
          </rPr>
          <t>berita tidak relevan, materi standup pandji di Hiduplah Indonesia Maya
	-Afkar Aristo</t>
        </r>
      </text>
    </comment>
    <comment ref="B134" authorId="0" shapeId="0">
      <text>
        <r>
          <rPr>
            <sz val="10"/>
            <color rgb="FF000000"/>
            <rFont val="Arial"/>
          </rPr>
          <t>berita tidak relevan, kompilasi berita kevin dan galih ginanjar
	-Afkar Aristo</t>
        </r>
      </text>
    </comment>
    <comment ref="B135" authorId="0" shapeId="0">
      <text>
        <r>
          <rPr>
            <sz val="10"/>
            <color rgb="FF000000"/>
            <rFont val="Arial"/>
          </rPr>
          <t>berita mengenai hidangan seorang ibu di hari lebaran
	-Afkar Aristo</t>
        </r>
      </text>
    </comment>
    <comment ref="B136" authorId="0" shapeId="0">
      <text>
        <r>
          <rPr>
            <sz val="10"/>
            <color rgb="FF000000"/>
            <rFont val="Arial"/>
          </rPr>
          <t>berita peradilan MK soal pilpers
	-Afkar Aristo</t>
        </r>
      </text>
    </comment>
    <comment ref="B137" authorId="0" shapeId="0">
      <text>
        <r>
          <rPr>
            <sz val="10"/>
            <color rgb="FF000000"/>
            <rFont val="Arial"/>
          </rPr>
          <t>berita tiak relevan mengenai festival yulin di tiongkok
	-Afkar Aristo</t>
        </r>
      </text>
    </comment>
    <comment ref="B138" authorId="0" shapeId="0">
      <text>
        <r>
          <rPr>
            <sz val="10"/>
            <color rgb="FF000000"/>
            <rFont val="Arial"/>
          </rPr>
          <t>produk mobil yang cacat
	-Afkar Aristo</t>
        </r>
      </text>
    </comment>
    <comment ref="B139" authorId="0" shapeId="0">
      <text>
        <r>
          <rPr>
            <sz val="10"/>
            <color rgb="FF000000"/>
            <rFont val="Arial"/>
          </rPr>
          <t>berita tidak relevan, seruan foto jokowi ganti jadi anies
	-Afkar Aristo</t>
        </r>
      </text>
    </comment>
    <comment ref="B140" authorId="0" shapeId="0">
      <text>
        <r>
          <rPr>
            <sz val="10"/>
            <color rgb="FF000000"/>
            <rFont val="Arial"/>
          </rPr>
          <t>berita tidak relevan, mengenai tes akademik serentak di 5 lokasi
	-Afkar Aristo</t>
        </r>
      </text>
    </comment>
    <comment ref="B141" authorId="0" shapeId="0">
      <text>
        <r>
          <rPr>
            <sz val="10"/>
            <color rgb="FF000000"/>
            <rFont val="Arial"/>
          </rPr>
          <t>berita tidak relevan, ketua kpsn diisukan jadi menteri
	-Afkar Aristo</t>
        </r>
      </text>
    </comment>
    <comment ref="B142" authorId="0" shapeId="0">
      <text>
        <r>
          <rPr>
            <sz val="10"/>
            <color rgb="FF000000"/>
            <rFont val="Arial"/>
          </rPr>
          <t>berita tidak relevan, berit mengenai uji emisi yang dipertanyakan efektivitasnya dalam mengurangi polusi di Jakarta
	-Afkar Aristo</t>
        </r>
      </text>
    </comment>
    <comment ref="B143" authorId="0" shapeId="0">
      <text>
        <r>
          <rPr>
            <sz val="10"/>
            <color rgb="FF000000"/>
            <rFont val="Arial"/>
          </rPr>
          <t>berita tidak relevan, mengenai Yesus yang dikomikan
	-Afkar Aristo</t>
        </r>
      </text>
    </comment>
    <comment ref="B146" authorId="0" shapeId="0">
      <text>
        <r>
          <rPr>
            <sz val="10"/>
            <color rgb="FF000000"/>
            <rFont val="Arial"/>
          </rPr>
          <t>berita tentang pengokohan tim sepak bola
	-Afkar Aristo</t>
        </r>
      </text>
    </comment>
    <comment ref="B147" authorId="0" shapeId="0">
      <text>
        <r>
          <rPr>
            <sz val="10"/>
            <color rgb="FF000000"/>
            <rFont val="Arial"/>
          </rPr>
          <t>berita tentang orang kena stroke karena kebanyakan main game
	-Afkar Aristo</t>
        </r>
      </text>
    </comment>
    <comment ref="B148" authorId="0" shapeId="0">
      <text>
        <r>
          <rPr>
            <sz val="10"/>
            <color rgb="FF000000"/>
            <rFont val="Arial"/>
          </rPr>
          <t>berita tidak relevan mengenai kunjungan mensos ke tempat para lansia
	-Afkar Aristo</t>
        </r>
      </text>
    </comment>
    <comment ref="B151" authorId="0" shapeId="0">
      <text>
        <r>
          <rPr>
            <sz val="10"/>
            <color rgb="FF000000"/>
            <rFont val="Arial"/>
          </rPr>
          <t>berita tidak relevan, soal macet
	-Afkar Aristo</t>
        </r>
      </text>
    </comment>
    <comment ref="B154" authorId="0" shapeId="0">
      <text>
        <r>
          <rPr>
            <sz val="10"/>
            <color rgb="FF000000"/>
            <rFont val="Arial"/>
          </rPr>
          <t>berita tidak relevan mengenai rencana perilisan batwoman
	-Afkar Aristo</t>
        </r>
      </text>
    </comment>
    <comment ref="B156" authorId="0" shapeId="0">
      <text>
        <r>
          <rPr>
            <sz val="10"/>
            <color rgb="FF000000"/>
            <rFont val="Arial"/>
          </rPr>
          <t>berita tidak relevan, mengenai ajakan KOI dan Lazada kepada warga untuk dukungan olimpiade 2020
	-Afkar Aristo</t>
        </r>
      </text>
    </comment>
    <comment ref="B157" authorId="0" shapeId="0">
      <text>
        <r>
          <rPr>
            <sz val="10"/>
            <color rgb="FF000000"/>
            <rFont val="Arial"/>
          </rPr>
          <t>berita tidak relevan, mengenai ekonomi. kata unsur disabilitas ditemukan (cacat), dalam 'buta huruf'
	-Afkar Aristo</t>
        </r>
      </text>
    </comment>
    <comment ref="B159" authorId="0" shapeId="0">
      <text>
        <r>
          <rPr>
            <sz val="10"/>
            <color rgb="FF000000"/>
            <rFont val="Arial"/>
          </rPr>
          <t>berita tidak relevan mengenai tidak bolehnya istri kh zubair berkunjung ke makam suaminya
	-Afkar Aristo</t>
        </r>
      </text>
    </comment>
    <comment ref="B161" authorId="0" shapeId="0">
      <text>
        <r>
          <rPr>
            <sz val="10"/>
            <color rgb="FF000000"/>
            <rFont val="Arial"/>
          </rPr>
          <t>beirta tidak relevan mengenai sikap politik pdip
	-Afkar Aristo</t>
        </r>
      </text>
    </comment>
    <comment ref="B165" authorId="0" shapeId="0">
      <text>
        <r>
          <rPr>
            <sz val="10"/>
            <color rgb="FF000000"/>
            <rFont val="Arial"/>
          </rPr>
          <t>berita tidak relevan, tindak pidana memalsukan identitas
	-Afkar Aristo</t>
        </r>
      </text>
    </comment>
    <comment ref="B167" authorId="0" shapeId="0">
      <text>
        <r>
          <rPr>
            <sz val="10"/>
            <color rgb="FF000000"/>
            <rFont val="Arial"/>
          </rPr>
          <t>berita tidak relevan, satpam serpong yang digigit ular
	-Afkar Aristo</t>
        </r>
      </text>
    </comment>
    <comment ref="B168" authorId="0" shapeId="0">
      <text>
        <r>
          <rPr>
            <sz val="10"/>
            <color rgb="FF000000"/>
            <rFont val="Arial"/>
          </rPr>
          <t>berita tidak relevan, mengenai kemenangan motoGP
	-Afkar Aristo</t>
        </r>
      </text>
    </comment>
    <comment ref="B169" authorId="0" shapeId="0">
      <text>
        <r>
          <rPr>
            <sz val="10"/>
            <color rgb="FF000000"/>
            <rFont val="Arial"/>
          </rPr>
          <t>berita tidak relevan, tentang struktur DPP partai
	-Afkar Aristo</t>
        </r>
      </text>
    </comment>
    <comment ref="B170" authorId="0" shapeId="0">
      <text>
        <r>
          <rPr>
            <sz val="10"/>
            <color rgb="FF000000"/>
            <rFont val="Arial"/>
          </rPr>
          <t>berita tidak relevan, review film joker yang akan rilis
	-Afkar Aristo</t>
        </r>
      </text>
    </comment>
    <comment ref="B171" authorId="0" shapeId="0">
      <text>
        <r>
          <rPr>
            <sz val="10"/>
            <color rgb="FF000000"/>
            <rFont val="Arial"/>
          </rPr>
          <t>berita tidak relevan, tentang budaya dan wayang
	-Afkar Aristo</t>
        </r>
      </text>
    </comment>
    <comment ref="B173" authorId="0" shapeId="0">
      <text>
        <r>
          <rPr>
            <sz val="10"/>
            <color rgb="FF000000"/>
            <rFont val="Arial"/>
          </rPr>
          <t>berita tidak relevan, mengenai tiga desa yang jadi tempat tembak-tembakan
	-Afkar Aristo</t>
        </r>
      </text>
    </comment>
    <comment ref="B174" authorId="0" shapeId="0">
      <text>
        <r>
          <rPr>
            <sz val="10"/>
            <color rgb="FF000000"/>
            <rFont val="Arial"/>
          </rPr>
          <t>berita tidak relevan, mengenai persiapan produksi film
	-Afkar Aristo</t>
        </r>
      </text>
    </comment>
    <comment ref="B175" authorId="0" shapeId="0">
      <text>
        <r>
          <rPr>
            <sz val="10"/>
            <color rgb="FF000000"/>
            <rFont val="Arial"/>
          </rPr>
          <t>berita tidak relevan, mengenai makanan yang dituding menyebabkan kecelakaan hingga buta
	-Afkar Aristo</t>
        </r>
      </text>
    </comment>
    <comment ref="B176" authorId="0" shapeId="0">
      <text>
        <r>
          <rPr>
            <sz val="10"/>
            <color rgb="FF000000"/>
            <rFont val="Arial"/>
          </rPr>
          <t>berita tidak relevan, mengenai perawatan muka ala jepang
	-Afkar Aristo</t>
        </r>
      </text>
    </comment>
    <comment ref="B177" authorId="0" shapeId="0">
      <text>
        <r>
          <rPr>
            <sz val="10"/>
            <color rgb="FF000000"/>
            <rFont val="Arial"/>
          </rPr>
          <t>berita tidak relevan, berita menyangkut investasi WNI di Jepang
	-Afkar Aristo</t>
        </r>
      </text>
    </comment>
    <comment ref="B178" authorId="0" shapeId="0">
      <text>
        <r>
          <rPr>
            <sz val="10"/>
            <color rgb="FF000000"/>
            <rFont val="Arial"/>
          </rPr>
          <t>berita tidak relevan, isinya mengenai motor Indonesia dijual mahal di Vietnam
	-Afkar Aristo</t>
        </r>
      </text>
    </comment>
    <comment ref="B182" authorId="0" shapeId="0">
      <text>
        <r>
          <rPr>
            <sz val="10"/>
            <color rgb="FF000000"/>
            <rFont val="Arial"/>
          </rPr>
          <t>berita tidak relevan, mengenai 3 film indonesia yang ikut festival di tokyo
	-Afkar Aristo</t>
        </r>
      </text>
    </comment>
    <comment ref="B184" authorId="0" shapeId="0">
      <text>
        <r>
          <rPr>
            <sz val="10"/>
            <color rgb="FF000000"/>
            <rFont val="Arial"/>
          </rPr>
          <t>berita tidak relevan, kritik terhadap trump sebagai ancaman buat amerika
	-Afkar Aristo</t>
        </r>
      </text>
    </comment>
    <comment ref="B188" authorId="0" shapeId="0">
      <text>
        <r>
          <rPr>
            <sz val="10"/>
            <color rgb="FF000000"/>
            <rFont val="Arial"/>
          </rPr>
          <t>berita tidak relevan, homo manusia purba
	-Afkar Aristo</t>
        </r>
      </text>
    </comment>
    <comment ref="B193" authorId="0" shapeId="0">
      <text>
        <r>
          <rPr>
            <sz val="10"/>
            <color rgb="FF000000"/>
            <rFont val="Arial"/>
          </rPr>
          <t>berita tidak relevan, mengenai usulan amandemen DPR di Mesir
	-Afkar Aristo</t>
        </r>
      </text>
    </comment>
    <comment ref="B196" authorId="0" shapeId="0">
      <text>
        <r>
          <rPr>
            <sz val="10"/>
            <color rgb="FF000000"/>
            <rFont val="Arial"/>
          </rPr>
          <t>berita tidak relevan, mengenai penanggulangan HIV aids di Sumedang dan Jatinangor dari para PSK
	-Afkar Aristo</t>
        </r>
      </text>
    </comment>
    <comment ref="B197" authorId="0" shapeId="0">
      <text>
        <r>
          <rPr>
            <sz val="10"/>
            <color rgb="FF000000"/>
            <rFont val="Arial"/>
          </rPr>
          <t>berita tidak relevan, berita soal Maruf Amin cipika cipiki dengan istrinya
	-Afkar Aristo</t>
        </r>
      </text>
    </comment>
    <comment ref="B206" authorId="0" shapeId="0">
      <text>
        <r>
          <rPr>
            <sz val="10"/>
            <color rgb="FF000000"/>
            <rFont val="Arial"/>
          </rPr>
          <t>berita tidak relevan, membahas hukuman mati. LGBT hanya dibahas secara kecil untuk perencanaan RKUHP.
	-Afkar Aristo</t>
        </r>
      </text>
    </comment>
    <comment ref="B212" authorId="0" shapeId="0">
      <text>
        <r>
          <rPr>
            <sz val="10"/>
            <color rgb="FF000000"/>
            <rFont val="Arial"/>
          </rPr>
          <t>berita tidak relevan, tentang seorang bapak yang bingung untuk mendapatkan uang menguburkan mayat anaknya
	-Afkar Aristo</t>
        </r>
      </text>
    </comment>
    <comment ref="B213" authorId="0" shapeId="0">
      <text>
        <r>
          <rPr>
            <sz val="10"/>
            <color rgb="FF000000"/>
            <rFont val="Arial"/>
          </rPr>
          <t>berita tidak relevan karena isinya black campaign pada prabowo secara ras
	-Afkar Aristo</t>
        </r>
      </text>
    </comment>
    <comment ref="B214" authorId="0" shapeId="0">
      <text>
        <r>
          <rPr>
            <sz val="10"/>
            <color rgb="FF000000"/>
            <rFont val="Arial"/>
          </rPr>
          <t>keperjakaan dan keperawanan heteroseksual di jepang. lgbt tidak dianggap dalam penelitian ini karena fokus penelitian ini hanya pada heteroseksual
	-Afkar Aristo</t>
        </r>
      </text>
    </comment>
    <comment ref="B215" authorId="0" shapeId="0">
      <text>
        <r>
          <rPr>
            <sz val="10"/>
            <color rgb="FF000000"/>
            <rFont val="Arial"/>
          </rPr>
          <t>berita tidak relevan, banci untuk jenis bawang
	-Afkar Aristo</t>
        </r>
      </text>
    </comment>
    <comment ref="B216" authorId="0" shapeId="0">
      <text>
        <r>
          <rPr>
            <sz val="10"/>
            <color rgb="FF000000"/>
            <rFont val="Arial"/>
          </rPr>
          <t>berita tidak relevan, homo manusia purba
	-Afkar Aristo</t>
        </r>
      </text>
    </comment>
    <comment ref="B220" authorId="0" shapeId="0">
      <text>
        <r>
          <rPr>
            <sz val="10"/>
            <color rgb="FF000000"/>
            <rFont val="Arial"/>
          </rPr>
          <t>berita tidak relevan, banci jenis bawang
	-Afkar Aristo</t>
        </r>
      </text>
    </comment>
    <comment ref="B224" authorId="0" shapeId="0">
      <text>
        <r>
          <rPr>
            <sz val="10"/>
            <color rgb="FF000000"/>
            <rFont val="Arial"/>
          </rPr>
          <t>berita tidak relevan, membahas Ariana Grande yang mengenang kejadian pengeboman di Manchester 2017 di sosmed
	-Afkar Aristo</t>
        </r>
      </text>
    </comment>
    <comment ref="B227" authorId="0" shapeId="0">
      <text>
        <r>
          <rPr>
            <sz val="10"/>
            <color rgb="FF000000"/>
            <rFont val="Arial"/>
          </rPr>
          <t>berita tidak relevan, mengenai capres-capres kalah di seluruh dunia yang legawa
	-Afkar Aristo</t>
        </r>
      </text>
    </comment>
    <comment ref="B228" authorId="0" shapeId="0">
      <text>
        <r>
          <rPr>
            <sz val="10"/>
            <color rgb="FF000000"/>
            <rFont val="Arial"/>
          </rPr>
          <t>berita tidak relevan, mengensi parasite film korea yang berjaya di festival canne
	-Afkar Aristo</t>
        </r>
      </text>
    </comment>
    <comment ref="B229" authorId="0" shapeId="0">
      <text>
        <r>
          <rPr>
            <sz val="10"/>
            <color rgb="FF000000"/>
            <rFont val="Arial"/>
          </rPr>
          <t>berita tidak relevan, membahass orang-orang aceh yang tidak mau lagi memilih jokowi karena black campaign
	-Afkar Aristo</t>
        </r>
      </text>
    </comment>
    <comment ref="B234" authorId="0" shapeId="0">
      <text>
        <r>
          <rPr>
            <sz val="10"/>
            <color rgb="FF000000"/>
            <rFont val="Arial"/>
          </rPr>
          <t>berita tidak valid, pembahasan Parasite film Korea di Canne Film Festival
	-Afkar Aristo</t>
        </r>
      </text>
    </comment>
    <comment ref="B237" authorId="0" shapeId="0">
      <text>
        <r>
          <rPr>
            <sz val="10"/>
            <color rgb="FF000000"/>
            <rFont val="Arial"/>
          </rPr>
          <t>berita tidak relevan, mengenai genosida pribumi kanada
	-Afkar Aristo</t>
        </r>
      </text>
    </comment>
    <comment ref="B239" authorId="0" shapeId="0">
      <text>
        <r>
          <rPr>
            <sz val="10"/>
            <color rgb="FF000000"/>
            <rFont val="Arial"/>
          </rPr>
          <t>berita tidak relevan, isinya mengenai berita kematian Ani Yudhoyono
	-Afkar Aristo</t>
        </r>
      </text>
    </comment>
    <comment ref="B243" authorId="0" shapeId="0">
      <text>
        <r>
          <rPr>
            <sz val="10"/>
            <color rgb="FF000000"/>
            <rFont val="Arial"/>
          </rPr>
          <t>berita tidak relevan, mengenai tuntutan 6 tahun penjara untuk bahar bin smith
	-Afkar Aristo</t>
        </r>
      </text>
    </comment>
    <comment ref="B245" authorId="0" shapeId="0">
      <text>
        <r>
          <rPr>
            <sz val="10"/>
            <color rgb="FF000000"/>
            <rFont val="Arial"/>
          </rPr>
          <t>berita tidak relevan, mengenai Islamophobia di Norwegia
	-Afkar Aristo</t>
        </r>
      </text>
    </comment>
    <comment ref="B248" authorId="0" shapeId="0">
      <text>
        <r>
          <rPr>
            <sz val="10"/>
            <color rgb="FF000000"/>
            <rFont val="Arial"/>
          </rPr>
          <t>berita tidak relevan,  tentang luna maya yang introvert untuk infotainment
	-Afkar Aristo</t>
        </r>
      </text>
    </comment>
    <comment ref="B249" authorId="0" shapeId="0">
      <text>
        <r>
          <rPr>
            <sz val="10"/>
            <color rgb="FF000000"/>
            <rFont val="Arial"/>
          </rPr>
          <t>berita tidak relevan, tentang deddy cobuzier sudah sunat atau belum (pertanyaan jurnalisnya lucu, sumpah)
	-Afkar Aristo</t>
        </r>
      </text>
    </comment>
    <comment ref="B250" authorId="0" shapeId="0">
      <text>
        <r>
          <rPr>
            <sz val="10"/>
            <color rgb="FF000000"/>
            <rFont val="Arial"/>
          </rPr>
          <t>berita tidak relevan soal jodoh yang sudah meninggal 10 tahun yang lalu
	-Afkar Aristo</t>
        </r>
      </text>
    </comment>
    <comment ref="B251" authorId="0" shapeId="0">
      <text>
        <r>
          <rPr>
            <sz val="10"/>
            <color rgb="FF000000"/>
            <rFont val="Arial"/>
          </rPr>
          <t>berita tidak relevan, pembatasan hak akses. LGBT hanya sampingan
	-Afkar Aristo</t>
        </r>
      </text>
    </comment>
    <comment ref="F251" authorId="0" shapeId="0">
      <text>
        <r>
          <rPr>
            <sz val="10"/>
            <color rgb="FF000000"/>
            <rFont val="Arial"/>
          </rPr>
          <t>udah ya kar, udh di update
	-bhena geerushtia</t>
        </r>
      </text>
    </comment>
    <comment ref="B255" authorId="0" shapeId="0">
      <text>
        <r>
          <rPr>
            <sz val="10"/>
            <color rgb="FF000000"/>
            <rFont val="Arial"/>
          </rPr>
          <t>berita tidak relevan, masalah LHKPN
	-Afkar Aristo</t>
        </r>
      </text>
    </comment>
    <comment ref="B256" authorId="0" shapeId="0">
      <text>
        <r>
          <rPr>
            <sz val="10"/>
            <color rgb="FF000000"/>
            <rFont val="Arial"/>
          </rPr>
          <t>berita tidak relevan, homo manusia purba
	-Afkar Aristo</t>
        </r>
      </text>
    </comment>
    <comment ref="B257" authorId="0" shapeId="0">
      <text>
        <r>
          <rPr>
            <sz val="10"/>
            <color rgb="FF000000"/>
            <rFont val="Arial"/>
          </rPr>
          <t>berita tidak relevan, membahas pergabungan edm dan dangdut
	-Afkar Aristo</t>
        </r>
      </text>
    </comment>
    <comment ref="B258" authorId="0" shapeId="0">
      <text>
        <r>
          <rPr>
            <sz val="10"/>
            <color rgb="FF000000"/>
            <rFont val="Arial"/>
          </rPr>
          <t>berita tidak relevan, suami hilang
	-Afkar Aristo</t>
        </r>
      </text>
    </comment>
    <comment ref="B260" authorId="0" shapeId="0">
      <text>
        <r>
          <rPr>
            <sz val="10"/>
            <color rgb="FF000000"/>
            <rFont val="Arial"/>
          </rPr>
          <t>berita tidak relevan, flashback pembunuh berantai 2008
	-Afkar Aristo
relevan karena ryan sbg aktor aktif yg diberitakan sbg pembunuh yang homoseksual , meskipun flashback
	-bhena geerushtia</t>
        </r>
      </text>
    </comment>
    <comment ref="B265" authorId="0" shapeId="0">
      <text>
        <r>
          <rPr>
            <sz val="10"/>
            <color rgb="FF000000"/>
            <rFont val="Arial"/>
          </rPr>
          <t>berita tidak relevan, mengenai konser K-Pop sebagai pergerakan politik anak muda di Arab Saudi
	-Afkar Aristo</t>
        </r>
      </text>
    </comment>
    <comment ref="B267" authorId="0" shapeId="0">
      <text>
        <r>
          <rPr>
            <sz val="10"/>
            <color rgb="FF000000"/>
            <rFont val="Arial"/>
          </rPr>
          <t>berita tidak relevan, membahas toko sex toys yang sekarang buka terang-terangan di Kuba
	-Afkar Aristo</t>
        </r>
      </text>
    </comment>
    <comment ref="B268" authorId="0" shapeId="0">
      <text>
        <r>
          <rPr>
            <sz val="10"/>
            <color rgb="FF000000"/>
            <rFont val="Arial"/>
          </rPr>
          <t>isinya video
	-Afkar Aristo</t>
        </r>
      </text>
    </comment>
    <comment ref="B271" authorId="0" shapeId="0">
      <text>
        <r>
          <rPr>
            <sz val="10"/>
            <color rgb="FF000000"/>
            <rFont val="Arial"/>
          </rPr>
          <t>berita tidak relevan, anaknya trump naksir cincinnya hotman
	-Afkar Aristo</t>
        </r>
      </text>
    </comment>
    <comment ref="B272" authorId="0" shapeId="0">
      <text>
        <r>
          <rPr>
            <sz val="10"/>
            <color rgb="FF000000"/>
            <rFont val="Arial"/>
          </rPr>
          <t>homo sapiens
	-Afkar Aristo</t>
        </r>
      </text>
    </comment>
    <comment ref="B274" authorId="0" shapeId="0">
      <text>
        <r>
          <rPr>
            <sz val="10"/>
            <color rgb="FF000000"/>
            <rFont val="Arial"/>
          </rPr>
          <t>berita tidak relevan, mengenai demo tolak g7 di perancis
	-Afkar Aristo</t>
        </r>
      </text>
    </comment>
    <comment ref="B275" authorId="0" shapeId="0">
      <text>
        <r>
          <rPr>
            <sz val="10"/>
            <color rgb="FF000000"/>
            <rFont val="Arial"/>
          </rPr>
          <t>berita hilang
	-Afkar Aristo</t>
        </r>
      </text>
    </comment>
    <comment ref="B280" authorId="0" shapeId="0">
      <text>
        <r>
          <rPr>
            <sz val="10"/>
            <color rgb="FF000000"/>
            <rFont val="Arial"/>
          </rPr>
          <t>berita tidak relevan mengenai pembebasan Vanessa Angel
	-Afkar Aristo</t>
        </r>
      </text>
    </comment>
    <comment ref="B281" authorId="0" shapeId="0">
      <text>
        <r>
          <rPr>
            <sz val="10"/>
            <color rgb="FF000000"/>
            <rFont val="Arial"/>
          </rPr>
          <t>berita tidak relevan, tentang pacar vanessa angel.
	-Afkar Aristo</t>
        </r>
      </text>
    </comment>
    <comment ref="B282" authorId="0" shapeId="0">
      <text>
        <r>
          <rPr>
            <sz val="10"/>
            <color rgb="FF000000"/>
            <rFont val="Arial"/>
          </rPr>
          <t>berita tidak relevan, mengungkap mucikari vanessa angel
	-Afkar Aristo</t>
        </r>
      </text>
    </comment>
    <comment ref="B283" authorId="0" shapeId="0">
      <text>
        <r>
          <rPr>
            <sz val="10"/>
            <color rgb="FF000000"/>
            <rFont val="Arial"/>
          </rPr>
          <t>berita tidak relevan mengenai pelanggan psk artis
	-Afkar Aristo</t>
        </r>
      </text>
    </comment>
    <comment ref="B284" authorId="0" shapeId="0">
      <text>
        <r>
          <rPr>
            <sz val="10"/>
            <color rgb="FF000000"/>
            <rFont val="Arial"/>
          </rPr>
          <t>berita tidak relevan, mengenai 80 juta bisa apa
	-Afkar Aristo</t>
        </r>
      </text>
    </comment>
    <comment ref="B285" authorId="0" shapeId="0">
      <text>
        <r>
          <rPr>
            <sz val="10"/>
            <color rgb="FF000000"/>
            <rFont val="Arial"/>
          </rPr>
          <t>berita mengenai pengacara Vanessa Angel
	-Afkar Aristo</t>
        </r>
      </text>
    </comment>
    <comment ref="B286" authorId="0" shapeId="0">
      <text>
        <r>
          <rPr>
            <sz val="10"/>
            <color rgb="FF000000"/>
            <rFont val="Arial"/>
          </rPr>
          <t>berita tidak relevan, walaupun terindikasi soal LGBT, tapi tidak ada tanda" bahwa ini ada label LGBT dan penyebutan sebagai LGBT. Berita hanya kegiatan Saipul Jami vidcall sama orang lain.
	-Afkar Aristo</t>
        </r>
      </text>
    </comment>
    <comment ref="B288" authorId="0" shapeId="0">
      <text>
        <r>
          <rPr>
            <sz val="10"/>
            <color rgb="FF000000"/>
            <rFont val="Arial"/>
          </rPr>
          <t>berita tidak valid, mengenai mucikari VA yang merasa dijebak
	-Afkar Aristo</t>
        </r>
      </text>
    </comment>
    <comment ref="B289" authorId="0" shapeId="0">
      <text>
        <r>
          <rPr>
            <sz val="10"/>
            <color rgb="FF000000"/>
            <rFont val="Arial"/>
          </rPr>
          <t>berita tidak valid, Anwar Fuady meminta hukum seberat-beratnya kepada Vanessa Angel
	-Afkar Aristo</t>
        </r>
      </text>
    </comment>
    <comment ref="B290" authorId="0" shapeId="0">
      <text>
        <r>
          <rPr>
            <sz val="10"/>
            <color rgb="FF000000"/>
            <rFont val="Arial"/>
          </rPr>
          <t>berita tidak valid, mengenai artis lain yang terjerat prostitusi
	-Afkar Aristo</t>
        </r>
      </text>
    </comment>
    <comment ref="B291" authorId="0" shapeId="0">
      <text>
        <r>
          <rPr>
            <sz val="10"/>
            <color rgb="FF000000"/>
            <rFont val="Arial"/>
          </rPr>
          <t>berita mengenai asumsi asumsi mengenai keluarnya sutradara bohemian rhapsody
	-Afkar Aristo</t>
        </r>
      </text>
    </comment>
    <comment ref="B292" authorId="0" shapeId="0">
      <text>
        <r>
          <rPr>
            <sz val="10"/>
            <color rgb="FF000000"/>
            <rFont val="Arial"/>
          </rPr>
          <t>berita tidak relevan, mengenai foto dan video bugil va, berita ini tidak fokus mengenai foto dan videonya hanya menyebutkan sebagai barang bukti dan tidak mendetail
	-Afkar Aristo
berita ini relevan, karena ada representasi PSK sbg perempuan dalam kekerasan
	-Roy Thaniago</t>
        </r>
      </text>
    </comment>
    <comment ref="B293" authorId="0" shapeId="0">
      <text>
        <r>
          <rPr>
            <sz val="10"/>
            <color rgb="FF000000"/>
            <rFont val="Arial"/>
          </rPr>
          <t>berita tidak valid, mengenai respon ayah VA
	-Afkar Aristo</t>
        </r>
      </text>
    </comment>
    <comment ref="B295" authorId="0" shapeId="0">
      <text>
        <r>
          <rPr>
            <sz val="10"/>
            <color rgb="FF000000"/>
            <rFont val="Arial"/>
          </rPr>
          <t>berita tidak valid, mengenai tuduhan PNS terlibat prostitusi online
	-Afkar Aristo</t>
        </r>
      </text>
    </comment>
    <comment ref="B296" authorId="0" shapeId="0">
      <text>
        <r>
          <rPr>
            <sz val="10"/>
            <color rgb="FF000000"/>
            <rFont val="Arial"/>
          </rPr>
          <t>berita ini bisa jadi tidak valid, karena hanya berfokus mengenai kelanjutan produksi film guardiang of the galaxy tapi sutradaranya dipecat mengenai tweet soal pemerkosaan di waktu yang lalu. Terlalu sedikit menyinggung kasusnya.
	-Afkar Aristo</t>
        </r>
      </text>
    </comment>
    <comment ref="B297" authorId="0" shapeId="0">
      <text>
        <r>
          <rPr>
            <sz val="10"/>
            <color rgb="FF000000"/>
            <rFont val="Arial"/>
          </rPr>
          <t>berita tidak valid mengenai bisnis prostitusi online di LINE
	-Afkar Aristo</t>
        </r>
      </text>
    </comment>
    <comment ref="B298" authorId="0" shapeId="0">
      <text>
        <r>
          <rPr>
            <sz val="10"/>
            <color rgb="FF000000"/>
            <rFont val="Arial"/>
          </rPr>
          <t>berita tidak valid, tidak ada unsur cluster marjinalitas manapun
	-Afkar Aristo</t>
        </r>
      </text>
    </comment>
    <comment ref="B304" authorId="0" shapeId="0">
      <text>
        <r>
          <rPr>
            <sz val="10"/>
            <color rgb="FF000000"/>
            <rFont val="Arial"/>
          </rPr>
          <t>berita tidak relevan mengenai pembajakan pesawat di Bangladesh
	-Afkar Aristo</t>
        </r>
      </text>
    </comment>
    <comment ref="B307" authorId="0" shapeId="0">
      <text>
        <r>
          <rPr>
            <sz val="10"/>
            <color rgb="FF000000"/>
            <rFont val="Arial"/>
          </rPr>
          <t>berita tidak relevan, mengenai pertarungan jokowi prabowo
	-Afkar Aristo</t>
        </r>
      </text>
    </comment>
    <comment ref="B310" authorId="0" shapeId="0">
      <text>
        <r>
          <rPr>
            <sz val="10"/>
            <color rgb="FF000000"/>
            <rFont val="Arial"/>
          </rPr>
          <t>hanya berita konflik politik israel palestina soal yerusalem
	-Afkar Aristo</t>
        </r>
      </text>
    </comment>
    <comment ref="B311" authorId="0" shapeId="0">
      <text>
        <r>
          <rPr>
            <sz val="10"/>
            <color rgb="FF000000"/>
            <rFont val="Arial"/>
          </rPr>
          <t>berita tidak relevan, hanya menginformasikan vanessa angel pindah rutan
	-Afkar Aristo</t>
        </r>
      </text>
    </comment>
    <comment ref="B316" authorId="0" shapeId="0">
      <text>
        <r>
          <rPr>
            <sz val="10"/>
            <color rgb="FF000000"/>
            <rFont val="Arial"/>
          </rPr>
          <t>berita tidak valid mengenai perempuan dan laki-laki yang sering menikah, tidak ada indikasi pelecehan seksual dan kekerasan terhadap perempuan atau gender lainnya
	-Afkar Aristo</t>
        </r>
      </text>
    </comment>
    <comment ref="B318" authorId="0" shapeId="0">
      <text>
        <r>
          <rPr>
            <sz val="10"/>
            <color rgb="FF000000"/>
            <rFont val="Arial"/>
          </rPr>
          <t>berita tidak relevan mengenai penangkapan 'hate speech' buat salah satu paslon presiden
	-Afkar Aristo</t>
        </r>
      </text>
    </comment>
    <comment ref="B324" authorId="0" shapeId="0">
      <text>
        <r>
          <rPr>
            <sz val="10"/>
            <color rgb="FF000000"/>
            <rFont val="Arial"/>
          </rPr>
          <t>berita tidak relevan mengenai persiapan Bali United menghadapi Persija
	-Afkar Aristo</t>
        </r>
      </text>
    </comment>
    <comment ref="B329" authorId="0" shapeId="0">
      <text>
        <r>
          <rPr>
            <sz val="10"/>
            <color rgb="FF000000"/>
            <rFont val="Arial"/>
          </rPr>
          <t>ringkasan film 27 steps of may
	-Afkar Aristo</t>
        </r>
      </text>
    </comment>
    <comment ref="B331" authorId="0" shapeId="0">
      <text>
        <r>
          <rPr>
            <sz val="10"/>
            <color rgb="FF000000"/>
            <rFont val="Arial"/>
          </rPr>
          <t>tidak relevan, membahas kegiatan simic di penjara dan persiapan kembali ke lapangan, berfokus pada kegiatan olahraga
	-Afkar Aristo</t>
        </r>
      </text>
    </comment>
    <comment ref="B333" authorId="0" shapeId="0">
      <text>
        <r>
          <rPr>
            <sz val="10"/>
            <color rgb="FF000000"/>
            <rFont val="Arial"/>
          </rPr>
          <t>berita tidak relevan, berisi penolakan hakim dari KY
	-Afkar Aristo</t>
        </r>
      </text>
    </comment>
    <comment ref="B334" authorId="0" shapeId="0">
      <text>
        <r>
          <rPr>
            <sz val="10"/>
            <color rgb="FF000000"/>
            <rFont val="Arial"/>
          </rPr>
          <t>berita tidak relevan, berisi pendaftaran anggota komnas perempuan
	-Afkar Aristo</t>
        </r>
      </text>
    </comment>
    <comment ref="B337" authorId="0" shapeId="0">
      <text>
        <r>
          <rPr>
            <sz val="10"/>
            <color rgb="FF000000"/>
            <rFont val="Arial"/>
          </rPr>
          <t>berita tidak relevan mengenai pengacara mucikari yang berkunjung ke penjara
	-Afkar Aristo</t>
        </r>
      </text>
    </comment>
    <comment ref="B340" authorId="0" shapeId="0">
      <text>
        <r>
          <rPr>
            <sz val="10"/>
            <color rgb="FF000000"/>
            <rFont val="Arial"/>
          </rPr>
          <t>berita tidak relevan karena menyangkut kasus korupsi mantan presiden Sudan
	-Afkar Aristo</t>
        </r>
      </text>
    </comment>
    <comment ref="B341" authorId="0" shapeId="0">
      <text>
        <r>
          <rPr>
            <sz val="10"/>
            <color rgb="FF000000"/>
            <rFont val="Arial"/>
          </rPr>
          <t>berita tidak relevan, mengenai politik untuk kesejahteraan masyarakat miskin
	-Afkar Aristo</t>
        </r>
      </text>
    </comment>
    <comment ref="B346" authorId="0" shapeId="0">
      <text>
        <r>
          <rPr>
            <sz val="10"/>
            <color rgb="FF000000"/>
            <rFont val="Arial"/>
          </rPr>
          <t>berita tidak relevan mengenai fashion roy kiyoshi
	-Afkar Aristo</t>
        </r>
      </text>
    </comment>
    <comment ref="B354" authorId="0" shapeId="0">
      <text>
        <r>
          <rPr>
            <sz val="10"/>
            <color rgb="FF000000"/>
            <rFont val="Arial"/>
          </rPr>
          <t>berita mengenai penggusuran di tanah abang
	-Afkar Aristo</t>
        </r>
      </text>
    </comment>
    <comment ref="B358" authorId="0" shapeId="0">
      <text>
        <r>
          <rPr>
            <sz val="10"/>
            <color rgb="FF000000"/>
            <rFont val="Arial"/>
          </rPr>
          <t>berita tidak relevan, mengenai vanessa angel liburan
	-Afkar Aristo</t>
        </r>
      </text>
    </comment>
    <comment ref="B359" authorId="0" shapeId="0">
      <text>
        <r>
          <rPr>
            <sz val="10"/>
            <color rgb="FF000000"/>
            <rFont val="Arial"/>
          </rPr>
          <t>berita kekerasan kepada anak
	-Afkar Aristo</t>
        </r>
      </text>
    </comment>
    <comment ref="B360" authorId="0" shapeId="0">
      <text>
        <r>
          <rPr>
            <sz val="10"/>
            <color rgb="FF000000"/>
            <rFont val="Arial"/>
          </rPr>
          <t>berita tidak relevan mengenai pelemparan telur kepada PM australia yang membuat kebijakan soal pulau manus
	-Afkar Aristo</t>
        </r>
      </text>
    </comment>
    <comment ref="B363" authorId="0" shapeId="0">
      <text>
        <r>
          <rPr>
            <sz val="10"/>
            <color rgb="FF000000"/>
            <rFont val="Arial"/>
          </rPr>
          <t>berita mengenai pelecehan martabat polisi texas
	-Afkar Aristo</t>
        </r>
      </text>
    </comment>
    <comment ref="B365" authorId="0" shapeId="0">
      <text>
        <r>
          <rPr>
            <sz val="10"/>
            <color rgb="FF000000"/>
            <rFont val="Arial"/>
          </rPr>
          <t>berita tidak relevan mengenai serangan teroris di masjid Norwegia
	-Afkar Aristo</t>
        </r>
      </text>
    </comment>
    <comment ref="B366" authorId="0" shapeId="0">
      <text>
        <r>
          <rPr>
            <sz val="10"/>
            <color rgb="FF000000"/>
            <rFont val="Arial"/>
          </rPr>
          <t>berita Wiranto perintahkan pengusutan kericuhan di manokwari
	-Afkar Aristo</t>
        </r>
      </text>
    </comment>
    <comment ref="B367" authorId="0" shapeId="0">
      <text>
        <r>
          <rPr>
            <sz val="10"/>
            <color rgb="FF000000"/>
            <rFont val="Arial"/>
          </rPr>
          <t>berita mengenai pelecehan bendera
	-Afkar Aristo</t>
        </r>
      </text>
    </comment>
    <comment ref="B368" authorId="0" shapeId="0">
      <text>
        <r>
          <rPr>
            <sz val="10"/>
            <color rgb="FF000000"/>
            <rFont val="Arial"/>
          </rPr>
          <t>berita mengenai kericuhan di papua
	-Afkar Aristo</t>
        </r>
      </text>
    </comment>
    <comment ref="B369" authorId="0" shapeId="0">
      <text>
        <r>
          <rPr>
            <sz val="10"/>
            <color rgb="FF000000"/>
            <rFont val="Arial"/>
          </rPr>
          <t>berita tidak relevan mengenai penahanan konsulat Inggris oleh China
	-Afkar Aristo</t>
        </r>
      </text>
    </comment>
    <comment ref="B370" authorId="0" shapeId="0">
      <text>
        <r>
          <rPr>
            <sz val="10"/>
            <color rgb="FF000000"/>
            <rFont val="Arial"/>
          </rPr>
          <t>berita tidak relevan mengenai pelantikan dprd di hotel berbintang 5
	-Afkar Aristo</t>
        </r>
      </text>
    </comment>
    <comment ref="B373" authorId="0" shapeId="0">
      <text>
        <r>
          <rPr>
            <sz val="10"/>
            <color rgb="FF000000"/>
            <rFont val="Arial"/>
          </rPr>
          <t>berita tidak relevan mengenai revitalisasi kota lama semarang
	-Afkar Aristo</t>
        </r>
      </text>
    </comment>
    <comment ref="B376" authorId="0" shapeId="0">
      <text>
        <r>
          <rPr>
            <sz val="10"/>
            <color rgb="FF000000"/>
            <rFont val="Arial"/>
          </rPr>
          <t>video
	-Afkar Aristo</t>
        </r>
      </text>
    </comment>
    <comment ref="B378" authorId="0" shapeId="0">
      <text>
        <r>
          <rPr>
            <sz val="10"/>
            <color rgb="FF000000"/>
            <rFont val="Arial"/>
          </rPr>
          <t>pengamanan senjata saat kerusuhan Jayapura
	-Afkar Aristo</t>
        </r>
      </text>
    </comment>
    <comment ref="B382" authorId="0" shapeId="0">
      <text>
        <r>
          <rPr>
            <sz val="10"/>
            <color rgb="FF000000"/>
            <rFont val="Arial"/>
          </rPr>
          <t>berita tidak relevan mengenai labrak-labrakan nikita mirzani dan elza syarief
	-Afkar Aristo</t>
        </r>
      </text>
    </comment>
    <comment ref="B383" authorId="0" shapeId="0">
      <text>
        <r>
          <rPr>
            <sz val="10"/>
            <color rgb="FF000000"/>
            <rFont val="Arial"/>
          </rPr>
          <t>berita tidak relevan, psg larang fan ejek neymar
	-Afkar Aristo</t>
        </r>
      </text>
    </comment>
    <comment ref="B385" authorId="0" shapeId="0">
      <text>
        <r>
          <rPr>
            <sz val="10"/>
            <color rgb="FF000000"/>
            <rFont val="Arial"/>
          </rPr>
          <t>berita tidak relevan soal labrak-labrakan
	-Afkar Aristo</t>
        </r>
      </text>
    </comment>
    <comment ref="B386" authorId="0" shapeId="0">
      <text>
        <r>
          <rPr>
            <sz val="10"/>
            <color rgb="FF000000"/>
            <rFont val="Arial"/>
          </rPr>
          <t>berita tentang akan dilakukan pengadilan militer untuk tentara genosida rohingya
	-Afkar Aristo</t>
        </r>
      </text>
    </comment>
    <comment ref="B388" authorId="0" shapeId="0">
      <text>
        <r>
          <rPr>
            <sz val="10"/>
            <color rgb="FF000000"/>
            <rFont val="Arial"/>
          </rPr>
          <t>berita tentang sejarah, seorang bangsawan yang dicemburui orang lain
	-Afkar Aristo</t>
        </r>
      </text>
    </comment>
    <comment ref="B389" authorId="0" shapeId="0">
      <text>
        <r>
          <rPr>
            <sz val="10"/>
            <color rgb="FF000000"/>
            <rFont val="Arial"/>
          </rPr>
          <t>berita tidak relevan soal artis saat demo reformasi dikourpsi
	-Afkar Aristo</t>
        </r>
      </text>
    </comment>
    <comment ref="B390" authorId="0" shapeId="0">
      <text>
        <r>
          <rPr>
            <sz val="10"/>
            <color rgb="FF000000"/>
            <rFont val="Arial"/>
          </rPr>
          <t>opini
	-Afkar Aristo</t>
        </r>
      </text>
    </comment>
    <comment ref="B391" authorId="0" shapeId="0">
      <text>
        <r>
          <rPr>
            <sz val="10"/>
            <color rgb="FF000000"/>
            <rFont val="Arial"/>
          </rPr>
          <t>tidak relevan, youtuber korea utara di korea selatan membagi cerita kehidupan di korea utara
	-Afkar Aristo</t>
        </r>
      </text>
    </comment>
    <comment ref="B392" authorId="0" shapeId="0">
      <text>
        <r>
          <rPr>
            <sz val="10"/>
            <color rgb="FF000000"/>
            <rFont val="Arial"/>
          </rPr>
          <t>perbedaan demo 212 dengan reformasi dikorupsi
	-Afkar Aristo</t>
        </r>
      </text>
    </comment>
    <comment ref="B394" authorId="0" shapeId="0">
      <text>
        <r>
          <rPr>
            <sz val="10"/>
            <color rgb="FF000000"/>
            <rFont val="Arial"/>
          </rPr>
          <t>demo besar di Irak
	-Afkar Aristo</t>
        </r>
      </text>
    </comment>
    <comment ref="B395" authorId="0" shapeId="0">
      <text>
        <r>
          <rPr>
            <sz val="10"/>
            <color rgb="FF000000"/>
            <rFont val="Arial"/>
          </rPr>
          <t>berita sangat tidak relevan, mengenai cek fakta hoaks dan tidak ada indikasi sesuai dengan isu marjinalitas kita
	-Afkar Aristo</t>
        </r>
      </text>
    </comment>
    <comment ref="B396" authorId="0" shapeId="0">
      <text>
        <r>
          <rPr>
            <sz val="10"/>
            <color rgb="FF000000"/>
            <rFont val="Arial"/>
          </rPr>
          <t>syiah universitas
	-Afkar Aristo</t>
        </r>
      </text>
    </comment>
    <comment ref="B397" authorId="0" shapeId="0">
      <text>
        <r>
          <rPr>
            <sz val="10"/>
            <color rgb="FF000000"/>
            <rFont val="Arial"/>
          </rPr>
          <t>syiah nama kampus
	-Afkar Aristo</t>
        </r>
      </text>
    </comment>
    <comment ref="B398" authorId="0" shapeId="0">
      <text>
        <r>
          <rPr>
            <sz val="10"/>
            <color rgb="FF000000"/>
            <rFont val="Arial"/>
          </rPr>
          <t>berita tidak relevan, anaknya ma'ruf amin ngurusin kacang sangrai buat pilkada
	-Afkar Aristo</t>
        </r>
      </text>
    </comment>
    <comment ref="B399" authorId="0" shapeId="0">
      <text>
        <r>
          <rPr>
            <sz val="10"/>
            <color rgb="FF000000"/>
            <rFont val="Arial"/>
          </rPr>
          <t>serangan militer ke pangkalan AS
	-Afkar Aristo</t>
        </r>
      </text>
    </comment>
    <comment ref="B400" authorId="0" shapeId="0">
      <text>
        <r>
          <rPr>
            <sz val="10"/>
            <color rgb="FF000000"/>
            <rFont val="Arial"/>
          </rPr>
          <t>opini
	-Afkar Aristo</t>
        </r>
      </text>
    </comment>
    <comment ref="B401" authorId="0" shapeId="0">
      <text>
        <r>
          <rPr>
            <sz val="10"/>
            <color rgb="FF000000"/>
            <rFont val="Arial"/>
          </rPr>
          <t>link tidak bisa dibuka
	-Afkar Aristo</t>
        </r>
      </text>
    </comment>
    <comment ref="B407" authorId="0" shapeId="0">
      <text>
        <r>
          <rPr>
            <sz val="10"/>
            <color rgb="FF000000"/>
            <rFont val="Arial"/>
          </rPr>
          <t>Aceh kampus
	-Afkar Aristo</t>
        </r>
      </text>
    </comment>
    <comment ref="B410" authorId="0" shapeId="0">
      <text>
        <r>
          <rPr>
            <sz val="10"/>
            <color rgb="FF000000"/>
            <rFont val="Arial"/>
          </rPr>
          <t>sinopsis film
	-Afkar Aristo</t>
        </r>
      </text>
    </comment>
    <comment ref="B411" authorId="0" shapeId="0">
      <text>
        <r>
          <rPr>
            <sz val="10"/>
            <color rgb="FF000000"/>
            <rFont val="Arial"/>
          </rPr>
          <t>tidak ada indikasi gangguan kejiwaan
	-Afkar Aristo
tuna rungu menjadi aktor penikaman
	-bhena geerushtia</t>
        </r>
      </text>
    </comment>
    <comment ref="B413" authorId="0" shapeId="0">
      <text>
        <r>
          <rPr>
            <sz val="10"/>
            <color rgb="FF000000"/>
            <rFont val="Arial"/>
          </rPr>
          <t>berita tidak relevan orangtua dijual
	-Afkar Aristo</t>
        </r>
      </text>
    </comment>
    <comment ref="B414" authorId="0" shapeId="0">
      <text>
        <r>
          <rPr>
            <sz val="10"/>
            <color rgb="FF000000"/>
            <rFont val="Arial"/>
          </rPr>
          <t>berita tidak relevan, mengenai jurnalis indonesia yang ditembak polisi Hongkong
	-Afkar Aristo</t>
        </r>
      </text>
    </comment>
    <comment ref="B421" authorId="0" shapeId="0">
      <text>
        <r>
          <rPr>
            <sz val="10"/>
            <color rgb="FF000000"/>
            <rFont val="Arial"/>
          </rPr>
          <t>berita tidak relevan, pramugara yang melayani penumpang lansia
	-Afkar Aristo</t>
        </r>
      </text>
    </comment>
    <comment ref="B425" authorId="0" shapeId="0">
      <text>
        <r>
          <rPr>
            <sz val="10"/>
            <color rgb="FF000000"/>
            <rFont val="Arial"/>
          </rPr>
          <t>berita tidak relevan, tidak ada hubungannya sama sekali dengan konteks marjinalitas
	-Afkar Aristo</t>
        </r>
      </text>
    </comment>
    <comment ref="B426" authorId="0" shapeId="0">
      <text>
        <r>
          <rPr>
            <sz val="10"/>
            <color rgb="FF000000"/>
            <rFont val="Arial"/>
          </rPr>
          <t>berita tidak relevan sama sekali
	-Afkar Aristo</t>
        </r>
      </text>
    </comment>
    <comment ref="B427" authorId="0" shapeId="0">
      <text>
        <r>
          <rPr>
            <sz val="10"/>
            <color rgb="FF000000"/>
            <rFont val="Arial"/>
          </rPr>
          <t>berita tidak relevan, gangguan pencernaan karena bahan makanan mengandung sampah
	-Afkar Aristo</t>
        </r>
      </text>
    </comment>
    <comment ref="B428" authorId="0" shapeId="0">
      <text>
        <r>
          <rPr>
            <sz val="10"/>
            <color rgb="FF000000"/>
            <rFont val="Arial"/>
          </rPr>
          <t>berita tidak relevan, mengenai website buat cpns ga bisa dibuka
	-Afkar Aristo</t>
        </r>
      </text>
    </comment>
    <comment ref="B430" authorId="0" shapeId="0">
      <text>
        <r>
          <rPr>
            <sz val="10"/>
            <color rgb="FF000000"/>
            <rFont val="Arial"/>
          </rPr>
          <t>berita tidak relevan, mengenai standing applause buat Novia Indonesian Idol
	-Afkar Aristo</t>
        </r>
      </text>
    </comment>
    <comment ref="B431" authorId="0" shapeId="0">
      <text>
        <r>
          <rPr>
            <sz val="10"/>
            <color rgb="FF000000"/>
            <rFont val="Arial"/>
          </rPr>
          <t>berita tidak valid, dokumen kamp uyghur bocor
	-Afkar Aristo</t>
        </r>
      </text>
    </comment>
    <comment ref="B432" authorId="0" shapeId="0">
      <text>
        <r>
          <rPr>
            <sz val="10"/>
            <color rgb="FF000000"/>
            <rFont val="Arial"/>
          </rPr>
          <t>berita tidak relevan, gila di sini adalah gila kekuasaan
	-Afkar Aristo</t>
        </r>
      </text>
    </comment>
    <comment ref="B433" authorId="0" shapeId="0">
      <text>
        <r>
          <rPr>
            <sz val="10"/>
            <color rgb="FF000000"/>
            <rFont val="Arial"/>
          </rPr>
          <t>berita tidak relevan tentang seorang ustadz ke hongkong.
	-Afkar Aristo</t>
        </r>
      </text>
    </comment>
    <comment ref="B434" authorId="0" shapeId="0">
      <text>
        <r>
          <rPr>
            <sz val="10"/>
            <color rgb="FF000000"/>
            <rFont val="Arial"/>
          </rPr>
          <t>berita tidak relevan, gangguan kesehatan dari anjing
	-Afkar Aristo</t>
        </r>
      </text>
    </comment>
    <comment ref="B437" authorId="0" shapeId="0">
      <text>
        <r>
          <rPr>
            <sz val="10"/>
            <color rgb="FF000000"/>
            <rFont val="Arial"/>
          </rPr>
          <t>berita tidak relevan, nikita willy liburan
	-Afkar Aristo</t>
        </r>
      </text>
    </comment>
    <comment ref="B438" authorId="0" shapeId="0">
      <text>
        <r>
          <rPr>
            <sz val="10"/>
            <color rgb="FF000000"/>
            <rFont val="Arial"/>
          </rPr>
          <t>berita sangat tidak relevan mengenai sunat massal
	-Afkar Aristo</t>
        </r>
      </text>
    </comment>
    <comment ref="B439" authorId="0" shapeId="0">
      <text>
        <r>
          <rPr>
            <sz val="10"/>
            <color rgb="FF000000"/>
            <rFont val="Arial"/>
          </rPr>
          <t>berita  tidak relevan mengenai Yuni Shara yang betah sendiri
	-Afkar Aristo</t>
        </r>
      </text>
    </comment>
    <comment ref="B442" authorId="0" shapeId="0">
      <text>
        <r>
          <rPr>
            <sz val="10"/>
            <color rgb="FF000000"/>
            <rFont val="Arial"/>
          </rPr>
          <t>berita Deddy Corbuzier ketemu Uya Kuya di LA
	-Afkar Aristo</t>
        </r>
      </text>
    </comment>
    <comment ref="B443" authorId="0" shapeId="0">
      <text>
        <r>
          <rPr>
            <sz val="10"/>
            <color rgb="FF000000"/>
            <rFont val="Arial"/>
          </rPr>
          <t>beirta tidak relevan karena menyangkut novel baswedan yang sampe buta
	-Afkar Aristo</t>
        </r>
      </text>
    </comment>
    <comment ref="B444" authorId="0" shapeId="0">
      <text>
        <r>
          <rPr>
            <sz val="10"/>
            <color rgb="FF000000"/>
            <rFont val="Arial"/>
          </rPr>
          <t>gila belanja
	-Afkar Aristo</t>
        </r>
      </text>
    </comment>
    <comment ref="B446" authorId="0" shapeId="0">
      <text>
        <r>
          <rPr>
            <sz val="10"/>
            <color rgb="FF000000"/>
            <rFont val="Arial"/>
          </rPr>
          <t>hanya dikira gay, dan berita lebih fokus mengenai kriteria jodoh Robby Purba
	-Afkar Aristo</t>
        </r>
      </text>
    </comment>
    <comment ref="B447" authorId="0" shapeId="0">
      <text>
        <r>
          <rPr>
            <sz val="10"/>
            <color rgb="FF000000"/>
            <rFont val="Arial"/>
          </rPr>
          <t>es bencong
	-Afkar Aristo</t>
        </r>
      </text>
    </comment>
    <comment ref="B456" authorId="0" shapeId="0">
      <text>
        <r>
          <rPr>
            <sz val="10"/>
            <color rgb="FF000000"/>
            <rFont val="Arial"/>
          </rPr>
          <t>gay di sini nama orang, Dion Gay
	-Afkar Aristo</t>
        </r>
      </text>
    </comment>
    <comment ref="B463" authorId="0" shapeId="0">
      <text>
        <r>
          <rPr>
            <sz val="10"/>
            <color rgb="FF000000"/>
            <rFont val="Arial"/>
          </rPr>
          <t>berita tentang mike lewis tertarik dengan salah satu film star wars yg akan rilis
	-Afkar Aristo</t>
        </r>
      </text>
    </comment>
    <comment ref="B465" authorId="0" shapeId="0">
      <text>
        <r>
          <rPr>
            <sz val="10"/>
            <color rgb="FF000000"/>
            <rFont val="Arial"/>
          </rPr>
          <t>berita tidak relevan, pemusnahan barang impor ilegal
	-Afkar Aristo</t>
        </r>
      </text>
    </comment>
    <comment ref="B466" authorId="0" shapeId="0">
      <text>
        <r>
          <rPr>
            <sz val="10"/>
            <color rgb="FF000000"/>
            <rFont val="Arial"/>
          </rPr>
          <t>artis yang mengingatkan untuk ga semabrangan nge-endorse
	-Afkar Aristo</t>
        </r>
      </text>
    </comment>
    <comment ref="B472" authorId="0" shapeId="0">
      <text>
        <r>
          <rPr>
            <sz val="10"/>
            <color rgb="FF000000"/>
            <rFont val="Arial"/>
          </rPr>
          <t>berita tidak valid, ternyata pemerintahan negara-negara minta akses membongkar privasi pengguna Fb
	-Afkar Aristo</t>
        </r>
      </text>
    </comment>
    <comment ref="B473" authorId="0" shapeId="0">
      <text>
        <r>
          <rPr>
            <sz val="10"/>
            <color rgb="FF000000"/>
            <rFont val="Arial"/>
          </rPr>
          <t>berita tidak relevan, gak jelas banget ngeberitain apa seputar selebritis
	-Afkar Aristo</t>
        </r>
      </text>
    </comment>
    <comment ref="B475" authorId="0" shapeId="0">
      <text>
        <r>
          <rPr>
            <sz val="10"/>
            <color rgb="FF000000"/>
            <rFont val="Arial"/>
          </rPr>
          <t>berita tidak relevan mengenai naas-naas di persepakbolaan selama premiere league
	-Afkar Aristo</t>
        </r>
      </text>
    </comment>
    <comment ref="B479" authorId="0" shapeId="0">
      <text>
        <r>
          <rPr>
            <sz val="10"/>
            <color rgb="FF000000"/>
            <rFont val="Arial"/>
          </rPr>
          <t>penembakan, korbannya tidak hanya perempuan tapi pria
	-Afkar Aristo</t>
        </r>
      </text>
    </comment>
    <comment ref="B484" authorId="0" shapeId="0">
      <text>
        <r>
          <rPr>
            <sz val="10"/>
            <color rgb="FF000000"/>
            <rFont val="Arial"/>
          </rPr>
          <t>penganiayaan terhadap kakek-kakek
	-Afkar Aristo</t>
        </r>
      </text>
    </comment>
    <comment ref="B485" authorId="0" shapeId="0">
      <text>
        <r>
          <rPr>
            <sz val="10"/>
            <color rgb="FF000000"/>
            <rFont val="Arial"/>
          </rPr>
          <t>berita tidak relevan, mengenai deradikalisasi
	-Afkar Aristo</t>
        </r>
      </text>
    </comment>
    <comment ref="B489" authorId="0" shapeId="0">
      <text>
        <r>
          <rPr>
            <sz val="10"/>
            <color rgb="FF000000"/>
            <rFont val="Arial"/>
          </rPr>
          <t>hanya kompilasi berita
	-Afkar Aristo</t>
        </r>
      </text>
    </comment>
    <comment ref="B490" authorId="0" shapeId="0">
      <text>
        <r>
          <rPr>
            <sz val="10"/>
            <color rgb="FF000000"/>
            <rFont val="Arial"/>
          </rPr>
          <t>bahas kamp konsentrasi uighur
	-Afkar Aristo</t>
        </r>
      </text>
    </comment>
    <comment ref="B491" authorId="0" shapeId="0">
      <text>
        <r>
          <rPr>
            <sz val="10"/>
            <color rgb="FF000000"/>
            <rFont val="Arial"/>
          </rPr>
          <t>kompensasi untuk bisa nyoblos
	-Afkar Aristo</t>
        </r>
      </text>
    </comment>
    <comment ref="B494" authorId="0" shapeId="0">
      <text>
        <r>
          <rPr>
            <sz val="10"/>
            <color rgb="FF000000"/>
            <rFont val="Arial"/>
          </rPr>
          <t>baku tembak tni di papua
	-Afkar Aristo</t>
        </r>
      </text>
    </comment>
    <comment ref="B499" authorId="0" shapeId="0">
      <text>
        <r>
          <rPr>
            <sz val="10"/>
            <color rgb="FF000000"/>
            <rFont val="Arial"/>
          </rPr>
          <t>berita tidak relevan mengenai misa,
	-Afkar Aristo</t>
        </r>
      </text>
    </comment>
    <comment ref="B500" authorId="0" shapeId="0">
      <text>
        <r>
          <rPr>
            <sz val="10"/>
            <color rgb="FF000000"/>
            <rFont val="Arial"/>
          </rPr>
          <t>rentetan represi negara dalam protes politik
	-Afkar Aristo</t>
        </r>
      </text>
    </comment>
    <comment ref="B501" authorId="0" shapeId="0">
      <text>
        <r>
          <rPr>
            <sz val="10"/>
            <color rgb="FF000000"/>
            <rFont val="Arial"/>
          </rPr>
          <t>kompilasi berita
	-Afkar Aristo</t>
        </r>
      </text>
    </comment>
    <comment ref="F501" authorId="0" shapeId="0">
      <text>
        <r>
          <rPr>
            <sz val="10"/>
            <color rgb="FF000000"/>
            <rFont val="Arial"/>
          </rPr>
          <t>data pengganti masih berisi kompilasi berita
	-Afkar Aristo</t>
        </r>
      </text>
    </comment>
    <comment ref="B503" authorId="0" shapeId="0">
      <text>
        <r>
          <rPr>
            <sz val="10"/>
            <color rgb="FF000000"/>
            <rFont val="Arial"/>
          </rPr>
          <t>berita tidak relevan untuk persiapan tahun baru
	-Afkar Aristo</t>
        </r>
      </text>
    </comment>
  </commentList>
</comments>
</file>

<file path=xl/comments6.xml><?xml version="1.0" encoding="utf-8"?>
<comments xmlns="http://schemas.openxmlformats.org/spreadsheetml/2006/main">
  <authors>
    <author/>
  </authors>
  <commentList>
    <comment ref="B1" authorId="0" shapeId="0">
      <text>
        <r>
          <rPr>
            <sz val="10"/>
            <color rgb="FF000000"/>
            <rFont val="Arial"/>
          </rPr>
          <t>berita tidak relevan
	-Villarian</t>
        </r>
      </text>
    </comment>
    <comment ref="B3" authorId="0" shapeId="0">
      <text>
        <r>
          <rPr>
            <sz val="10"/>
            <color rgb="FF000000"/>
            <rFont val="Arial"/>
          </rPr>
          <t>berita tidak relevan
	-Villarian</t>
        </r>
      </text>
    </comment>
    <comment ref="B4" authorId="0" shapeId="0">
      <text>
        <r>
          <rPr>
            <sz val="10"/>
            <color rgb="FF000000"/>
            <rFont val="Arial"/>
          </rPr>
          <t>tidak relevan
	-Villarian</t>
        </r>
      </text>
    </comment>
    <comment ref="B22" authorId="0" shapeId="0">
      <text>
        <r>
          <rPr>
            <sz val="10"/>
            <color rgb="FF000000"/>
            <rFont val="Arial"/>
          </rPr>
          <t>invalid
	-Villarian</t>
        </r>
      </text>
    </comment>
    <comment ref="B23" authorId="0" shapeId="0">
      <text>
        <r>
          <rPr>
            <sz val="10"/>
            <color rgb="FF000000"/>
            <rFont val="Arial"/>
          </rPr>
          <t>invalid
	-Villarian</t>
        </r>
      </text>
    </comment>
    <comment ref="B24" authorId="0" shapeId="0">
      <text>
        <r>
          <rPr>
            <sz val="10"/>
            <color rgb="FF000000"/>
            <rFont val="Arial"/>
          </rPr>
          <t>invalid
	-Villarian</t>
        </r>
      </text>
    </comment>
    <comment ref="B25" authorId="0" shapeId="0">
      <text>
        <r>
          <rPr>
            <sz val="10"/>
            <color rgb="FF000000"/>
            <rFont val="Arial"/>
          </rPr>
          <t>invalid
	-Villarian</t>
        </r>
      </text>
    </comment>
    <comment ref="B26" authorId="0" shapeId="0">
      <text>
        <r>
          <rPr>
            <sz val="10"/>
            <color rgb="FF000000"/>
            <rFont val="Arial"/>
          </rPr>
          <t>invalid
	-Villarian</t>
        </r>
      </text>
    </comment>
    <comment ref="B27" authorId="0" shapeId="0">
      <text>
        <r>
          <rPr>
            <sz val="10"/>
            <color rgb="FF000000"/>
            <rFont val="Arial"/>
          </rPr>
          <t>invalid
	-Villarian</t>
        </r>
      </text>
    </comment>
    <comment ref="B28" authorId="0" shapeId="0">
      <text>
        <r>
          <rPr>
            <sz val="10"/>
            <color rgb="FF000000"/>
            <rFont val="Arial"/>
          </rPr>
          <t>invalid
	-Villarian</t>
        </r>
      </text>
    </comment>
    <comment ref="B29" authorId="0" shapeId="0">
      <text>
        <r>
          <rPr>
            <sz val="10"/>
            <color rgb="FF000000"/>
            <rFont val="Arial"/>
          </rPr>
          <t>invalid
	-Villarian</t>
        </r>
      </text>
    </comment>
    <comment ref="B30" authorId="0" shapeId="0">
      <text>
        <r>
          <rPr>
            <sz val="10"/>
            <color rgb="FF000000"/>
            <rFont val="Arial"/>
          </rPr>
          <t>invalid
	-Villarian</t>
        </r>
      </text>
    </comment>
    <comment ref="B32" authorId="0" shapeId="0">
      <text>
        <r>
          <rPr>
            <sz val="10"/>
            <color rgb="FF000000"/>
            <rFont val="Arial"/>
          </rPr>
          <t>invalid
	-Villarian</t>
        </r>
      </text>
    </comment>
    <comment ref="B33" authorId="0" shapeId="0">
      <text>
        <r>
          <rPr>
            <sz val="10"/>
            <color rgb="FF000000"/>
            <rFont val="Arial"/>
          </rPr>
          <t>invalid
	-Villarian</t>
        </r>
      </text>
    </comment>
    <comment ref="B35" authorId="0" shapeId="0">
      <text>
        <r>
          <rPr>
            <sz val="10"/>
            <color rgb="FF000000"/>
            <rFont val="Arial"/>
          </rPr>
          <t>invalid
	-Villarian</t>
        </r>
      </text>
    </comment>
    <comment ref="B37" authorId="0" shapeId="0">
      <text>
        <r>
          <rPr>
            <sz val="10"/>
            <color rgb="FF000000"/>
            <rFont val="Arial"/>
          </rPr>
          <t>invalid
	-Villarian</t>
        </r>
      </text>
    </comment>
    <comment ref="B38" authorId="0" shapeId="0">
      <text>
        <r>
          <rPr>
            <sz val="10"/>
            <color rgb="FF000000"/>
            <rFont val="Arial"/>
          </rPr>
          <t>invalid
	-Villarian</t>
        </r>
      </text>
    </comment>
    <comment ref="B39" authorId="0" shapeId="0">
      <text>
        <r>
          <rPr>
            <sz val="10"/>
            <color rgb="FF000000"/>
            <rFont val="Arial"/>
          </rPr>
          <t>invalid
	-Villarian</t>
        </r>
      </text>
    </comment>
    <comment ref="B40" authorId="0" shapeId="0">
      <text>
        <r>
          <rPr>
            <sz val="10"/>
            <color rgb="FF000000"/>
            <rFont val="Arial"/>
          </rPr>
          <t>invalid
	-Villarian</t>
        </r>
      </text>
    </comment>
    <comment ref="B43" authorId="0" shapeId="0">
      <text>
        <r>
          <rPr>
            <sz val="10"/>
            <color rgb="FF000000"/>
            <rFont val="Arial"/>
          </rPr>
          <t>invalid
	-Villarian</t>
        </r>
      </text>
    </comment>
    <comment ref="B44" authorId="0" shapeId="0">
      <text>
        <r>
          <rPr>
            <sz val="10"/>
            <color rgb="FF000000"/>
            <rFont val="Arial"/>
          </rPr>
          <t>invalid
	-Villarian</t>
        </r>
      </text>
    </comment>
    <comment ref="B45" authorId="0" shapeId="0">
      <text>
        <r>
          <rPr>
            <sz val="10"/>
            <color rgb="FF000000"/>
            <rFont val="Arial"/>
          </rPr>
          <t>invalid
	-Villarian</t>
        </r>
      </text>
    </comment>
    <comment ref="B46" authorId="0" shapeId="0">
      <text>
        <r>
          <rPr>
            <sz val="10"/>
            <color rgb="FF000000"/>
            <rFont val="Arial"/>
          </rPr>
          <t>invalid
	-Villarian</t>
        </r>
      </text>
    </comment>
    <comment ref="B47" authorId="0" shapeId="0">
      <text>
        <r>
          <rPr>
            <sz val="10"/>
            <color rgb="FF000000"/>
            <rFont val="Arial"/>
          </rPr>
          <t>invalid
	-Villarian</t>
        </r>
      </text>
    </comment>
    <comment ref="B48" authorId="0" shapeId="0">
      <text>
        <r>
          <rPr>
            <sz val="10"/>
            <color rgb="FF000000"/>
            <rFont val="Arial"/>
          </rPr>
          <t>invalid
	-Villarian</t>
        </r>
      </text>
    </comment>
    <comment ref="B49" authorId="0" shapeId="0">
      <text>
        <r>
          <rPr>
            <sz val="10"/>
            <color rgb="FF000000"/>
            <rFont val="Arial"/>
          </rPr>
          <t>invalid
	-Villarian</t>
        </r>
      </text>
    </comment>
    <comment ref="B50" authorId="0" shapeId="0">
      <text>
        <r>
          <rPr>
            <sz val="10"/>
            <color rgb="FF000000"/>
            <rFont val="Arial"/>
          </rPr>
          <t>invalid
	-Villarian</t>
        </r>
      </text>
    </comment>
    <comment ref="B51" authorId="0" shapeId="0">
      <text>
        <r>
          <rPr>
            <sz val="10"/>
            <color rgb="FF000000"/>
            <rFont val="Arial"/>
          </rPr>
          <t>invalid
	-Villarian</t>
        </r>
      </text>
    </comment>
    <comment ref="B52" authorId="0" shapeId="0">
      <text>
        <r>
          <rPr>
            <sz val="10"/>
            <color rgb="FF000000"/>
            <rFont val="Arial"/>
          </rPr>
          <t>invalid
	-Villarian</t>
        </r>
      </text>
    </comment>
    <comment ref="B53" authorId="0" shapeId="0">
      <text>
        <r>
          <rPr>
            <sz val="10"/>
            <color rgb="FF000000"/>
            <rFont val="Arial"/>
          </rPr>
          <t>invalid
	-Villarian</t>
        </r>
      </text>
    </comment>
    <comment ref="B54" authorId="0" shapeId="0">
      <text>
        <r>
          <rPr>
            <sz val="10"/>
            <color rgb="FF000000"/>
            <rFont val="Arial"/>
          </rPr>
          <t>invalid
	-Villarian</t>
        </r>
      </text>
    </comment>
    <comment ref="B55" authorId="0" shapeId="0">
      <text>
        <r>
          <rPr>
            <sz val="10"/>
            <color rgb="FF000000"/>
            <rFont val="Arial"/>
          </rPr>
          <t>invalid
	-Villarian</t>
        </r>
      </text>
    </comment>
    <comment ref="B56" authorId="0" shapeId="0">
      <text>
        <r>
          <rPr>
            <sz val="10"/>
            <color rgb="FF000000"/>
            <rFont val="Arial"/>
          </rPr>
          <t>invalid
	-Villarian</t>
        </r>
      </text>
    </comment>
    <comment ref="B57" authorId="0" shapeId="0">
      <text>
        <r>
          <rPr>
            <sz val="10"/>
            <color rgb="FF000000"/>
            <rFont val="Arial"/>
          </rPr>
          <t>invalid
	-Villarian</t>
        </r>
      </text>
    </comment>
    <comment ref="B73" authorId="0" shapeId="0">
      <text>
        <r>
          <rPr>
            <sz val="10"/>
            <color rgb="FF000000"/>
            <rFont val="Arial"/>
          </rPr>
          <t>invalid
	-Villarian</t>
        </r>
      </text>
    </comment>
    <comment ref="B74" authorId="0" shapeId="0">
      <text>
        <r>
          <rPr>
            <sz val="10"/>
            <color rgb="FF000000"/>
            <rFont val="Arial"/>
          </rPr>
          <t>invalid
	-Villarian</t>
        </r>
      </text>
    </comment>
    <comment ref="B75" authorId="0" shapeId="0">
      <text>
        <r>
          <rPr>
            <sz val="10"/>
            <color rgb="FF000000"/>
            <rFont val="Arial"/>
          </rPr>
          <t>invalid
	-Villarian</t>
        </r>
      </text>
    </comment>
    <comment ref="B76" authorId="0" shapeId="0">
      <text>
        <r>
          <rPr>
            <sz val="10"/>
            <color rgb="FF000000"/>
            <rFont val="Arial"/>
          </rPr>
          <t>invalid
	-Villarian</t>
        </r>
      </text>
    </comment>
    <comment ref="B93" authorId="0" shapeId="0">
      <text>
        <r>
          <rPr>
            <sz val="10"/>
            <color rgb="FF000000"/>
            <rFont val="Arial"/>
          </rPr>
          <t>invalid
	-Villarian</t>
        </r>
      </text>
    </comment>
    <comment ref="B94" authorId="0" shapeId="0">
      <text>
        <r>
          <rPr>
            <sz val="10"/>
            <color rgb="FF000000"/>
            <rFont val="Arial"/>
          </rPr>
          <t>invalid
	-Villarian</t>
        </r>
      </text>
    </comment>
    <comment ref="B95" authorId="0" shapeId="0">
      <text>
        <r>
          <rPr>
            <sz val="10"/>
            <color rgb="FF000000"/>
            <rFont val="Arial"/>
          </rPr>
          <t>invalid
	-Villarian</t>
        </r>
      </text>
    </comment>
    <comment ref="B97" authorId="0" shapeId="0">
      <text>
        <r>
          <rPr>
            <sz val="10"/>
            <color rgb="FF000000"/>
            <rFont val="Arial"/>
          </rPr>
          <t>invalid
	-Villarian</t>
        </r>
      </text>
    </comment>
    <comment ref="B98" authorId="0" shapeId="0">
      <text>
        <r>
          <rPr>
            <sz val="10"/>
            <color rgb="FF000000"/>
            <rFont val="Arial"/>
          </rPr>
          <t>invalid
	-Villarian</t>
        </r>
      </text>
    </comment>
    <comment ref="B99" authorId="0" shapeId="0">
      <text>
        <r>
          <rPr>
            <sz val="10"/>
            <color rgb="FF000000"/>
            <rFont val="Arial"/>
          </rPr>
          <t>invalid
	-Villarian</t>
        </r>
      </text>
    </comment>
    <comment ref="B100" authorId="0" shapeId="0">
      <text>
        <r>
          <rPr>
            <sz val="10"/>
            <color rgb="FF000000"/>
            <rFont val="Arial"/>
          </rPr>
          <t>invalid
	-Villarian</t>
        </r>
      </text>
    </comment>
    <comment ref="B101" authorId="0" shapeId="0">
      <text>
        <r>
          <rPr>
            <sz val="10"/>
            <color rgb="FF000000"/>
            <rFont val="Arial"/>
          </rPr>
          <t>invalid
	-Villarian</t>
        </r>
      </text>
    </comment>
    <comment ref="B102" authorId="0" shapeId="0">
      <text>
        <r>
          <rPr>
            <sz val="10"/>
            <color rgb="FF000000"/>
            <rFont val="Arial"/>
          </rPr>
          <t>invalid
	-Villarian</t>
        </r>
      </text>
    </comment>
    <comment ref="B104" authorId="0" shapeId="0">
      <text>
        <r>
          <rPr>
            <sz val="10"/>
            <color rgb="FF000000"/>
            <rFont val="Arial"/>
          </rPr>
          <t>invalid
	-Villarian</t>
        </r>
      </text>
    </comment>
    <comment ref="B105" authorId="0" shapeId="0">
      <text>
        <r>
          <rPr>
            <sz val="10"/>
            <color rgb="FF000000"/>
            <rFont val="Arial"/>
          </rPr>
          <t>invalid
	-Villarian</t>
        </r>
      </text>
    </comment>
    <comment ref="B106" authorId="0" shapeId="0">
      <text>
        <r>
          <rPr>
            <sz val="10"/>
            <color rgb="FF000000"/>
            <rFont val="Arial"/>
          </rPr>
          <t>invalid
	-Villarian</t>
        </r>
      </text>
    </comment>
    <comment ref="B108" authorId="0" shapeId="0">
      <text>
        <r>
          <rPr>
            <sz val="10"/>
            <color rgb="FF000000"/>
            <rFont val="Arial"/>
          </rPr>
          <t>invalid
	-Villarian</t>
        </r>
      </text>
    </comment>
    <comment ref="B109" authorId="0" shapeId="0">
      <text>
        <r>
          <rPr>
            <sz val="10"/>
            <color rgb="FF000000"/>
            <rFont val="Arial"/>
          </rPr>
          <t>invalid
	-Villarian</t>
        </r>
      </text>
    </comment>
    <comment ref="B110" authorId="0" shapeId="0">
      <text>
        <r>
          <rPr>
            <sz val="10"/>
            <color rgb="FF000000"/>
            <rFont val="Arial"/>
          </rPr>
          <t>invalid
	-Villarian</t>
        </r>
      </text>
    </comment>
    <comment ref="B111" authorId="0" shapeId="0">
      <text>
        <r>
          <rPr>
            <sz val="10"/>
            <color rgb="FF000000"/>
            <rFont val="Arial"/>
          </rPr>
          <t>invalid
	-Villarian</t>
        </r>
      </text>
    </comment>
    <comment ref="B114" authorId="0" shapeId="0">
      <text>
        <r>
          <rPr>
            <sz val="10"/>
            <color rgb="FF000000"/>
            <rFont val="Arial"/>
          </rPr>
          <t>invalid
	-Villarian</t>
        </r>
      </text>
    </comment>
    <comment ref="B116" authorId="0" shapeId="0">
      <text>
        <r>
          <rPr>
            <sz val="10"/>
            <color rgb="FF000000"/>
            <rFont val="Arial"/>
          </rPr>
          <t>invalid
	-Villarian</t>
        </r>
      </text>
    </comment>
    <comment ref="B117" authorId="0" shapeId="0">
      <text>
        <r>
          <rPr>
            <sz val="10"/>
            <color rgb="FF000000"/>
            <rFont val="Arial"/>
          </rPr>
          <t>invalid
	-Villarian</t>
        </r>
      </text>
    </comment>
    <comment ref="B118" authorId="0" shapeId="0">
      <text>
        <r>
          <rPr>
            <sz val="10"/>
            <color rgb="FF000000"/>
            <rFont val="Arial"/>
          </rPr>
          <t>invalid
	-Villarian</t>
        </r>
      </text>
    </comment>
    <comment ref="B119" authorId="0" shapeId="0">
      <text>
        <r>
          <rPr>
            <sz val="10"/>
            <color rgb="FF000000"/>
            <rFont val="Arial"/>
          </rPr>
          <t>invalid
	-Villarian</t>
        </r>
      </text>
    </comment>
    <comment ref="B120" authorId="0" shapeId="0">
      <text>
        <r>
          <rPr>
            <sz val="10"/>
            <color rgb="FF000000"/>
            <rFont val="Arial"/>
          </rPr>
          <t>invalid
	-Villarian</t>
        </r>
      </text>
    </comment>
    <comment ref="B121" authorId="0" shapeId="0">
      <text>
        <r>
          <rPr>
            <sz val="10"/>
            <color rgb="FF000000"/>
            <rFont val="Arial"/>
          </rPr>
          <t>invalid
	-Villarian</t>
        </r>
      </text>
    </comment>
    <comment ref="B122" authorId="0" shapeId="0">
      <text>
        <r>
          <rPr>
            <sz val="10"/>
            <color rgb="FF000000"/>
            <rFont val="Arial"/>
          </rPr>
          <t>invalid
	-Villarian</t>
        </r>
      </text>
    </comment>
    <comment ref="B125" authorId="0" shapeId="0">
      <text>
        <r>
          <rPr>
            <sz val="10"/>
            <color rgb="FF000000"/>
            <rFont val="Arial"/>
          </rPr>
          <t>invalid
	-Villarian</t>
        </r>
      </text>
    </comment>
    <comment ref="B126" authorId="0" shapeId="0">
      <text>
        <r>
          <rPr>
            <sz val="10"/>
            <color rgb="FF000000"/>
            <rFont val="Arial"/>
          </rPr>
          <t>invalid
	-Villarian</t>
        </r>
      </text>
    </comment>
    <comment ref="B128" authorId="0" shapeId="0">
      <text>
        <r>
          <rPr>
            <sz val="10"/>
            <color rgb="FF000000"/>
            <rFont val="Arial"/>
          </rPr>
          <t>invalid
	-Villarian</t>
        </r>
      </text>
    </comment>
    <comment ref="B129" authorId="0" shapeId="0">
      <text>
        <r>
          <rPr>
            <sz val="10"/>
            <color rgb="FF000000"/>
            <rFont val="Arial"/>
          </rPr>
          <t>invalid
	-Villarian</t>
        </r>
      </text>
    </comment>
    <comment ref="B130" authorId="0" shapeId="0">
      <text>
        <r>
          <rPr>
            <sz val="10"/>
            <color rgb="FF000000"/>
            <rFont val="Arial"/>
          </rPr>
          <t>invalid
	-Villarian</t>
        </r>
      </text>
    </comment>
    <comment ref="B131" authorId="0" shapeId="0">
      <text>
        <r>
          <rPr>
            <sz val="10"/>
            <color rgb="FF000000"/>
            <rFont val="Arial"/>
          </rPr>
          <t>invalid
	-Villarian</t>
        </r>
      </text>
    </comment>
    <comment ref="B132" authorId="0" shapeId="0">
      <text>
        <r>
          <rPr>
            <sz val="10"/>
            <color rgb="FF000000"/>
            <rFont val="Arial"/>
          </rPr>
          <t>invalid
	-Villarian</t>
        </r>
      </text>
    </comment>
    <comment ref="B133" authorId="0" shapeId="0">
      <text>
        <r>
          <rPr>
            <sz val="10"/>
            <color rgb="FF000000"/>
            <rFont val="Arial"/>
          </rPr>
          <t>invalid
	-Villarian</t>
        </r>
      </text>
    </comment>
    <comment ref="B134" authorId="0" shapeId="0">
      <text>
        <r>
          <rPr>
            <sz val="10"/>
            <color rgb="FF000000"/>
            <rFont val="Arial"/>
          </rPr>
          <t>invalid
	-Villarian</t>
        </r>
      </text>
    </comment>
    <comment ref="B135" authorId="0" shapeId="0">
      <text>
        <r>
          <rPr>
            <sz val="10"/>
            <color rgb="FF000000"/>
            <rFont val="Arial"/>
          </rPr>
          <t>invalid
	-Villarian</t>
        </r>
      </text>
    </comment>
    <comment ref="B136" authorId="0" shapeId="0">
      <text>
        <r>
          <rPr>
            <sz val="10"/>
            <color rgb="FF000000"/>
            <rFont val="Arial"/>
          </rPr>
          <t>invalid
	-Villarian</t>
        </r>
      </text>
    </comment>
    <comment ref="B137" authorId="0" shapeId="0">
      <text>
        <r>
          <rPr>
            <sz val="10"/>
            <color rgb="FF000000"/>
            <rFont val="Arial"/>
          </rPr>
          <t>invalid
	-Villarian</t>
        </r>
      </text>
    </comment>
    <comment ref="B138" authorId="0" shapeId="0">
      <text>
        <r>
          <rPr>
            <sz val="10"/>
            <color rgb="FF000000"/>
            <rFont val="Arial"/>
          </rPr>
          <t>invalid
	-Villarian</t>
        </r>
      </text>
    </comment>
    <comment ref="B140" authorId="0" shapeId="0">
      <text>
        <r>
          <rPr>
            <sz val="10"/>
            <color rgb="FF000000"/>
            <rFont val="Arial"/>
          </rPr>
          <t>invalid
	-Villarian</t>
        </r>
      </text>
    </comment>
    <comment ref="B143" authorId="0" shapeId="0">
      <text>
        <r>
          <rPr>
            <sz val="10"/>
            <color rgb="FF000000"/>
            <rFont val="Arial"/>
          </rPr>
          <t>invalid
	-Villarian</t>
        </r>
      </text>
    </comment>
    <comment ref="B144" authorId="0" shapeId="0">
      <text>
        <r>
          <rPr>
            <sz val="10"/>
            <color rgb="FF000000"/>
            <rFont val="Arial"/>
          </rPr>
          <t>invalid
	-Villarian</t>
        </r>
      </text>
    </comment>
    <comment ref="B145" authorId="0" shapeId="0">
      <text>
        <r>
          <rPr>
            <sz val="10"/>
            <color rgb="FF000000"/>
            <rFont val="Arial"/>
          </rPr>
          <t>invalid
	-Villarian</t>
        </r>
      </text>
    </comment>
    <comment ref="B146" authorId="0" shapeId="0">
      <text>
        <r>
          <rPr>
            <sz val="10"/>
            <color rgb="FF000000"/>
            <rFont val="Arial"/>
          </rPr>
          <t>invalid
	-Villarian</t>
        </r>
      </text>
    </comment>
    <comment ref="F146" authorId="0" shapeId="0">
      <text>
        <r>
          <rPr>
            <sz val="10"/>
            <color rgb="FF000000"/>
            <rFont val="Arial"/>
          </rPr>
          <t>menurut gw ini cuma berita kriminal biasa, kalo relevan, ini masuk cluster apa?
	-Villarian
meski minim, ada representasi "orang gila" di dalamnya. pelaku penusukan dikaitkan dengan ODG (disabilitas mental)
	-bhena geerushtia
oh gitu, soalnya dulu si Roy nekenin paragraf yang paling dominan. tapi okdeh
	-Villarian
iyah sih, emang suka tricky tp menurut ku meskipun minim tp ada representasi odgj dengan kriminalitas
	-bhena geerushtia
gue udah selesai ya yang ungu, mau ngasih tau via wa, hp gue mati.
	-Villarian
mantepppp luv u ple
	-bhena geerushtia</t>
        </r>
      </text>
    </comment>
    <comment ref="B147" authorId="0" shapeId="0">
      <text>
        <r>
          <rPr>
            <sz val="10"/>
            <color rgb="FF000000"/>
            <rFont val="Arial"/>
          </rPr>
          <t>invalid
	-Villarian</t>
        </r>
      </text>
    </comment>
    <comment ref="B149" authorId="0" shapeId="0">
      <text>
        <r>
          <rPr>
            <sz val="10"/>
            <color rgb="FF000000"/>
            <rFont val="Arial"/>
          </rPr>
          <t>invalid
	-Villarian</t>
        </r>
      </text>
    </comment>
    <comment ref="B150" authorId="0" shapeId="0">
      <text>
        <r>
          <rPr>
            <sz val="10"/>
            <color rgb="FF000000"/>
            <rFont val="Arial"/>
          </rPr>
          <t>invalid
	-Villarian</t>
        </r>
      </text>
    </comment>
    <comment ref="B151" authorId="0" shapeId="0">
      <text>
        <r>
          <rPr>
            <sz val="10"/>
            <color rgb="FF000000"/>
            <rFont val="Arial"/>
          </rPr>
          <t>invalid
	-Villarian</t>
        </r>
      </text>
    </comment>
    <comment ref="B152" authorId="0" shapeId="0">
      <text>
        <r>
          <rPr>
            <sz val="10"/>
            <color rgb="FF000000"/>
            <rFont val="Arial"/>
          </rPr>
          <t>invalid
	-Villarian</t>
        </r>
      </text>
    </comment>
    <comment ref="B153" authorId="0" shapeId="0">
      <text>
        <r>
          <rPr>
            <sz val="10"/>
            <color rgb="FF000000"/>
            <rFont val="Arial"/>
          </rPr>
          <t>invalid
	-Villarian</t>
        </r>
      </text>
    </comment>
    <comment ref="B154" authorId="0" shapeId="0">
      <text>
        <r>
          <rPr>
            <sz val="10"/>
            <color rgb="FF000000"/>
            <rFont val="Arial"/>
          </rPr>
          <t>invalid
	-Villarian</t>
        </r>
      </text>
    </comment>
    <comment ref="B156" authorId="0" shapeId="0">
      <text>
        <r>
          <rPr>
            <sz val="10"/>
            <color rgb="FF000000"/>
            <rFont val="Arial"/>
          </rPr>
          <t>invalid
	-Villarian</t>
        </r>
      </text>
    </comment>
    <comment ref="B157" authorId="0" shapeId="0">
      <text>
        <r>
          <rPr>
            <sz val="10"/>
            <color rgb="FF000000"/>
            <rFont val="Arial"/>
          </rPr>
          <t>invalid
	-Villarian</t>
        </r>
      </text>
    </comment>
    <comment ref="B158" authorId="0" shapeId="0">
      <text>
        <r>
          <rPr>
            <sz val="10"/>
            <color rgb="FF000000"/>
            <rFont val="Arial"/>
          </rPr>
          <t>invalid
	-Villarian</t>
        </r>
      </text>
    </comment>
    <comment ref="B159" authorId="0" shapeId="0">
      <text>
        <r>
          <rPr>
            <sz val="10"/>
            <color rgb="FF000000"/>
            <rFont val="Arial"/>
          </rPr>
          <t>invalid
	-Villarian</t>
        </r>
      </text>
    </comment>
    <comment ref="B160" authorId="0" shapeId="0">
      <text>
        <r>
          <rPr>
            <sz val="10"/>
            <color rgb="FF000000"/>
            <rFont val="Arial"/>
          </rPr>
          <t>invalid
	-Villarian</t>
        </r>
      </text>
    </comment>
    <comment ref="B161" authorId="0" shapeId="0">
      <text>
        <r>
          <rPr>
            <sz val="10"/>
            <color rgb="FF000000"/>
            <rFont val="Arial"/>
          </rPr>
          <t>invalid
	-Villarian</t>
        </r>
      </text>
    </comment>
    <comment ref="B162" authorId="0" shapeId="0">
      <text>
        <r>
          <rPr>
            <sz val="10"/>
            <color rgb="FF000000"/>
            <rFont val="Arial"/>
          </rPr>
          <t>invalid
	-Villarian</t>
        </r>
      </text>
    </comment>
    <comment ref="B164" authorId="0" shapeId="0">
      <text>
        <r>
          <rPr>
            <sz val="10"/>
            <color rgb="FF000000"/>
            <rFont val="Arial"/>
          </rPr>
          <t>invalid
	-Villarian</t>
        </r>
      </text>
    </comment>
    <comment ref="B165" authorId="0" shapeId="0">
      <text>
        <r>
          <rPr>
            <sz val="10"/>
            <color rgb="FF000000"/>
            <rFont val="Arial"/>
          </rPr>
          <t>invalid
	-Villarian</t>
        </r>
      </text>
    </comment>
    <comment ref="B166" authorId="0" shapeId="0">
      <text>
        <r>
          <rPr>
            <sz val="10"/>
            <color rgb="FF000000"/>
            <rFont val="Arial"/>
          </rPr>
          <t>invalid
	-Villarian</t>
        </r>
      </text>
    </comment>
    <comment ref="B168" authorId="0" shapeId="0">
      <text>
        <r>
          <rPr>
            <sz val="10"/>
            <color rgb="FF000000"/>
            <rFont val="Arial"/>
          </rPr>
          <t>invalid
	-Villarian</t>
        </r>
      </text>
    </comment>
    <comment ref="B169" authorId="0" shapeId="0">
      <text>
        <r>
          <rPr>
            <sz val="10"/>
            <color rgb="FF000000"/>
            <rFont val="Arial"/>
          </rPr>
          <t>invalid
	-Villarian</t>
        </r>
      </text>
    </comment>
    <comment ref="B170" authorId="0" shapeId="0">
      <text>
        <r>
          <rPr>
            <sz val="10"/>
            <color rgb="FF000000"/>
            <rFont val="Arial"/>
          </rPr>
          <t>invalid
	-Villarian</t>
        </r>
      </text>
    </comment>
    <comment ref="B171" authorId="0" shapeId="0">
      <text>
        <r>
          <rPr>
            <sz val="10"/>
            <color rgb="FF000000"/>
            <rFont val="Arial"/>
          </rPr>
          <t>invalid
	-Villarian</t>
        </r>
      </text>
    </comment>
    <comment ref="B172" authorId="0" shapeId="0">
      <text>
        <r>
          <rPr>
            <sz val="10"/>
            <color rgb="FF000000"/>
            <rFont val="Arial"/>
          </rPr>
          <t>invalid
	-Villarian</t>
        </r>
      </text>
    </comment>
    <comment ref="B173" authorId="0" shapeId="0">
      <text>
        <r>
          <rPr>
            <sz val="10"/>
            <color rgb="FF000000"/>
            <rFont val="Arial"/>
          </rPr>
          <t>invalid
	-Villarian</t>
        </r>
      </text>
    </comment>
    <comment ref="B174" authorId="0" shapeId="0">
      <text>
        <r>
          <rPr>
            <sz val="10"/>
            <color rgb="FF000000"/>
            <rFont val="Arial"/>
          </rPr>
          <t>invalid
	-Villarian</t>
        </r>
      </text>
    </comment>
    <comment ref="B176" authorId="0" shapeId="0">
      <text>
        <r>
          <rPr>
            <sz val="10"/>
            <color rgb="FF000000"/>
            <rFont val="Arial"/>
          </rPr>
          <t>invalid
	-Villarian</t>
        </r>
      </text>
    </comment>
    <comment ref="B177" authorId="0" shapeId="0">
      <text>
        <r>
          <rPr>
            <sz val="10"/>
            <color rgb="FF000000"/>
            <rFont val="Arial"/>
          </rPr>
          <t>invalid
	-Villarian</t>
        </r>
      </text>
    </comment>
    <comment ref="B178" authorId="0" shapeId="0">
      <text>
        <r>
          <rPr>
            <sz val="10"/>
            <color rgb="FF000000"/>
            <rFont val="Arial"/>
          </rPr>
          <t>invalid
	-Villarian</t>
        </r>
      </text>
    </comment>
    <comment ref="B179" authorId="0" shapeId="0">
      <text>
        <r>
          <rPr>
            <sz val="10"/>
            <color rgb="FF000000"/>
            <rFont val="Arial"/>
          </rPr>
          <t>invalid
	-Villarian</t>
        </r>
      </text>
    </comment>
    <comment ref="B180" authorId="0" shapeId="0">
      <text>
        <r>
          <rPr>
            <sz val="10"/>
            <color rgb="FF000000"/>
            <rFont val="Arial"/>
          </rPr>
          <t>invalid
	-Villarian</t>
        </r>
      </text>
    </comment>
    <comment ref="B182" authorId="0" shapeId="0">
      <text>
        <r>
          <rPr>
            <sz val="10"/>
            <color rgb="FF000000"/>
            <rFont val="Arial"/>
          </rPr>
          <t>invalid
	-Villarian</t>
        </r>
      </text>
    </comment>
    <comment ref="B184" authorId="0" shapeId="0">
      <text>
        <r>
          <rPr>
            <sz val="10"/>
            <color rgb="FF000000"/>
            <rFont val="Arial"/>
          </rPr>
          <t>invalid
	-Villarian</t>
        </r>
      </text>
    </comment>
    <comment ref="B185" authorId="0" shapeId="0">
      <text>
        <r>
          <rPr>
            <sz val="10"/>
            <color rgb="FF000000"/>
            <rFont val="Arial"/>
          </rPr>
          <t>invalid
	-Villarian</t>
        </r>
      </text>
    </comment>
    <comment ref="B187" authorId="0" shapeId="0">
      <text>
        <r>
          <rPr>
            <sz val="10"/>
            <color rgb="FF000000"/>
            <rFont val="Arial"/>
          </rPr>
          <t>invalid
	-Villarian</t>
        </r>
      </text>
    </comment>
    <comment ref="B188" authorId="0" shapeId="0">
      <text>
        <r>
          <rPr>
            <sz val="10"/>
            <color rgb="FF000000"/>
            <rFont val="Arial"/>
          </rPr>
          <t>invalid
	-Villarian</t>
        </r>
      </text>
    </comment>
    <comment ref="B189" authorId="0" shapeId="0">
      <text>
        <r>
          <rPr>
            <sz val="10"/>
            <color rgb="FF000000"/>
            <rFont val="Arial"/>
          </rPr>
          <t>invalid
	-Villarian</t>
        </r>
      </text>
    </comment>
    <comment ref="B190" authorId="0" shapeId="0">
      <text>
        <r>
          <rPr>
            <sz val="10"/>
            <color rgb="FF000000"/>
            <rFont val="Arial"/>
          </rPr>
          <t>invalid
	-Villarian</t>
        </r>
      </text>
    </comment>
    <comment ref="F194" authorId="0" shapeId="0">
      <text>
        <r>
          <rPr>
            <sz val="10"/>
            <color rgb="FF000000"/>
            <rFont val="Arial"/>
          </rPr>
          <t xml:space="preserve">artikel tidak ada
</t>
        </r>
      </text>
    </comment>
    <comment ref="F201" authorId="0" shapeId="0">
      <text>
        <r>
          <rPr>
            <sz val="10"/>
            <color rgb="FF000000"/>
            <rFont val="Arial"/>
          </rPr>
          <t>link berita ini sama dengan nomor 199
	-Villarian
oke, tandai aja dgn warna kuning biar nanti diganti
	-Roy Thaniago
yah .. kenapa ada yg bgtu ya skrg ga bisa dibuka. oke gue ganti
	-bhena geerushtia
eh ple ini kode ada di data pengganti dengan keterangan tidak ada data penganti
	-bhena geerushtia
ya berarti dibiriun aja ya?
	-Villarian
Iya
	-bhena geerushtia</t>
        </r>
      </text>
    </comment>
    <comment ref="F236" authorId="0" shapeId="0">
      <text>
        <r>
          <rPr>
            <sz val="10"/>
            <color rgb="FF000000"/>
            <rFont val="Arial"/>
          </rPr>
          <t>linknya bermasalah
	-Villarian
ple link ini bisa diakses
	-bhena geerushtia
ok, soalnya tadi siang berkali-kali gak bisa gw akses
	-Villarian
Ok
	-bhena geerushtia</t>
        </r>
      </text>
    </comment>
    <comment ref="B254" authorId="0" shapeId="0">
      <text>
        <r>
          <rPr>
            <sz val="10"/>
            <color rgb="FF000000"/>
            <rFont val="Arial"/>
          </rPr>
          <t>video tidak bisa diputar, keterangan waktu tidak ada.
	-Villarian</t>
        </r>
      </text>
    </comment>
    <comment ref="B259" authorId="0" shapeId="0">
      <text>
        <r>
          <rPr>
            <sz val="10"/>
            <color rgb="FF000000"/>
            <rFont val="Arial"/>
          </rPr>
          <t>berita ini memuat beberapa konten/kasus
	-Villarian</t>
        </r>
      </text>
    </comment>
    <comment ref="F274" authorId="0" shapeId="0">
      <text>
        <r>
          <rPr>
            <sz val="10"/>
            <color rgb="FF000000"/>
            <rFont val="Arial"/>
          </rPr>
          <t>artikelnya tidak ada niww
udeh gue isi ya
----
artikelnya tidak ada niww
	-bhena geerushtia
oya lupa kelewat
	-Villarian</t>
        </r>
      </text>
    </comment>
    <comment ref="F420" authorId="0" shapeId="0">
      <text>
        <r>
          <rPr>
            <sz val="10"/>
            <color rgb="FF000000"/>
            <rFont val="Arial"/>
          </rPr>
          <t>Gak relevan nih beritanya
	-Villarian</t>
        </r>
      </text>
    </comment>
  </commentList>
</comments>
</file>

<file path=xl/sharedStrings.xml><?xml version="1.0" encoding="utf-8"?>
<sst xmlns="http://schemas.openxmlformats.org/spreadsheetml/2006/main" count="13560" uniqueCount="6203">
  <si>
    <t>a-15-li</t>
  </si>
  <si>
    <t>lokasi</t>
  </si>
  <si>
    <t>Willy Hanafi (Direktur LBH Bandung)</t>
  </si>
  <si>
    <t>i-2712-de</t>
  </si>
  <si>
    <t>Aby Respati</t>
  </si>
  <si>
    <t>Pria tulen</t>
  </si>
  <si>
    <t>i-2786-ok</t>
  </si>
  <si>
    <t>Glory Cuerda</t>
  </si>
  <si>
    <t>i-2911-cn</t>
  </si>
  <si>
    <t>24/08/2019</t>
  </si>
  <si>
    <t>Laporan pengadilan</t>
  </si>
  <si>
    <t>i-2731-ti</t>
  </si>
  <si>
    <t>Asep Adi Saputra (Kabag Penum Mabes Polri)</t>
  </si>
  <si>
    <t>i-2761-cn</t>
  </si>
  <si>
    <t>i-2767-ti</t>
  </si>
  <si>
    <t>Yael Stefani Sinaga (Pemimpin Umum Suara USU)</t>
  </si>
  <si>
    <t>i-2889-ok</t>
  </si>
  <si>
    <t>20/08/2019</t>
  </si>
  <si>
    <t>Kompol Supriadi (Kanit Reskrim Polsek Metro Tanah Abang)</t>
  </si>
  <si>
    <t>i-2764-de</t>
  </si>
  <si>
    <t>Jimmy Usfunan (ahli tata negara)***Runtung Sitepu (Rektor USU)***Yael Stefani Sinaga (Pemred Suara USU)</t>
  </si>
  <si>
    <t>0***0***0</t>
  </si>
  <si>
    <t>1***-1***0</t>
  </si>
  <si>
    <t>i-2938-te</t>
  </si>
  <si>
    <t>i-2960-li</t>
  </si>
  <si>
    <t>i-2991-de</t>
  </si>
  <si>
    <t>Taufiqulhadi (Anggota Panja DPR)</t>
  </si>
  <si>
    <t>i-3003-su</t>
  </si>
  <si>
    <t>Feri (warga)***Kompol Joni Darmawan (Kapolsek Koto Tangah)</t>
  </si>
  <si>
    <t>0***0</t>
  </si>
  <si>
    <t>-1***0</t>
  </si>
  <si>
    <t>i-3007-de</t>
  </si>
  <si>
    <t>Taufiqulhadi (Anggota Panja RUU KUHP)</t>
  </si>
  <si>
    <t>i-3013-su</t>
  </si>
  <si>
    <t>22/09/2019</t>
  </si>
  <si>
    <t>Gebby Vesta</t>
  </si>
  <si>
    <t>i-3025-cn</t>
  </si>
  <si>
    <t>i-3027-de</t>
  </si>
  <si>
    <t>i-3032-su</t>
  </si>
  <si>
    <t>i-3045-li</t>
  </si>
  <si>
    <t>i-3055-tr</t>
  </si>
  <si>
    <t>p-314-de</t>
  </si>
  <si>
    <t xml:space="preserve"> AKBP Harissandi (Kasubdit V Cyber Crime)</t>
  </si>
  <si>
    <t>p-492-ti</t>
  </si>
  <si>
    <t>p-972-te</t>
  </si>
  <si>
    <t>AA (pegawai BPJS TKA)***Irvansyah Utoh Banja (Deputi Direktur Bidang Hubungan Masyarakat dan Antar Lembaga BPJS TKA)</t>
  </si>
  <si>
    <t>p-1244-li</t>
  </si>
  <si>
    <t>VA (artis)***Muhammad Zakir Rasyidin (pengacara VA)***Jane Shalimar (sahabat VA)</t>
  </si>
  <si>
    <t>2***0***0</t>
  </si>
  <si>
    <t>p-1698-ti</t>
  </si>
  <si>
    <t>Brigjen Pol Albertus Rachmad Wibowo (Direktur Tindak Pidana Siber Bareskrim Polri)***Abdul Fickar Hadjar (Dosen Hukum Acara Pidana Universitas Trisakti)</t>
  </si>
  <si>
    <t>p-1930-su</t>
  </si>
  <si>
    <t>Hotman Paris***Robby Abbas</t>
  </si>
  <si>
    <t>0***-1</t>
  </si>
  <si>
    <t>p-4107-cn</t>
  </si>
  <si>
    <t>26/01/2019</t>
  </si>
  <si>
    <t>Avi Lerner (pendiri dan chief executive Millennium Films)***Bryan Singer***GLAAD***Time's Up (lembaga anti pelecehan)</t>
  </si>
  <si>
    <t>0***0***0***0</t>
  </si>
  <si>
    <t>0***0***0***1</t>
  </si>
  <si>
    <t>p-2588-te</t>
  </si>
  <si>
    <t>p-2846-cn</t>
  </si>
  <si>
    <t>15/01/2019</t>
  </si>
  <si>
    <t>Irjen Luki Hermawan (Kepala Kepolisian Daerah Jawa Timur)***Kombes Ahmad Yusep Gunawan (Ditreskrimsus Polda Jatim)</t>
  </si>
  <si>
    <t>p-1561-cn</t>
  </si>
  <si>
    <t xml:space="preserve"> Brigadir Jenderal Dedi Prasetyo (Kepala Biro Penerangan Masyarakat Divisi Humas Polri)</t>
  </si>
  <si>
    <t>p-4513-de</t>
  </si>
  <si>
    <t>31/01/2019</t>
  </si>
  <si>
    <t>Rahmad Santoso (kuasa hukum Vanessa)***Kombes Pol Frans Barung Mangera (Kabid Humas Polda Jatim)</t>
  </si>
  <si>
    <t>1***0</t>
  </si>
  <si>
    <t>p-4693-ok</t>
  </si>
  <si>
    <t>Kombes Pol Frans Barung Mangera (Kabid Humas Polda Jatim)***Harissandi (Kasubdit V Cyber Crime Kriminal Khusus Polda Jatim)***Jane Shalimar (artis)***Zakir Rasyidin (kuasa hukum)***Milano (kuasa hukum)***Siska (mucikari)***Irjen Luki Hermawan (Kapolda Jatim)***Kombes Ahmad Yusep Gunawan (Ditreskrimsus Polda Jatim)</t>
  </si>
  <si>
    <t>0***0***0***1***1***0***0***0</t>
  </si>
  <si>
    <t>0***0***0***0***0***0***0***0</t>
  </si>
  <si>
    <t>p-4896-ko</t>
  </si>
  <si>
    <t>AKBP Edi Suranta Sitepu (Kasat Reskrim Polres Metro Jakarta Barat)</t>
  </si>
  <si>
    <t>p-5927-li</t>
  </si>
  <si>
    <t>13/02/2019</t>
  </si>
  <si>
    <t>Seorang siswa</t>
  </si>
  <si>
    <t>p-5987-tr</t>
  </si>
  <si>
    <t>Bibi Ardiansyah***Harissandi (Kasubdit V Cyber Crime Kriminal Khusus Polda Jatim)</t>
  </si>
  <si>
    <t>p-6030-ok</t>
  </si>
  <si>
    <t>14/02/2019</t>
  </si>
  <si>
    <t>Warganet***warganet***warganet***Biro Industri dan Komersial distrik Longhua</t>
  </si>
  <si>
    <t>Wanita berpayudara besar***payudara besar membuat perempuan terlihat lebih seksi</t>
  </si>
  <si>
    <t>p-6228-ti</t>
  </si>
  <si>
    <t>17/02/2019</t>
  </si>
  <si>
    <t>Javier Valdez (jurnalis)***Phoolan Devi</t>
  </si>
  <si>
    <t>0***2</t>
  </si>
  <si>
    <t>p-4653-cn</t>
  </si>
  <si>
    <t>Rina Restu Wardani (Koordinator aksi)***Kombes Pol Frans Barung Mangera (Kabid Humas Polda Jatim)</t>
  </si>
  <si>
    <t>p-7702-ok</t>
  </si>
  <si>
    <t>15/03/2019</t>
  </si>
  <si>
    <t>Tanya Plibersek (Wakil Pemimpin Partai Buruh)***Scott Morrison (Perdana Menteri Australia***George Christensen (anggota DPR dari Partai Nasional)***Tony Abbott (mantan Menteri Kesehatan)***Angela Williamson (warga Tasmania)***De Costa (dokter)</t>
  </si>
  <si>
    <t>0***0***0***0***2***0</t>
  </si>
  <si>
    <t>0***0***-1***-1***0***1</t>
  </si>
  <si>
    <t>p-6970-ko</t>
  </si>
  <si>
    <t>Sujoko (Kepala DP3AKBPMD)</t>
  </si>
  <si>
    <t>p-7066-de</t>
  </si>
  <si>
    <t>Kris Nugroho (hakim)***Heri Bertus (pengacara RA)***Togar Sijabat (kuasa hukum Aditya dan Guntur)</t>
  </si>
  <si>
    <t>0***1***0</t>
  </si>
  <si>
    <t>p-7083-li</t>
  </si>
  <si>
    <t>Rahayu Saraswati (politikus)</t>
  </si>
  <si>
    <t>p-7350-su</t>
  </si>
  <si>
    <t>Kerajaan Inggris</t>
  </si>
  <si>
    <t>p-7434-te</t>
  </si>
  <si>
    <t>The Wall Streets Journal***The New York Times***Google</t>
  </si>
  <si>
    <t>0***0***1</t>
  </si>
  <si>
    <t>p-7146-su</t>
  </si>
  <si>
    <t>Sajal Kanti Biswa (petugas polisi)</t>
  </si>
  <si>
    <t>p-7639-ti</t>
  </si>
  <si>
    <t>14/03/2019</t>
  </si>
  <si>
    <t>Nur Rachmat Yuliantoro (Ketua Departemen Ilmu Hubungan Internasional)***Amalinda Savirani (Kepala Departemen Politik dan Pemerintahan)***warga kampus Fisipol***Rika (dosen Fisipol)***Muhadjir Darwin (anggota tim perumus peraturan tentang pencegahan dan penanggulangan kekerasan seksual di UGM)***Iva Ariani (Kepala Bagian Humas dan Protokoler UGM)***Ismunandar (Dirjen Pembelajaran dan Kemahasiswaan dari Kementerian Ristekdikti)</t>
  </si>
  <si>
    <t>0***0***0***0***0***0***0</t>
  </si>
  <si>
    <t>0***0***0***1***1***0***0</t>
  </si>
  <si>
    <t>p-7774-re</t>
  </si>
  <si>
    <t>16/03/2019</t>
  </si>
  <si>
    <t>Sarkawi Datuak Mongguang Kayo (Kepala Bidang Perlindungan Anak dan Perempuan, dari Dinas Pemberdayaan Perempuan dan Perlindungan Anak Kota Pekanbaru)</t>
  </si>
  <si>
    <t>p-7794-re</t>
  </si>
  <si>
    <t>17/03/2019</t>
  </si>
  <si>
    <t>Kim (pengajar budaya Universitas Hanyang Seoul)</t>
  </si>
  <si>
    <t>p-7519-re</t>
  </si>
  <si>
    <t>13/03/2019</t>
  </si>
  <si>
    <t>Pengadilan banding Italia</t>
  </si>
  <si>
    <t>p-7991-ok</t>
  </si>
  <si>
    <t>21/03/2019</t>
  </si>
  <si>
    <t>Nadya Karima Melati</t>
  </si>
  <si>
    <t>p-8181-de</t>
  </si>
  <si>
    <t>26/03/2019</t>
  </si>
  <si>
    <t>Richard Marpaung (Kasipenkum Kejati Jatim)</t>
  </si>
  <si>
    <t>p-6907-ti</t>
  </si>
  <si>
    <t>Riska Carolina (Advokat dan Spesialis Kebijakan Publik PKBI)</t>
  </si>
  <si>
    <t>p-8518-ko</t>
  </si>
  <si>
    <t>30/03/2019</t>
  </si>
  <si>
    <t>Komisi atletik negara bagian Kalifornia***Jenny SuShe (jurnalis)***Kubrat Pulev (petinju kelas berat Bulgaria)</t>
  </si>
  <si>
    <t>0***2***0</t>
  </si>
  <si>
    <t>0***1***-1</t>
  </si>
  <si>
    <t>p-8549-tr</t>
  </si>
  <si>
    <t>Milano Lubis (kuasa hukum)</t>
  </si>
  <si>
    <t>p-8557-cn</t>
  </si>
  <si>
    <t>31/03/2019</t>
  </si>
  <si>
    <t>Rhoma Irama (pedangdut)***Imam Nahei (komisioner Komnas Perempuan)</t>
  </si>
  <si>
    <t>-1***1</t>
  </si>
  <si>
    <t>p-8569-su</t>
  </si>
  <si>
    <t>p-8678-ok</t>
  </si>
  <si>
    <t>AKP Sulhadi (Kasubag Humas Polres Bangli)</t>
  </si>
  <si>
    <t>p-8721-ok</t>
  </si>
  <si>
    <t>Akun Drama Hallu (warganet)***Cupi Cupita (pedangdut)</t>
  </si>
  <si>
    <t>p-8780-re</t>
  </si>
  <si>
    <t>Kumi Naidoo (Sekretaris Jendral Amnesty International)</t>
  </si>
  <si>
    <t>p-8992-ti</t>
  </si>
  <si>
    <t>Akun Instagram Indonesia Tanpa Feminis (warganet)***akun This is Gender (warganet)***akun Aila Indonesia (warganet)***Anita Dhewy (pemimpin redaksi Jurnal Perempuan)***Musdah Mulia (akademisi)***Kalis Mardiasih (penulis)***Mariana Amiruddin (komisioner Komnas Perempuan)</t>
  </si>
  <si>
    <t>-1***-1***-1***0***1***1***1</t>
  </si>
  <si>
    <t>p-9281-ok</t>
  </si>
  <si>
    <t>Muhammad Anwar Nasir (Kapolresta Pontianak Kombes)</t>
  </si>
  <si>
    <t>p-8609-ok</t>
  </si>
  <si>
    <t>Kepolisian Metropolitan Seoul</t>
  </si>
  <si>
    <t>p-9559-cn</t>
  </si>
  <si>
    <t>22/04/2019</t>
  </si>
  <si>
    <t>Nesia Ardi (vokalis NonaRia)***Yashinta Pattiasina (pemain biola NonaRia)</t>
  </si>
  <si>
    <t>2***2</t>
  </si>
  <si>
    <t>1***1</t>
  </si>
  <si>
    <t>p-9596-re</t>
  </si>
  <si>
    <t>23/04/2019</t>
  </si>
  <si>
    <t>Yeni Roslaini Izi (Direktur Eksekutif WCC Palembang)</t>
  </si>
  <si>
    <t>p-9625-de</t>
  </si>
  <si>
    <t>24/04/2019</t>
  </si>
  <si>
    <t>Jaksa penuntut umum</t>
  </si>
  <si>
    <t>p-9669-tr</t>
  </si>
  <si>
    <t>p-9246-ti</t>
  </si>
  <si>
    <t>Hasan (Kepala Biro Hukum dan Humas Kementerian Pemberdayaan Perempuan dan Perlindungan Anak)***Rahayu Saraswati (Anggota Komisi VIII DPR RI dari Fraksi Gerindra)***Masinton Pasaribu (Anggota Komisi III DPR RI dari Fraksi PDIP)***Forum Masyarakat Peduli Parlemen Indonesia***Fraksi PKS</t>
  </si>
  <si>
    <t>0***0***0***0***0</t>
  </si>
  <si>
    <t>0***0***0***0***-1</t>
  </si>
  <si>
    <t>p-9762-su</t>
  </si>
  <si>
    <t>26/04/2019</t>
  </si>
  <si>
    <t>Sundar Pichai (CEO Google)***Melonie Parker (kepala pejabat keanekaragaman)</t>
  </si>
  <si>
    <t>p-9928-li</t>
  </si>
  <si>
    <t>p-10201-su</t>
  </si>
  <si>
    <t>Shivani Gupta***warganet</t>
  </si>
  <si>
    <t>2***0</t>
  </si>
  <si>
    <t>p-10944-ko</t>
  </si>
  <si>
    <t>31/05/2019</t>
  </si>
  <si>
    <t>Saif Ullah (Kepala Dewan Pendidikan Madrasah Bangladesh)***Maleka Banu (Ketua hak-hak perempuan Mahila Parishad)</t>
  </si>
  <si>
    <t>0***1</t>
  </si>
  <si>
    <t>p-10071-ko</t>
  </si>
  <si>
    <t>Mayor Jenderal Surawahadi (Panglima Kodam XIV/Hasanuddin Makassar)***Hasmida Karim (Direktur Aliansi Perempuan Sultra)***Letkol Fajar Lutfi Haris Wijaya (Dandim 1417 Kendari)***Kolonel CPM Andi Sukawati Hafid (Komandan Pomdam Hasanuddin Makassar)</t>
  </si>
  <si>
    <t>0***1***0***0</t>
  </si>
  <si>
    <t>p-10100-li</t>
  </si>
  <si>
    <t>p-10111-te</t>
  </si>
  <si>
    <t>Maidina Rahmawati (anggota Aliansi Nasional Reformasi KUHP)***Taufiqulhadi (anggota Komisi Hukum DPR)</t>
  </si>
  <si>
    <t>p-10142-su</t>
  </si>
  <si>
    <t>Ana (asisten Vanessa Angel)</t>
  </si>
  <si>
    <t>p-10151-tr</t>
  </si>
  <si>
    <t>Kompol Husni Ramli (Kasat Reskrim Polresta Pontianak)</t>
  </si>
  <si>
    <t>p-10178-ti</t>
  </si>
  <si>
    <t>p-10228-ko</t>
  </si>
  <si>
    <t>Divisi Detektif Khusus Provinsial dari Kepolisian Metropolitan Seoul***seorang sumber kepolisian</t>
  </si>
  <si>
    <t>p-10259-tr</t>
  </si>
  <si>
    <t>Ferry Paulus (CEO Persija Jakarta)***Ardhi Tjahjoko (manajer tim Persija)</t>
  </si>
  <si>
    <t>p-10365-de</t>
  </si>
  <si>
    <t>p-10448-cn</t>
  </si>
  <si>
    <t>14/05/2019</t>
  </si>
  <si>
    <t>Eva-Marie Persson (wakil direktur penuntutan publik kejaksaan Swedia)</t>
  </si>
  <si>
    <t>p-10454-ko</t>
  </si>
  <si>
    <t>Ahmad Dawami (Bupati Madiun)</t>
  </si>
  <si>
    <t>p-10679-tr</t>
  </si>
  <si>
    <t>21/05/2019</t>
  </si>
  <si>
    <t>Novan Andrianti (JPU)***Milano Lubis (kuasa hukum)</t>
  </si>
  <si>
    <t>p-10728-cn</t>
  </si>
  <si>
    <t>24/05/2019</t>
  </si>
  <si>
    <t>Dedek Prayudi (Juru Bicara PSI)***Ujang Komarudin (Pengamat Politik Universitas Al Azhar Indonesia)***Adi Prayitno (Pengamat Politik UIN Syarif Hidayatullah Jakarta)</t>
  </si>
  <si>
    <t>1***0***0</t>
  </si>
  <si>
    <t>p-10620-re</t>
  </si>
  <si>
    <t>20/05/2019</t>
  </si>
  <si>
    <t>AKBP Asfuri (Kapolres Makota)</t>
  </si>
  <si>
    <t>p-10428-te</t>
  </si>
  <si>
    <t>13/05/2019</t>
  </si>
  <si>
    <t>Eva-Marie Persson (Jaksa Penuntut)</t>
  </si>
  <si>
    <t>p-10640-de</t>
  </si>
  <si>
    <t>Korea Future Initiative</t>
  </si>
  <si>
    <t>p-11622-ok</t>
  </si>
  <si>
    <t>21/06/2019</t>
  </si>
  <si>
    <t>Ralph Jankus***Putra Christel</t>
  </si>
  <si>
    <t>p-11118-cn</t>
  </si>
  <si>
    <t>p-11169-ti</t>
  </si>
  <si>
    <t>p-11245-su</t>
  </si>
  <si>
    <t>Milano Lubis (kuasa hukum Vanessa Angel)</t>
  </si>
  <si>
    <t>p-11369-su</t>
  </si>
  <si>
    <t>15/06/2019</t>
  </si>
  <si>
    <t>Ipda Ferry Fadli (Kasubag Humas Polres Rokan Hulu)</t>
  </si>
  <si>
    <t>p-11374-ti</t>
  </si>
  <si>
    <t>Seorang karyawan di bar Itaewon***Hanbin***Bang Jeong-hyun (pengacara saksi)***warganet</t>
  </si>
  <si>
    <t>p-11617-li</t>
  </si>
  <si>
    <t>p-11348-cn</t>
  </si>
  <si>
    <t>USS (organisasi)***Regula Buhlmann (Sekretaris Konfederasi Serikat Buruh Swiss)</t>
  </si>
  <si>
    <t>p-11651-ok</t>
  </si>
  <si>
    <t>22/06/2019</t>
  </si>
  <si>
    <t>AKBP Bambang Suharyono (Kapolres Pinrang)</t>
  </si>
  <si>
    <t>p-11743-cn</t>
  </si>
  <si>
    <t>25/06/2019</t>
  </si>
  <si>
    <t>Rahma Hatem (murid perguruan silat KBRI)***Helmy Fauzy (Duta Besar RI untuk Mesir)</t>
  </si>
  <si>
    <t>p-11936-te</t>
  </si>
  <si>
    <t>28/06/2019</t>
  </si>
  <si>
    <t>Mo Salah (pemain sepakbola)***Timothy E Kaldes (warganet)</t>
  </si>
  <si>
    <t>p-12033-li</t>
  </si>
  <si>
    <t>Fairuz A. Rafiq (selebritas)***Galih Ginanjar (selebritas)***Hotman Paris (pengacara)***Ranny A. Rafiq</t>
  </si>
  <si>
    <t>2***0***0***0</t>
  </si>
  <si>
    <t>0***-1***0***0</t>
  </si>
  <si>
    <t>p-12313-ok</t>
  </si>
  <si>
    <t>Warganet***warganet***warganet</t>
  </si>
  <si>
    <t>-1***-1***0</t>
  </si>
  <si>
    <t>p-12380-tr</t>
  </si>
  <si>
    <t>Fernanda Colombo (wasit)</t>
  </si>
  <si>
    <t>p-12655-ko</t>
  </si>
  <si>
    <t>Kompol Supriyanto (Kapolsek Tanjung Priok)</t>
  </si>
  <si>
    <t>p-12683-re</t>
  </si>
  <si>
    <t>Joko Jumadi (pengacara Baiq Nuril)***Yasonna Laoly (Menteri Hukum dan HAM)***AKBP Purnama (Kabid Humas Polda NTB)</t>
  </si>
  <si>
    <t>p-12718-tr</t>
  </si>
  <si>
    <t>Kompol Djemmy Lalujan (Kapolsek Tomohon Tengah)</t>
  </si>
  <si>
    <t>p-12908-re</t>
  </si>
  <si>
    <t>Erasmus Napitupulu (kuasa hukum Baiq Nuril)***Jaleswari Pramodhawardhani (KSP Deputi V Bidang Politik, Hukum, Keamanan, dan Hak Asasi Manusia)***AKBP Purnomo (Kabid Humas Polda NTB)</t>
  </si>
  <si>
    <t>p-13383-li</t>
  </si>
  <si>
    <t>18/07/2019</t>
  </si>
  <si>
    <t>p-13825-ti</t>
  </si>
  <si>
    <t>24/07/2019</t>
  </si>
  <si>
    <t>Muslim Ayub (Anggota Komisi III DPR RI)</t>
  </si>
  <si>
    <t>p-14600-su</t>
  </si>
  <si>
    <t>Ruhiyat M. Tolib  (Kepala Seksi Intelijen dan Penindakan Keimigrasian Kantor Imigrasi Non-TPI Kelas 1 Jakarta Pusat)</t>
  </si>
  <si>
    <t>p-15108-tr</t>
  </si>
  <si>
    <t>18/08/2019</t>
  </si>
  <si>
    <t xml:space="preserve"> Kombes Pol Argo Yuwono (Kabid Humas Polda Metro Jaya)</t>
  </si>
  <si>
    <t>p-14947-su</t>
  </si>
  <si>
    <t>14/08/2019</t>
  </si>
  <si>
    <t xml:space="preserve"> PPA Polrestabes Surabaya</t>
  </si>
  <si>
    <t>p-15414-de</t>
  </si>
  <si>
    <t>25/08/2019</t>
  </si>
  <si>
    <t>Hasto Atmojo (Ketua LPSK)***Noor Sidharta (Sekjen LPSK)</t>
  </si>
  <si>
    <t>p-15494-li</t>
  </si>
  <si>
    <t>p-15562-tr</t>
  </si>
  <si>
    <t>26/08/2019</t>
  </si>
  <si>
    <t>Nugroho Wisnu (Kasi Intel Kejaksaan Negeri Kabupaten Mojokerto)***Reza Indragiri (Kepala Bidang Pemenuhan Hak Anak LPAI)***Anggara Suwahyu (Direktur Eksekutif ICJR)</t>
  </si>
  <si>
    <t>p-14476-de</t>
  </si>
  <si>
    <t>Kompol Ki Ide Bagus Tri (Wakapolres Tulungagung)***SL (tersangka)</t>
  </si>
  <si>
    <t>p-15624-ok</t>
  </si>
  <si>
    <t>27/08/2019</t>
  </si>
  <si>
    <t>Retno Listyarti (Wakil Ketua KPAI)</t>
  </si>
  <si>
    <t>p-15730-cn</t>
  </si>
  <si>
    <t>29/08/2019</t>
  </si>
  <si>
    <t>Tse Chun-chung (kepala kepolisian setempat)***Carrie Lam (pemimpin eksekutif Hong Kong)</t>
  </si>
  <si>
    <t>p-14663-ti</t>
  </si>
  <si>
    <t>AKP Muharram Wibisono (Kasat Reskrim Polres Tangerang Selatan)***akun @kabarbintaro (warganet)</t>
  </si>
  <si>
    <t>p-15961-cn</t>
  </si>
  <si>
    <t>Kombes Pol Edy Sumardi (Kabid Humas Polda Banten)</t>
  </si>
  <si>
    <t>p-15964-de</t>
  </si>
  <si>
    <t>Deddy Soedrajat (ayah Vanessa Angel)</t>
  </si>
  <si>
    <t>p-16005-tr</t>
  </si>
  <si>
    <t>Nikita Mirzani</t>
  </si>
  <si>
    <t>p-16069-te</t>
  </si>
  <si>
    <t>p-16088-de</t>
  </si>
  <si>
    <t>AKP Boby Rachman (Kasat Reskrim Polres Jeneponto)***Syafruddin Nurdin (Sekda Jeneponto, Sulsel)</t>
  </si>
  <si>
    <t>p-16117-li</t>
  </si>
  <si>
    <t>p-16157-de</t>
  </si>
  <si>
    <t>AKBP Andi Moch Dicky (Kapolres Bogor)</t>
  </si>
  <si>
    <t>p-16179-ti</t>
  </si>
  <si>
    <t>Abdul Fickar Hajar (Dosen Hukum Pidana Universitas Trisakti)***Taufiqulhadi (Anggota Panja RKUHP)</t>
  </si>
  <si>
    <t>p-16222-cn</t>
  </si>
  <si>
    <t>26/09/2019</t>
  </si>
  <si>
    <t>BLINKS (penggemar BLACKPINK)***akun @JENBEOMS (warganet)***akun @momoringmochine (warganet)***akun @Nini_de_Lili (warganet)</t>
  </si>
  <si>
    <t>p-16277-re</t>
  </si>
  <si>
    <t>Edwan Hadnansyah (Ketua IJTI Sangkuriang)***Sisilia (mahasiswa FISIP Unjani)***Rini Martini (Wakil Ketua DPRD Kota Cimahi)</t>
  </si>
  <si>
    <t>1***1***0</t>
  </si>
  <si>
    <t>p-16294-te</t>
  </si>
  <si>
    <t>Bambang Soesatyo (Ketua DPR RI)</t>
  </si>
  <si>
    <t>a-28-ok</t>
  </si>
  <si>
    <t>a-48-cn</t>
  </si>
  <si>
    <t>25/01/2019</t>
  </si>
  <si>
    <t>Yati Andriyani (Koordinator KontraS)</t>
  </si>
  <si>
    <t>a-68-su</t>
  </si>
  <si>
    <t>a-70-de</t>
  </si>
  <si>
    <t>a-72-de</t>
  </si>
  <si>
    <t>a-89-ok</t>
  </si>
  <si>
    <t>a-101-cn</t>
  </si>
  <si>
    <t>a-121-li</t>
  </si>
  <si>
    <t>21/02/2019</t>
  </si>
  <si>
    <t>Bonie Nugraha Permana (Ketua Presidium Majelis Luhur Kepercayaan Indonesia)***Harold Aron (Kepala Departemen Sipil Politik Lembaga Bantuan Hukum Bandung)</t>
  </si>
  <si>
    <t>a-151-li</t>
  </si>
  <si>
    <t>26/02/2019</t>
  </si>
  <si>
    <t>Jusuf Kalla (Wapres RI)***Prof. Zudan Arif Fakrulloh (Dirjen Dukcapil)</t>
  </si>
  <si>
    <t>a-173-ti</t>
  </si>
  <si>
    <t>27/02/2019</t>
  </si>
  <si>
    <t>Asep Setia (pengurus Majelis Luhur Kepercayaan Indonesia)</t>
  </si>
  <si>
    <t>a-186-ti</t>
  </si>
  <si>
    <t>a-185-su</t>
  </si>
  <si>
    <t>Kiai Haji Luthfi Bashori (alim Nahdlatul Ulama Jawa Timur)***KH Abdul Muqsith Ghozali (Wakil Ketua Lembaga Bahtsul Masail PBNU)</t>
  </si>
  <si>
    <t>a-187-de</t>
  </si>
  <si>
    <t>Tukiman (penghayat Sapta Dharma)***Heru Purwanto (Sekretaris Dinas Kependudukan dan Pencatatan Sipil)</t>
  </si>
  <si>
    <t>a-271-ok</t>
  </si>
  <si>
    <t>a-312-de</t>
  </si>
  <si>
    <t>a-318-ok</t>
  </si>
  <si>
    <t>a-335-ti</t>
  </si>
  <si>
    <t>a-345-ti</t>
  </si>
  <si>
    <t>a-372-te</t>
  </si>
  <si>
    <t>Dalyanto (tokoh masyarakat)***Ahmad Sudarmi  (Ketua Kelompok Kegiatan Dusun Karet)***Slamet Jumiarto (pelukis)***Ketua RT</t>
  </si>
  <si>
    <t>0***0***2***0</t>
  </si>
  <si>
    <t>-1***-1***1***-1</t>
  </si>
  <si>
    <t>a-420-de</t>
  </si>
  <si>
    <t>a-388-re</t>
  </si>
  <si>
    <t>H. Marzuki A.R. (Sekretaris BPN Prabowo-Sandi Provinsi Aceh)***Ronny Rezkita Siregar (ketua panitia peringatan Isra' Mi'raj Gerakan Muslimah Aliansi Nasional Anti Syiah)</t>
  </si>
  <si>
    <t>a-359-su</t>
  </si>
  <si>
    <t>Bambang Soesatyo (Ketua DPR)</t>
  </si>
  <si>
    <t>a-479-re</t>
  </si>
  <si>
    <t>Ali al-Ahmed (Seorang pembangkang Saudi)***Amnesty International***Kementerian Dalam Negeri Saudi</t>
  </si>
  <si>
    <t>a-484-ok</t>
  </si>
  <si>
    <t>a-490-tr</t>
  </si>
  <si>
    <t>a-505-ti</t>
  </si>
  <si>
    <t>29/04/2019</t>
  </si>
  <si>
    <t>Damien Kingsbury (profesor School of Humanities and Social Sciences Deakin University)***Tariq Ahmed</t>
  </si>
  <si>
    <t>a-532-ok</t>
  </si>
  <si>
    <t>a-549-li</t>
  </si>
  <si>
    <t>19/05/2019</t>
  </si>
  <si>
    <t>Najib Burhani (Wakil Ketua Majlis Pustakan dan Informasi PP Muhammadiyah)***Rumadi Ahmad (Ketua Lakpesdam PBNU)***Mubarak Ahmad Kamil (Ketua Umum Pemuda Ahmadiyah)</t>
  </si>
  <si>
    <t>1***1***1</t>
  </si>
  <si>
    <t>a-538-ok</t>
  </si>
  <si>
    <t>15/05/2019</t>
  </si>
  <si>
    <t>Farid Zainal Effendi (penulis)***Ustadz Rizki Nugroho (pengajar Pondok Pesantren Modern Nuruh Hijrah)***Ustad Asroni Al Paroya (Ketua Forum Komunikasi Dai Muda Indonesia untuk Jakarta Timur)</t>
  </si>
  <si>
    <t>a-542-ti</t>
  </si>
  <si>
    <t>a-548-re</t>
  </si>
  <si>
    <t>a-555-tr</t>
  </si>
  <si>
    <t>a-560-te</t>
  </si>
  <si>
    <t>a-567-su</t>
  </si>
  <si>
    <t>a-522-re</t>
  </si>
  <si>
    <t>Pengadilan Australia</t>
  </si>
  <si>
    <t>a-604-su</t>
  </si>
  <si>
    <t>30/05/2019</t>
  </si>
  <si>
    <t xml:space="preserve"> Syekh Adil Al Kalbani (Mantan Imam Masjidil Haram Mekah)</t>
  </si>
  <si>
    <t>a-605-de</t>
  </si>
  <si>
    <t>a-606-tr</t>
  </si>
  <si>
    <t>Sinta Nuriyah (istri alm. Gus Dur)***hadirin***Taufik Al Amin (Ketua Panitia Sahur Bareng)</t>
  </si>
  <si>
    <t>1***0***-1</t>
  </si>
  <si>
    <t>a-622-ok</t>
  </si>
  <si>
    <t>a-623-su</t>
  </si>
  <si>
    <t>a-649-re</t>
  </si>
  <si>
    <t>a-657-ko</t>
  </si>
  <si>
    <t>18/06/2019</t>
  </si>
  <si>
    <t>Syafii (Bakesbangpoldagri NTB)</t>
  </si>
  <si>
    <t>a-658-li</t>
  </si>
  <si>
    <t>a-663-re</t>
  </si>
  <si>
    <t>a-666-ok</t>
  </si>
  <si>
    <t>a-651-te</t>
  </si>
  <si>
    <t>17/06/2019</t>
  </si>
  <si>
    <t>New York Times***Ali Adubisi (Direktur European Saudi Organization for Human Rights)</t>
  </si>
  <si>
    <t>a-609-de</t>
  </si>
  <si>
    <t>Dermawan</t>
  </si>
  <si>
    <t>a-686-re</t>
  </si>
  <si>
    <t>a-704-re</t>
  </si>
  <si>
    <t>a-709-re</t>
  </si>
  <si>
    <t>a-712-li</t>
  </si>
  <si>
    <t>a-726-li</t>
  </si>
  <si>
    <t>a-737-cn</t>
  </si>
  <si>
    <t>a-743-cn</t>
  </si>
  <si>
    <t>23/07/2019</t>
  </si>
  <si>
    <t>Arief Hidayat (Ketua Majelis Hakim MK)</t>
  </si>
  <si>
    <t>a-746-ko</t>
  </si>
  <si>
    <t>a-752-cn</t>
  </si>
  <si>
    <t>a-768-tr</t>
  </si>
  <si>
    <t>a-793-li</t>
  </si>
  <si>
    <t>a-795-su</t>
  </si>
  <si>
    <t>a-796-li</t>
  </si>
  <si>
    <t>a-803-ko</t>
  </si>
  <si>
    <t>Christiyati Ariyani (Direktur Kepercayaan Terhadap Tuhan YME dan Tradisi)***Ririn Rinata (penghayat kepercayaan organisasi Jowo Luku perwakilan Malang)</t>
  </si>
  <si>
    <t>a-813-ti</t>
  </si>
  <si>
    <t>a-840-te</t>
  </si>
  <si>
    <t>a-818-cn</t>
  </si>
  <si>
    <t>Romo Aloysius Budi Purnomo (aktivis Persaudaraan Lintas Agama)***Bambang Permadi (penghayat kepercayaan Trijaya)</t>
  </si>
  <si>
    <t>a-853-li</t>
  </si>
  <si>
    <t>a-882-re</t>
  </si>
  <si>
    <t>a-893-re</t>
  </si>
  <si>
    <t>d-957-te</t>
  </si>
  <si>
    <t>13/01/2019</t>
  </si>
  <si>
    <t>Pekerja JPO***akun @chandraals***akun @reeko1995</t>
  </si>
  <si>
    <t>0***-1***-1</t>
  </si>
  <si>
    <t>d-435-de</t>
  </si>
  <si>
    <t>d-802-ok</t>
  </si>
  <si>
    <t>Ganjar Pranowo (Gubernur Jawa Tengah)***Carisa</t>
  </si>
  <si>
    <t>d-833-ti</t>
  </si>
  <si>
    <t>d-1234-su</t>
  </si>
  <si>
    <t>16/01/2019</t>
  </si>
  <si>
    <t>Deidre (ibu Kate Grant)***warganet</t>
  </si>
  <si>
    <r>
      <t xml:space="preserve">model </t>
    </r>
    <r>
      <rPr>
        <i/>
        <sz val="10"/>
        <rFont val="Arial"/>
      </rPr>
      <t xml:space="preserve">down </t>
    </r>
    <r>
      <rPr>
        <sz val="10"/>
        <color rgb="FF000000"/>
        <rFont val="Arial"/>
      </rPr>
      <t>s</t>
    </r>
    <r>
      <rPr>
        <i/>
        <sz val="10"/>
        <rFont val="Arial"/>
      </rPr>
      <t>yndrome</t>
    </r>
  </si>
  <si>
    <t>d-744-cn</t>
  </si>
  <si>
    <t>Komisaris Imam Rifai (Kepala Satuan Reserse dan Kriminal Polres Jakarta Utara)***Komisaris Masudi Widodo (Kapolsek Bogor Timur)</t>
  </si>
  <si>
    <t>d-1513-ok</t>
  </si>
  <si>
    <t>d-1809-ti</t>
  </si>
  <si>
    <t>d-1838-li</t>
  </si>
  <si>
    <t>d-2170-li</t>
  </si>
  <si>
    <t>30/01/2019</t>
  </si>
  <si>
    <t>Shane***Hannah***warganet</t>
  </si>
  <si>
    <t>d-3704-cn</t>
  </si>
  <si>
    <t>24/02/2019</t>
  </si>
  <si>
    <t>Alfred Sitorus (Presiden Koalisi Pejalan Kaki)***petugas keamanan</t>
  </si>
  <si>
    <t>d-2865-li</t>
  </si>
  <si>
    <t>Dokter</t>
  </si>
  <si>
    <t>Buta permanen***buta***mata sehat</t>
  </si>
  <si>
    <t>d-2500-ko</t>
  </si>
  <si>
    <t>d-3415-te</t>
  </si>
  <si>
    <t>19/02/2019</t>
  </si>
  <si>
    <t>Ganjar Pranowo (Gubernur Jawa Tengah)</t>
  </si>
  <si>
    <t>Orang sakit jiwa</t>
  </si>
  <si>
    <t>d-2909-ti</t>
  </si>
  <si>
    <t>d-3021-li</t>
  </si>
  <si>
    <t>Anne Avantie (Desainer dan pendiri WIsma Kasih Hydrocephalus)***Irwan Hidayat (Direktur PT Berlico Farma)</t>
  </si>
  <si>
    <t>d-3748-tr</t>
  </si>
  <si>
    <t>AKBP Hesmu Baroto (Kapolres Tanggamus)</t>
  </si>
  <si>
    <t>Keterbelakangan mental</t>
  </si>
  <si>
    <t>d-3396-li</t>
  </si>
  <si>
    <t>Sonny Giroux (Ayah Benjamin Giroux)</t>
  </si>
  <si>
    <t>Penderita autis***penderita autis***penderita autis</t>
  </si>
  <si>
    <t>d-3433-de</t>
  </si>
  <si>
    <t>20/02/2019</t>
  </si>
  <si>
    <t>dr Dewi Prisca Sembiring (Kepala Unit Pelayanan Fungsional Jiwa RSD dr Koesnadi)***penderita gangguan mental</t>
  </si>
  <si>
    <t>Gangguan mental***gangguan mental***gangguan mental***mantan penderita***mantan penderita</t>
  </si>
  <si>
    <t>d-3498-ti</t>
  </si>
  <si>
    <t>d-2695-ko</t>
  </si>
  <si>
    <t>Marullah Matali
(Wali Kota Jakarta Selatan)***Mahfud Fasa (Ketua Perkumpulan Penyandang Disabilitas Fisik Indonesia untuk DKI Jakarta)</t>
  </si>
  <si>
    <t>d-3797-su</t>
  </si>
  <si>
    <t>25/02/2019</t>
  </si>
  <si>
    <t>AKP Edi Qorinas (Kasat Reskrim Polres Tanggamus)***Ipda Primadona Laila (Kanit Perlindungan Perempuan dan Anak Satreskrim Polres Tanggamus)</t>
  </si>
  <si>
    <t>d-3881-su</t>
  </si>
  <si>
    <t>Kurniawi (Kasat Reskrim Polres OKU Selatan AKP)</t>
  </si>
  <si>
    <t>Gangguan jiwa</t>
  </si>
  <si>
    <t>d-3903-cn</t>
  </si>
  <si>
    <t>Inspektur Satu Herry Sulistyo (Kapolsek Pulau Beringin)</t>
  </si>
  <si>
    <t>d-5234-ko</t>
  </si>
  <si>
    <t>Kompol Nurdin A Rahman (Kapolsek Kramat Jati)</t>
  </si>
  <si>
    <t>d-6095-li</t>
  </si>
  <si>
    <t>25/03/2019</t>
  </si>
  <si>
    <t xml:space="preserve"> Dea Valencia (pendiri Batik Kultur)</t>
  </si>
  <si>
    <t>d-5676-ok</t>
  </si>
  <si>
    <t>20/03/2019</t>
  </si>
  <si>
    <t>Aiman Mopangga (warga Kelurahan Calaca Lingkungan III, Kecamatan Wenang)*** Iptu Tomi Oroh (Kasubag Humas Polresta Manado)</t>
  </si>
  <si>
    <t>d-4564-li</t>
  </si>
  <si>
    <t>d-4859-ti</t>
  </si>
  <si>
    <t>d-5079-ko</t>
  </si>
  <si>
    <t>AKP Indra T Herlambang (Kasat Reskrim Polres Lhokseumawe)</t>
  </si>
  <si>
    <t>Menderita keterbelakangan mental</t>
  </si>
  <si>
    <t>d-5325-ko</t>
  </si>
  <si>
    <t>Cheta Prasetyaningrum</t>
  </si>
  <si>
    <t>d-5385-ko</t>
  </si>
  <si>
    <t>d-4232-ti</t>
  </si>
  <si>
    <t>WHO***Hably Warganegara (dokter spesialis Telinga, Hidung, Tenggorok, Bedah Kepala, dan Leher RSPI)</t>
  </si>
  <si>
    <t>Penderita gangguan pendengaran***menderita gangguan pendengaran***menderita gangguan pendengaran</t>
  </si>
  <si>
    <t>d-5534-cn</t>
  </si>
  <si>
    <t>19/03/2019</t>
  </si>
  <si>
    <t>d-5916-te</t>
  </si>
  <si>
    <t>22/03/2019</t>
  </si>
  <si>
    <t>d-5427-te</t>
  </si>
  <si>
    <t>Prabowo (Capres RI nomor urut 02)</t>
  </si>
  <si>
    <t>d-6291-su</t>
  </si>
  <si>
    <t>27/03/2019</t>
  </si>
  <si>
    <t>d-5723-tr</t>
  </si>
  <si>
    <t>Agung Darwis Suriatmadja (Direktur Utama RSUD Bayu Asih Purwakarta)***Asep Kurniawan (Caleg Dapil Purwakarta IV Partai Gerindra)</t>
  </si>
  <si>
    <t>gangguan jiwa***gangguan jiwa***gangguan jiwa***gangguan jiwa</t>
  </si>
  <si>
    <t>d-6349-li</t>
  </si>
  <si>
    <t>28/03/2019</t>
  </si>
  <si>
    <t>d-6501-tr</t>
  </si>
  <si>
    <t>29/03/2019</t>
  </si>
  <si>
    <t>d-6693-ti</t>
  </si>
  <si>
    <t>d-7024-de</t>
  </si>
  <si>
    <t>d-7164-su</t>
  </si>
  <si>
    <t>Xu Bingyang***warganet</t>
  </si>
  <si>
    <t>Cacat</t>
  </si>
  <si>
    <t>d-7170-te</t>
  </si>
  <si>
    <t>Hari Nugroho (Kepala Dinas Bina Marga DKI Jakarta)</t>
  </si>
  <si>
    <t>d-7399-ko</t>
  </si>
  <si>
    <t>Ismayadi***Faraby Martha (SPBK Perhimpunan Dokter Spesialis Mata Indonesia)***Irwan Hidayat (Direktur Sido Muncul)</t>
  </si>
  <si>
    <t>0***0***-1</t>
  </si>
  <si>
    <t>d-7787-te</t>
  </si>
  <si>
    <t>14/04/2019</t>
  </si>
  <si>
    <t>Kathy Lette (penulis komedi)***jaksa Swedia</t>
  </si>
  <si>
    <t>d-8976-li</t>
  </si>
  <si>
    <t>Pengidap autisme***mengidap autisme</t>
  </si>
  <si>
    <t>d-8778-tr</t>
  </si>
  <si>
    <t>25/04/2019</t>
  </si>
  <si>
    <t>dr. Fidiansjah (Direktur Jenderal Pencegahan dan Pengendalian Masalah Kesehatan Jiwa dan Napza, Kementerian Kesehatan RI)</t>
  </si>
  <si>
    <t>Gangguan kejiwaan</t>
  </si>
  <si>
    <t>d-8283-tr</t>
  </si>
  <si>
    <t>19/04/2019</t>
  </si>
  <si>
    <t>Mbah Jirah***Suliyono (relawan)</t>
  </si>
  <si>
    <t>Penderita jiwa pemakan jari tangan</t>
  </si>
  <si>
    <t>d-8375-li</t>
  </si>
  <si>
    <t>21/04/2019</t>
  </si>
  <si>
    <t>d-8400-su</t>
  </si>
  <si>
    <t>d-8470-ok</t>
  </si>
  <si>
    <t>Mitsuhiro Iwamoto (pelaut)</t>
  </si>
  <si>
    <t>d-8688-su</t>
  </si>
  <si>
    <t>Saka Rosanta***dr I Gusti Rai Wiguna (pendiri Rumah Berdaya)</t>
  </si>
  <si>
    <t>Pengidap gangguan jiwa</t>
  </si>
  <si>
    <t>d-8166-de</t>
  </si>
  <si>
    <t>18/04/2019</t>
  </si>
  <si>
    <t>Irmansyah (Kepala Dinas Sosial DKI Jakarta)***pendamping warga binaan</t>
  </si>
  <si>
    <t>d-8760-re</t>
  </si>
  <si>
    <t>d-6980-su</t>
  </si>
  <si>
    <t>Sudirman (Staf Ahli Menteri Bidang Sosial Budaya dan Peran Masyarakat)</t>
  </si>
  <si>
    <t>d-8771-te</t>
  </si>
  <si>
    <t>d-9247-re</t>
  </si>
  <si>
    <t>Alvin Andronicus (pengurus Yayasan Agung Podomoro Land)</t>
  </si>
  <si>
    <t>d-9415-re</t>
  </si>
  <si>
    <t>d-9526-li</t>
  </si>
  <si>
    <t>d-9547-re</t>
  </si>
  <si>
    <t>d-9792-li</t>
  </si>
  <si>
    <t>Akun twitter  @HergunYeniBilg</t>
  </si>
  <si>
    <t>Seperti manusia normal</t>
  </si>
  <si>
    <t>d-9880-tr</t>
  </si>
  <si>
    <t>Azizah (warga Griya Limbah RT 015, RW 024)***Kompol Deddy Kurniawan (Kasatreskrim Polresta Depok)***Ibu Joko (warga)</t>
  </si>
  <si>
    <t>Mengidap gangguan jiwa</t>
  </si>
  <si>
    <t>d-10099-tr</t>
  </si>
  <si>
    <t>d-10267-te</t>
  </si>
  <si>
    <t>22/05/2019</t>
  </si>
  <si>
    <t>d-10284-cn</t>
  </si>
  <si>
    <t>23/05/2019</t>
  </si>
  <si>
    <t>i-1850-ok</t>
  </si>
  <si>
    <t>Akshay Kumar (aktor Bollywood)***Raghava Lawrence (sutradara)</t>
  </si>
  <si>
    <t>d-10765-ti</t>
  </si>
  <si>
    <t>d-11070-cn</t>
  </si>
  <si>
    <t>AKBP Edy Sumardi Priadinata (Kabid Humas Polda Banten)</t>
  </si>
  <si>
    <t>d-11218-ko</t>
  </si>
  <si>
    <t>Komisaris Besar Indra Jafar (Kapolres Metro Jakarta Selatan)</t>
  </si>
  <si>
    <t>Mengalami gangguan jiwa***mengidap gangguan kejiwaan</t>
  </si>
  <si>
    <t>d-11263-de</t>
  </si>
  <si>
    <t>d-11606-re</t>
  </si>
  <si>
    <t>d-11610-su</t>
  </si>
  <si>
    <t>d-11623-ti</t>
  </si>
  <si>
    <t>d-11636-tr</t>
  </si>
  <si>
    <t>d-11250-su</t>
  </si>
  <si>
    <t>Tim Autism Research Center Universitas Cambridge</t>
  </si>
  <si>
    <t>d-11798-su</t>
  </si>
  <si>
    <t>19/06/2019</t>
  </si>
  <si>
    <t>Iptu Prayitno (Kapolsek Jenggawah)</t>
  </si>
  <si>
    <t>d-11959-re</t>
  </si>
  <si>
    <t>d-11979-tr</t>
  </si>
  <si>
    <t>d-11106-re</t>
  </si>
  <si>
    <t>AKBP Indra Lutrianto Amstono (Kapolres Pandelang)</t>
  </si>
  <si>
    <t>d-12066-su</t>
  </si>
  <si>
    <t>d-12177-cn</t>
  </si>
  <si>
    <t>d-12351-ko</t>
  </si>
  <si>
    <t>27/06/2019</t>
  </si>
  <si>
    <t>d-12403-tr</t>
  </si>
  <si>
    <t>AKP Haryanto (Kasatreskrim Polres Sanggau)***Tri H. (tetangga pelaku)</t>
  </si>
  <si>
    <t>d-12484-ti</t>
  </si>
  <si>
    <t>d-12564-te</t>
  </si>
  <si>
    <t>30/06/2019</t>
  </si>
  <si>
    <t>d-12655-te</t>
  </si>
  <si>
    <t>Komisaris Besar Haryanto (Wakil Kepala Rumah Sakit Polri Kramatjati)***Syafruddin (Ketua Harian Dewan Masjid Indonesia)</t>
  </si>
  <si>
    <t>Memeriksa kejiwaan</t>
  </si>
  <si>
    <t>d-12754-ko</t>
  </si>
  <si>
    <t>Shinzo Abe (Perdana Menteri Jepang)***Hirotada Ototake (penulis)***warganet***Yukio Edano (pemimpin Partai Demokrasi Konstitusional Jepang)***Yuichiro Tamaki (kepala Partai Demokrat untuk Rakyat)</t>
  </si>
  <si>
    <t>0***2***0***0***0</t>
  </si>
  <si>
    <t>-1***1***0***1***0</t>
  </si>
  <si>
    <t>d-13005-tr</t>
  </si>
  <si>
    <t>Brigjen Musyafak (Kepala Rumah Sakit Polri Kramat Jati)***AKBP Andi M. Dicky (Kapolres Bogor)***Henny Riana (Psikiater RS Polri Kramat Jati)***Jusuf Kalla (Ketua Umum Dewan Masjid Indonesia)</t>
  </si>
  <si>
    <t>0***0***0***-1</t>
  </si>
  <si>
    <t>Gangguan jiwa***menangani kejiwaan</t>
  </si>
  <si>
    <t>d-13030-ko</t>
  </si>
  <si>
    <t>d-13153-ok</t>
  </si>
  <si>
    <t>d-13646-ti</t>
  </si>
  <si>
    <t>Brigjen Pol Dedi Prasetyo (Karopenmas Mabes Polri)</t>
  </si>
  <si>
    <t>Mengalami gangguan jiwa</t>
  </si>
  <si>
    <t>d-13243-ok</t>
  </si>
  <si>
    <t>d-13174-tr</t>
  </si>
  <si>
    <t xml:space="preserve"> Handojo G. Kusuma (Presiden Direktur AXA Mandiri)
</t>
  </si>
  <si>
    <t>d-14269-de</t>
  </si>
  <si>
    <t>22/07/2019</t>
  </si>
  <si>
    <t>Wendra Rona Putra (Direktur LBH Padang)</t>
  </si>
  <si>
    <t>d-13666-li</t>
  </si>
  <si>
    <t>13/07/2019</t>
  </si>
  <si>
    <t xml:space="preserve">Hasanudin (kakak kandung pelaku)***Deri Sukandi (Ketua RT) </t>
  </si>
  <si>
    <t>Mengidap gangguan kejiwaan***mengalami sakit jiwa***mengalami gangguan kejiwaan</t>
  </si>
  <si>
    <t>d-15409-ok</t>
  </si>
  <si>
    <t>d-16812-ko</t>
  </si>
  <si>
    <t>Nur***Mayra (koordinator Movement Diveable)</t>
  </si>
  <si>
    <t>2***1</t>
  </si>
  <si>
    <t>d-16963-cn</t>
  </si>
  <si>
    <t>Komisaris Besar Agus Triatmaja (Kepala Bidang Humas Polda Jawa Tengah)</t>
  </si>
  <si>
    <t>Mengalami gangguan kejiwaan</t>
  </si>
  <si>
    <t>d-16259-cn</t>
  </si>
  <si>
    <t>17/08/2019</t>
  </si>
  <si>
    <t>d-15937-li</t>
  </si>
  <si>
    <t>Akun Abu Fathiyyaturahma Menk AbdunMujtahid***warganet***warganet***warganet</t>
  </si>
  <si>
    <t>1***0***0***0</t>
  </si>
  <si>
    <t>Memiliki keterbatasan fisik</t>
  </si>
  <si>
    <t>d-15323-su</t>
  </si>
  <si>
    <t>Warganet***Garda Bagus Damastra (warganet)***Handik Putra (warganet)</t>
  </si>
  <si>
    <t>-1***0***0</t>
  </si>
  <si>
    <t>d-16621-de</t>
  </si>
  <si>
    <t>23/08/2019</t>
  </si>
  <si>
    <t>Dian Sastro (selebritas)</t>
  </si>
  <si>
    <t>Gangguan perkembangan autisme***layaknya anak normal</t>
  </si>
  <si>
    <t>d-16640-ko</t>
  </si>
  <si>
    <t>Mengidap autisme</t>
  </si>
  <si>
    <t>d-16728-li</t>
  </si>
  <si>
    <t>d-16953-ti</t>
  </si>
  <si>
    <t>d-17201-ti</t>
  </si>
  <si>
    <t>d-17392-ko</t>
  </si>
  <si>
    <t>Dzikran Kurniawan (Kepala Unit Fasilitasi Pemilikan Rumah Sejahtera DKI Jakarta)***Wahyu (petugas PD Sarana Jaya)</t>
  </si>
  <si>
    <t>d-17529-ko</t>
  </si>
  <si>
    <t>Amril Muhammad (pengajar)***Boy Rahardjo Sidharta (orangtua)***Patricia Lestari Taslim (orangtua)</t>
  </si>
  <si>
    <t>abnormal</t>
  </si>
  <si>
    <t>d-17539-su</t>
  </si>
  <si>
    <t>d-17641-tr</t>
  </si>
  <si>
    <t>d-17663-ok</t>
  </si>
  <si>
    <t>28/09/2019</t>
  </si>
  <si>
    <t>i-230-li</t>
  </si>
  <si>
    <t>24/01/2019</t>
  </si>
  <si>
    <t>Donald Trump (Presiden AS)***Jim Mattis (Sekretaris Departemen Pertahanan)</t>
  </si>
  <si>
    <t>-1***-1</t>
  </si>
  <si>
    <t>i-58-cn</t>
  </si>
  <si>
    <t>Blued (aplikasi kencan)</t>
  </si>
  <si>
    <t>i-133-su</t>
  </si>
  <si>
    <t>14/01/2019</t>
  </si>
  <si>
    <t>Mayu Otaki</t>
  </si>
  <si>
    <t>i-97-ti</t>
  </si>
  <si>
    <t>Beth Jones (psikolog dari Nottingham Trent University)***Joanna Harper (ahli medis asal AS)</t>
  </si>
  <si>
    <t>i-126-tr</t>
  </si>
  <si>
    <t>Laxmi Narayan Tripathi (kepala jemaat Kinnar Akhara)***Akharv (anggota Kinnar Akhara)***Vidyanand Saraswati (juru bicara Juna Akhara)***Atmananda Maharaj (imam kuil)***Abhay Shukla (warga Allahabad)***Bhawani Ma (anggota Kinnar Akhara)</t>
  </si>
  <si>
    <t>2***2***2***0***0***2</t>
  </si>
  <si>
    <t>1***1***1***1***1***1</t>
  </si>
  <si>
    <t>i-174-ti</t>
  </si>
  <si>
    <t>18/01/2019</t>
  </si>
  <si>
    <t>Rainbow Girl (youtuber)***Maya Allen (jurnalis)***Laura Jackson (mahasiswi)***Anneke Smelik (penulis)***Gilber Baker (seniman)</t>
  </si>
  <si>
    <t>1***1***1***1***1</t>
  </si>
  <si>
    <t>i-183-tr</t>
  </si>
  <si>
    <t>19/01/2019</t>
  </si>
  <si>
    <t>Miriam</t>
  </si>
  <si>
    <t>i-213-ti</t>
  </si>
  <si>
    <t>i-86-su</t>
  </si>
  <si>
    <t>Elizabeth Morgan (profesor ilmu psikologi)</t>
  </si>
  <si>
    <t>i-260-ti</t>
  </si>
  <si>
    <t>27/01/2019</t>
  </si>
  <si>
    <t>Mazim Lapunov (korban kekerasan)***Alvi Karimov (jubir pemimpin Chechnya)***Ramzan Kaydrov (pemimpin Chechnya)***Alvi Karimov (narasumber Olga Prosvirova)***Marko (narasumber Olga Prosvirova)</t>
  </si>
  <si>
    <t>1***0***0***1***1</t>
  </si>
  <si>
    <t>1***-1***-1***1***1</t>
  </si>
  <si>
    <t>i-308-de</t>
  </si>
  <si>
    <t>Rian Ernest (Wakil Ketua DPW PSI)***Anthony Winza (Ketua Hukum DPW PSI)</t>
  </si>
  <si>
    <t>i-311-ko</t>
  </si>
  <si>
    <t>Rian Ernest (Wakil Ketua DPW PSI)***Puadi (Komisioner Bawaslu DKI)</t>
  </si>
  <si>
    <t>i-347-ko</t>
  </si>
  <si>
    <t>i-506-su</t>
  </si>
  <si>
    <t>-1***-1***-1</t>
  </si>
  <si>
    <t>i-652-ko</t>
  </si>
  <si>
    <t>i-613-ko</t>
  </si>
  <si>
    <t>18/02/2019</t>
  </si>
  <si>
    <t>Andi (keponakan korban)***Kompol Masnoni (Kapolsek Ilir Barat 1 Palembang)</t>
  </si>
  <si>
    <t>i-383-tr</t>
  </si>
  <si>
    <t>Kombes Pol Dicky Sondani (Kabid Humas Polda Sulsel)</t>
  </si>
  <si>
    <t>i-712-ok</t>
  </si>
  <si>
    <t>i-721-tr</t>
  </si>
  <si>
    <t>Fadli Zon (Anggota Dewan Pengarah BPN Prabowo-Sandi)***Kombes Trunoyudo Wisnu Andiko (Kabid Humas Polda Jabar)</t>
  </si>
  <si>
    <t>i-808-te</t>
  </si>
  <si>
    <t>Ace Hasan Syadzily (jubir TKN Jokowi-Ma'ruf)</t>
  </si>
  <si>
    <t>i-830-re</t>
  </si>
  <si>
    <t>Jair Bolsonaro (presiden Brasil)</t>
  </si>
  <si>
    <t>i-876-su</t>
  </si>
  <si>
    <t>i-1015-ti</t>
  </si>
  <si>
    <t>Human Rights Watch***seorang pria transgender***Kanae Doi dan Kyle Knight (anggota Human Rights Watch)</t>
  </si>
  <si>
    <t>i-1033-re</t>
  </si>
  <si>
    <t>24/03/2019</t>
  </si>
  <si>
    <t>Rosmayati (Wakil Rektor I USU)***Humas USU***Widiya Hastuti (pemimpin redaksi Suara USU)</t>
  </si>
  <si>
    <t>-1***-1***1</t>
  </si>
  <si>
    <t>pengidap LGBT</t>
  </si>
  <si>
    <t>i-1041-re</t>
  </si>
  <si>
    <t>i-1076-li</t>
  </si>
  <si>
    <t>i-1089-tr</t>
  </si>
  <si>
    <t>i-958-de</t>
  </si>
  <si>
    <t>Bambang Soesatyo (Ketua DPR RI)***Tengku Zulkarnain***Ace Hasan Syadzily (juru bicara TKN)</t>
  </si>
  <si>
    <t>Perzinaan sejenis</t>
  </si>
  <si>
    <t>i-1114-ko</t>
  </si>
  <si>
    <t>George Clooney (aktor Hollywood)</t>
  </si>
  <si>
    <t>kaum gay</t>
  </si>
  <si>
    <t>i-1129-cn</t>
  </si>
  <si>
    <t>Rhoma Irama (pedangdut)***Imam Nahei (Komisioner Komnas Perempuan)</t>
  </si>
  <si>
    <t>i-1202-cn</t>
  </si>
  <si>
    <t>Akun twitter @Alexandervtweet***akun twitter @astroehlein***akun twitter @TieTheKnotOrg***akun twitter @AkHafizz***akun twitter @filzah_ija</t>
  </si>
  <si>
    <t>1***1***1***-1***-1</t>
  </si>
  <si>
    <t>kaum LGBT</t>
  </si>
  <si>
    <t>i-1238-de</t>
  </si>
  <si>
    <t>Teungku Faisal Ali (Wakil Ketua MPU Aceh)***Hadiyati Binti Abdul Hadi (jaksa syariah Brunei)</t>
  </si>
  <si>
    <t>Berhubungan sejenis</t>
  </si>
  <si>
    <t>i-1254-li</t>
  </si>
  <si>
    <t>Hidayat Nur Wahid (Wakil Ketua MPR)</t>
  </si>
  <si>
    <t>i-1342-cn</t>
  </si>
  <si>
    <t>i-1293-ko</t>
  </si>
  <si>
    <t>Sultan Hassanal Bolkiah</t>
  </si>
  <si>
    <t>Pelaku LGBT</t>
  </si>
  <si>
    <t>i-1439-ko</t>
  </si>
  <si>
    <t>i-1444-su</t>
  </si>
  <si>
    <t>13/04/2019</t>
  </si>
  <si>
    <t>Erywan Yusof (Menteri kedua Urusan Luar Negeri Brunei)***Antonio Guteres (Sekretaris Jenderal PBB)</t>
  </si>
  <si>
    <t>i-1534-ko</t>
  </si>
  <si>
    <t>i-1572-de</t>
  </si>
  <si>
    <t>Brunei Darussalam***Barbara Lochbihler (anggota parlemen Uni Eropa)***Federica Mogherini (anggota parlemen Uni Eropa)</t>
  </si>
  <si>
    <t>-1***1***1</t>
  </si>
  <si>
    <t>i-1399-ti</t>
  </si>
  <si>
    <t>Matthew Woolfe (aktivis The Brunei Project)***Jeff Allen (juru bicara Pangeran Azim)***Gus Kenworthy (atlet ski gay)***Caitlyn Jenner (aktivis transgender)***Bridget Welsh (profesor ilmu politik John Cabot University)***Mariah Carey</t>
  </si>
  <si>
    <t>0***0***2***2***0***0</t>
  </si>
  <si>
    <t>1***0***1***1***0***1</t>
  </si>
  <si>
    <t>i-1653-tr</t>
  </si>
  <si>
    <t>Viza Julian (pengamat sosial Universitas Tanjungpura)</t>
  </si>
  <si>
    <t>i-1883-ok</t>
  </si>
  <si>
    <t xml:space="preserve"> Layla Moran (Anggota parlemen Oxford)*** Hassanal Bolkiah (Sultan Brunei)</t>
  </si>
  <si>
    <t>1***-1</t>
  </si>
  <si>
    <t>i-1687-re</t>
  </si>
  <si>
    <t>i-1690-re</t>
  </si>
  <si>
    <t>i-1696-li</t>
  </si>
  <si>
    <t>Sultan Hassanal Bolkiah (Sultan Brunei)</t>
  </si>
  <si>
    <t>i-1699-re</t>
  </si>
  <si>
    <t>Hassanal Bolkiah (Sultan Brunei Darussalam)***Renate Kunast (Mantan menteri kabinet Jerman)***Tom Knight (Kolumnis Gay Times Magazine)***Kantor sultan</t>
  </si>
  <si>
    <t>-1***0***1***0</t>
  </si>
  <si>
    <t>i-1708-li</t>
  </si>
  <si>
    <t>i-1712-te</t>
  </si>
  <si>
    <t>i-1714-de</t>
  </si>
  <si>
    <t>i-1731-ti</t>
  </si>
  <si>
    <t>i-1811-tr</t>
  </si>
  <si>
    <t>17/05/2019</t>
  </si>
  <si>
    <t>Ghufron Falfeli (Kabid Ketertiban Umum dan Ketentraman Masyarakat Satpol PP Kota Tangerang)</t>
  </si>
  <si>
    <t>Wanita jadi-jadian***wanita jadi-jadian</t>
  </si>
  <si>
    <t>i-1853-su</t>
  </si>
  <si>
    <t>Warganet***akun @dewii_shiinta (warganet)***akun @minnieohany (warganet)***akun @bdgcollectionbdg (warganet)***akun @imei_21(warganet)</t>
  </si>
  <si>
    <t>-1***-1***-1***-1***-1</t>
  </si>
  <si>
    <t>i-1817-de</t>
  </si>
  <si>
    <t>i-1825-de</t>
  </si>
  <si>
    <t>Irjen Pol Rycko Amelza Dahniel (Kapolda Jateng)</t>
  </si>
  <si>
    <t>penyimpangan seks</t>
  </si>
  <si>
    <t>i-1839-ti</t>
  </si>
  <si>
    <t>Maruf Bajammal (pengacara Brigadir TPP)</t>
  </si>
  <si>
    <t>i-1863-li</t>
  </si>
  <si>
    <t>Leo Varadkar (Menteri Kesehatan Irlandia)***Aodhán Ó Ríordáin (Menteri Kesetaraan Irlandia)*** Eamon Martin (Uskup Agung)***Pietro Parolin (Kardinal)</t>
  </si>
  <si>
    <t>1***1***-1***-1</t>
  </si>
  <si>
    <t>i-1916-re</t>
  </si>
  <si>
    <t>i-1715-re</t>
  </si>
  <si>
    <t>Mahyeldi Ansharullah (Wali Kota Padang)</t>
  </si>
  <si>
    <t>Penyimpangan seksual***perilaku penyimpangan seksual***perilaku penyimpangan seksual</t>
  </si>
  <si>
    <t>i-1973-tr</t>
  </si>
  <si>
    <t>Lucinta Luna***@nabilasyakila04 (warganet)***@stveniqbal (warganet)***@anna_haudi (warganet)***@ananda_fitrianax (warganet)</t>
  </si>
  <si>
    <t>2***0***0***0***0</t>
  </si>
  <si>
    <t>0***-1***-1***-1***-1</t>
  </si>
  <si>
    <t>i-1977-li</t>
  </si>
  <si>
    <t>Sunmi (artis Kpop)***@yvesiren (warganet)</t>
  </si>
  <si>
    <t>i-1987-su</t>
  </si>
  <si>
    <t>Nikita Mirzani (artis)***@lampumerah90 (warganet)***@chands03 (warganet)***@rastavirgo912268 (warganet)***Solena Chaniago</t>
  </si>
  <si>
    <t>0***0***0***0***2</t>
  </si>
  <si>
    <t>1***-1***-1***-1***0</t>
  </si>
  <si>
    <t>i-1975-ti</t>
  </si>
  <si>
    <t>Ririn Aristia***Shinta Ratri (Pimpinan Pondok Pesantren Al Fatah)***Arif Nuh Safri (ustaz)</t>
  </si>
  <si>
    <t>2***2***0</t>
  </si>
  <si>
    <t>i-2042-re</t>
  </si>
  <si>
    <t>Seto Mulyadi (psikolog anak)</t>
  </si>
  <si>
    <t>perilaku menyimpang</t>
  </si>
  <si>
    <t>i-2043-te</t>
  </si>
  <si>
    <t>i-2072-li</t>
  </si>
  <si>
    <t>i-2086-de</t>
  </si>
  <si>
    <t>20/06/2019</t>
  </si>
  <si>
    <t>i-2061-de</t>
  </si>
  <si>
    <t>Sumber anonim</t>
  </si>
  <si>
    <t>i-2071-ko</t>
  </si>
  <si>
    <t>Elijah Daniel (rapper)</t>
  </si>
  <si>
    <t>i-2142-te</t>
  </si>
  <si>
    <t>i-2174-ok</t>
  </si>
  <si>
    <t>Akun @disnep (warganet)***Jennifer Lee (penulis skenario film Frozen 2)</t>
  </si>
  <si>
    <t>Lesbi</t>
  </si>
  <si>
    <t>i-2194-ok</t>
  </si>
  <si>
    <t>29/06/2019</t>
  </si>
  <si>
    <t>Ipda Rino (Kanit Reskrim Polsek Pasar)</t>
  </si>
  <si>
    <t>i-2249-tr</t>
  </si>
  <si>
    <t>Iptu Androyuan Elim. S.I.K (Kanit Reskrim Polsek Kuta Utara)***AKP I Dewa Putu Gede Anom Danujaya SH. S.I.K (Kapolsek Kuta Utara)</t>
  </si>
  <si>
    <t>i-2571-te</t>
  </si>
  <si>
    <t>Sahat Farida Berlian (Anggota DPRD Kota Depok)***Hamzah (anggota Fraksi Gerindra)***Sri Utami (Ketua Bapeperda Kota Depok)</t>
  </si>
  <si>
    <t>i-2690-ti</t>
  </si>
  <si>
    <t>31/07/2019</t>
  </si>
  <si>
    <t>Novarita (Kepala Dinas Kesehatan Kota Depok)***Sri Utami (Ketua Bapeperda Kota Depok)***Aditya Wardhana (Direktur Eksekutif Indonesia AIDS Coalition)***Ricky Gunawan (Direktur LBH Masyarakat)***Human Rights Watch</t>
  </si>
  <si>
    <t>-1***0***1***1***1</t>
  </si>
  <si>
    <t>i-2429-tr</t>
  </si>
  <si>
    <t>Millen Cyrus***Ashanty</t>
  </si>
  <si>
    <t>i-2444-su</t>
  </si>
  <si>
    <t>Bambang Wiyono (Kepala Biro Hubungan Masyarakat, Hukum dan Kerja Sama Kemenkumham)***Dede Oetomo (pendiri GAYa Nusantara)</t>
  </si>
  <si>
    <t>disorientasi seksual***disorientasi seksual***disorientasi seksual</t>
  </si>
  <si>
    <t>i-2448-ti</t>
  </si>
  <si>
    <t>Ade Kusmanto (Kepala Bagian Humas Ditjen PAS Kemenkumham)***Kasnali (Kalapas Banceuy)***Anggara (peneliti ICJR)***Asfinawati (Direktur YLBHI)</t>
  </si>
  <si>
    <t>-1***-1***1***1</t>
  </si>
  <si>
    <t>i-2458-ok</t>
  </si>
  <si>
    <t>14/07/2019</t>
  </si>
  <si>
    <t>Rafi Peretz (Menteri Pendidikan Israel)***Benjamin Netanyahu (Perdana Menteri Israel)***Nitzan Horowitz (pemimpin Partai Meretz)</t>
  </si>
  <si>
    <t>-1***0***1</t>
  </si>
  <si>
    <t>i-2543-de</t>
  </si>
  <si>
    <t>i-2548-ti</t>
  </si>
  <si>
    <t>21/07/2019</t>
  </si>
  <si>
    <t>Mounir Baatour(calon presiden Tunia)***Guillaume Allusson ( master Ilmu Politik dari Universitas Columbia)</t>
  </si>
  <si>
    <t>i-2220-su</t>
  </si>
  <si>
    <t>Kelompok “Istanbul Pride”***Amnesty International***polisi Turki</t>
  </si>
  <si>
    <t>1***1***-1</t>
  </si>
  <si>
    <t>i-2598-cn</t>
  </si>
  <si>
    <t>25/07/2019</t>
  </si>
  <si>
    <t>Chris Pratt</t>
  </si>
  <si>
    <t>i-2339-ok</t>
  </si>
  <si>
    <t>‎Liberti Sitinjak (Kepala Kanwil Kemenkum HAM Jabar)</t>
  </si>
  <si>
    <t>Penyimpangan seksual</t>
  </si>
  <si>
    <t>p-16355-te</t>
  </si>
  <si>
    <t>a-1-de</t>
  </si>
  <si>
    <t>a-4-cn</t>
  </si>
  <si>
    <t>a-8-ok</t>
  </si>
  <si>
    <t>a-17-su</t>
  </si>
  <si>
    <t>a-34-ok</t>
  </si>
  <si>
    <t>20/11/2019</t>
  </si>
  <si>
    <t>a-39-ok</t>
  </si>
  <si>
    <t>22/11/2019</t>
  </si>
  <si>
    <t>a-59-ok</t>
  </si>
  <si>
    <t>Gautam Bhatia (pengacara)***Mukul Kesavan (sejarawan)***Ram (Pemimpin senior BJP)***R Jagannathan (direktur eksekutif majalah Swarajya)***Amit Shah (Menteri Dalam Negeri India)***Niraja Gopal Jaya (ahli sosiologi)</t>
  </si>
  <si>
    <t>0***0***0***0***0***0</t>
  </si>
  <si>
    <t>1***0***-1***0***-1***0</t>
  </si>
  <si>
    <t>a-66-li</t>
  </si>
  <si>
    <t>a-70-li</t>
  </si>
  <si>
    <t>a-73-tr</t>
  </si>
  <si>
    <t>a-80-te</t>
  </si>
  <si>
    <t>18/12/2019</t>
  </si>
  <si>
    <t>S.A. Bobde (Hakim Mahkamah Agung India)</t>
  </si>
  <si>
    <t>a-87-de</t>
  </si>
  <si>
    <t>20/12/2019</t>
  </si>
  <si>
    <t>Haddad Alwi</t>
  </si>
  <si>
    <t>a-95-de</t>
  </si>
  <si>
    <t>21/12/2019</t>
  </si>
  <si>
    <t>Ustaz Solmed</t>
  </si>
  <si>
    <t>a-104-te</t>
  </si>
  <si>
    <t>22/12/2019</t>
  </si>
  <si>
    <t>Basim bin Hussein Alhabsyi***Haddad Alwi</t>
  </si>
  <si>
    <t>a-113-te</t>
  </si>
  <si>
    <t>24/12/2019</t>
  </si>
  <si>
    <t>a-76-li</t>
  </si>
  <si>
    <t>17/12/2019</t>
  </si>
  <si>
    <t>Said Aqil Siroj (Ketua Umum PBNU)***Abdul Basit (Amir Nasional Jemaat Ahmadiyah Indonesia)</t>
  </si>
  <si>
    <t>d-99-tr</t>
  </si>
  <si>
    <t>d-125-ko</t>
  </si>
  <si>
    <t>Moh. Hamzah***Latifah</t>
  </si>
  <si>
    <t>d-146-su</t>
  </si>
  <si>
    <t>d-161-ti</t>
  </si>
  <si>
    <t>d-172-tr</t>
  </si>
  <si>
    <t>akun @keluhkesahojol.id (warganet)***akun @erychs (warganet)***akun @chaeranie_ranie (warganet)***akun @siskaaa_nurulf (warganet)***akun @tiwisyam (warganet)***akun @tika_arierie (warganet)***akun @noonavaraa (warganet)***akun @bursamobilbekasmedan (warganet)</t>
  </si>
  <si>
    <t>1***0***0***0***0***0***0***0</t>
  </si>
  <si>
    <t>d-208-ok</t>
  </si>
  <si>
    <t>Chand Kelvin (selebritas)***John Warnock Hinckley Jr***Mintarsih A. Latief (psikiater)</t>
  </si>
  <si>
    <t>d-190-de</t>
  </si>
  <si>
    <t>Anji (penyanyi)***Pandji Pragiwaksono (komika)</t>
  </si>
  <si>
    <t>Down syndrome</t>
  </si>
  <si>
    <t>d-347-ti</t>
  </si>
  <si>
    <t>Anung Sugihantono (Direktur Jenderal Pencegahan dan Pengendalian Penyakit Kementerian Kesehatan)</t>
  </si>
  <si>
    <t>d-401-su</t>
  </si>
  <si>
    <t>Ratinah***Mohamad Imron</t>
  </si>
  <si>
    <t>d-444-de</t>
  </si>
  <si>
    <t>Pupung (tante korban)***Iptu Nurrozi (Kasubag Humas Polresta Tasikmalaya)***Acep Ilham (pelaku)</t>
  </si>
  <si>
    <t>d-498-re</t>
  </si>
  <si>
    <t>Siddik (Ketua PP Persatuan Dokter Spesialis Mata Indonesia)</t>
  </si>
  <si>
    <t>d-517-ti</t>
  </si>
  <si>
    <t>d-618-de</t>
  </si>
  <si>
    <t>18/11/2019</t>
  </si>
  <si>
    <t>Sumarti (warga setempat)</t>
  </si>
  <si>
    <t>d-697-re</t>
  </si>
  <si>
    <t>d-749-cn</t>
  </si>
  <si>
    <t>19/11/2019</t>
  </si>
  <si>
    <t>d-875-de</t>
  </si>
  <si>
    <t>d-925-re</t>
  </si>
  <si>
    <t>Sajidan (Wakil Rektor Bidang Perencanaan dan Kerjasama UNS)***Senny Marbun (Presiden NPC Indonesia)</t>
  </si>
  <si>
    <t>d-926-su</t>
  </si>
  <si>
    <t>d-940-te</t>
  </si>
  <si>
    <t>Dian Sastrowardoyo (selebritas)</t>
  </si>
  <si>
    <t>d-1078-su</t>
  </si>
  <si>
    <t>21/11/2019</t>
  </si>
  <si>
    <t>d-1111-tr</t>
  </si>
  <si>
    <t>Angkie Yudistia</t>
  </si>
  <si>
    <t>d-1222-su</t>
  </si>
  <si>
    <t>d-1244-ti</t>
  </si>
  <si>
    <t>d-1288-cn</t>
  </si>
  <si>
    <t>23/11/2019</t>
  </si>
  <si>
    <t>Anies Baswedan (Gubernur DKI Jakarta)***William Sabandar (Direktur Utama PT MRT Jakarta)</t>
  </si>
  <si>
    <t>d-1289-de</t>
  </si>
  <si>
    <t>Muhammad Hafidz (praktisi ruqyah)</t>
  </si>
  <si>
    <t>d-1331-re</t>
  </si>
  <si>
    <t>d-1352-ti</t>
  </si>
  <si>
    <t>Usman Hamid (Direktur Eksekutif Amnesty International Indonesia)</t>
  </si>
  <si>
    <t>d-1397-ok</t>
  </si>
  <si>
    <t>24/11/2019</t>
  </si>
  <si>
    <t>d-1511-te</t>
  </si>
  <si>
    <t>25/11/2019</t>
  </si>
  <si>
    <t>d-2004-de</t>
  </si>
  <si>
    <t>Nila F. Moeloek (Dewan Penasehat Perhimpunan Dokter Spesialis Mata Indonesia)***Irwan Hidayat (Direktur PT Industri Jamu dan Farmasi Sido Muncul Tbk)</t>
  </si>
  <si>
    <t>d-2124-ok</t>
  </si>
  <si>
    <t>19/12/2019</t>
  </si>
  <si>
    <t>d-2207-ok</t>
  </si>
  <si>
    <t>d-2232-ti</t>
  </si>
  <si>
    <t>d-2384-tr</t>
  </si>
  <si>
    <t>23/12/2019</t>
  </si>
  <si>
    <t>d-1782-ok</t>
  </si>
  <si>
    <t>14/12/2019</t>
  </si>
  <si>
    <t>Anne Purba (VP Corporate Communications PT KCI)</t>
  </si>
  <si>
    <t>d-2618-te</t>
  </si>
  <si>
    <t>29/12/2019</t>
  </si>
  <si>
    <t>i-55-ko</t>
  </si>
  <si>
    <t xml:space="preserve">Iptu Dahnial Saragih (Kapolsek Pangkalan Brandan)
</t>
  </si>
  <si>
    <t>i-58-ok</t>
  </si>
  <si>
    <t>i-60-ti</t>
  </si>
  <si>
    <t>Ali Tate Cutler (model)***Ed Razek (Kepala Bagian Pemasaran Victoria Secret)</t>
  </si>
  <si>
    <t>i-98-ok</t>
  </si>
  <si>
    <t>Paus Fransiskus</t>
  </si>
  <si>
    <t>i-103-de</t>
  </si>
  <si>
    <t>Alison Battisson (pengacara)***seorang wartawan</t>
  </si>
  <si>
    <t>i-106-re</t>
  </si>
  <si>
    <t>dr. Meisera (Kepala Seksi Pencegahan dan Pengendalian Penyakit Menular Dinkes Kabupaten Purwakarta)</t>
  </si>
  <si>
    <t>i-124-te</t>
  </si>
  <si>
    <t>Mukri (Kepala Pusat Penerangan Hukum Kejaksaan Agung)</t>
  </si>
  <si>
    <t>Kelainan orientasi seks***kelainan perilaku (transgender)</t>
  </si>
  <si>
    <t>i-139-de</t>
  </si>
  <si>
    <t>i-167-cn</t>
  </si>
  <si>
    <t>Tjahjo Kumolo (Menteri Pendayagunaan Aparatur Negara dan Reformasi Birokrasi)</t>
  </si>
  <si>
    <t>i-174-te</t>
  </si>
  <si>
    <t xml:space="preserve">Usman Hamid (Direktur Eksekutif Amnesty International Indonesia)***Mukri (Kepala Pusat Penerangan Hukum Kejaksaan Agung)***Ninik Rahayu (Koordinator Pengampu Bidang Resolusi dan Monitoring Ombudsman RI) </t>
  </si>
  <si>
    <t>Kelainan orientasi seksual***perilaku LGBT</t>
  </si>
  <si>
    <t>i-182-cn</t>
  </si>
  <si>
    <t>Achmad Baidowi (Sekretaris Fraksi PPP DPR RI)*** Mukri (Kepala Pusat Penerangan dan Hukum Kejaksaan Agung)***Ninik Rahayu (Ombudsman RI)</t>
  </si>
  <si>
    <t>Orientasi seksual menyimpang***orientasi seksual yang menyimpang</t>
  </si>
  <si>
    <t>i-204-ko</t>
  </si>
  <si>
    <t xml:space="preserve"> Usman Hamid (Direktur Eksekutif Amnesty International)***Ninik Rahayu (anggota Ombudsman)</t>
  </si>
  <si>
    <t>i-211-ok</t>
  </si>
  <si>
    <t>i-212-su</t>
  </si>
  <si>
    <t>Beka Ulung Hapsara (Koordinator Subkomisi Pemajuan HAM)</t>
  </si>
  <si>
    <t>i-240-tr</t>
  </si>
  <si>
    <t>Yung Kunthearith (Wakil Direktur Departemen Pendidikan Kesehatan di Kementerian Pendidikan)***Ryan Silverio (Koordinator Regional untuk ASEAN SOGIE Caucus)***Srun Srorn (pegiat hak LGBT+)</t>
  </si>
  <si>
    <t>i-338-te</t>
  </si>
  <si>
    <t>27/12/2019</t>
  </si>
  <si>
    <t>Nora Alexandra Philip</t>
  </si>
  <si>
    <t>i-253-te</t>
  </si>
  <si>
    <t>Vatikan</t>
  </si>
  <si>
    <t>i-261-tr</t>
  </si>
  <si>
    <t>15/12/2019</t>
  </si>
  <si>
    <t>i-283-cn</t>
  </si>
  <si>
    <t>Johnny G. Plate (Menkominfo)***Petisi "The First Temptation of Christ"***Heather Cropp (warganet)***Elaine Neely (warganet)</t>
  </si>
  <si>
    <t>0***-1***-1***-1</t>
  </si>
  <si>
    <t>i-299-de</t>
  </si>
  <si>
    <t>i-321-ok</t>
  </si>
  <si>
    <t>i-297-de</t>
  </si>
  <si>
    <t>JJ Abrams (sutradara)</t>
  </si>
  <si>
    <t>i-363-tr</t>
  </si>
  <si>
    <t>30/12/2019</t>
  </si>
  <si>
    <t>Bao</t>
  </si>
  <si>
    <t>p-14-cn</t>
  </si>
  <si>
    <t>p-21-li</t>
  </si>
  <si>
    <t>p-43-tr</t>
  </si>
  <si>
    <t>Rahmat Wibawa (Sekretaris P2TP2A Kabupaten Garut)***AKP Maradona (Kasatreskrim Polres Garut)</t>
  </si>
  <si>
    <t>p-53-cn</t>
  </si>
  <si>
    <t>Sarah Tither-Kaplan***Toni Gaal***James Franco (aktor)***Michael Plonsker (pengacara James Franco)</t>
  </si>
  <si>
    <t>2***2***0***0</t>
  </si>
  <si>
    <t>p-59-de</t>
  </si>
  <si>
    <t>Veronica Koman***Brigjen Dedi Prasetyo (Karo Penmas Divisi Humas Polri)</t>
  </si>
  <si>
    <t>p-81-de</t>
  </si>
  <si>
    <t>Veronica Koman***Teuku Faizasyah (Plt Jubir Kemlu)***Brigjen Dedi Prasetyo (Karo Penmas Divisi Humas Polri)</t>
  </si>
  <si>
    <t>p-87-tr</t>
  </si>
  <si>
    <t>Ipda Baryono (Paur Subbag Humas)</t>
  </si>
  <si>
    <t>p-168-li</t>
  </si>
  <si>
    <t>Cathy Sharon</t>
  </si>
  <si>
    <t>p-232-ok</t>
  </si>
  <si>
    <t>Kombes Pol Trunoyudo Wisnu Andiko (Kabid Humas Polda Jabar)</t>
  </si>
  <si>
    <t>p-239-re</t>
  </si>
  <si>
    <t>Veronica Koman (aktivis HAM)***Marise Payne (Menlu Australia)</t>
  </si>
  <si>
    <t>p-7-su</t>
  </si>
  <si>
    <t>Tina Boonto (Country Director UNAIDS Indonesia)</t>
  </si>
  <si>
    <t>p-252-ti</t>
  </si>
  <si>
    <t>p-279-ko</t>
  </si>
  <si>
    <t>p-280-ok</t>
  </si>
  <si>
    <t>p-714-te</t>
  </si>
  <si>
    <t xml:space="preserve"> Venny Siregar (Koordinator Sekretariat Nasional Forum Pengada Layanan)</t>
  </si>
  <si>
    <t>p-406-ko</t>
  </si>
  <si>
    <t>Safar Muhammad Godam (Kepala Imigrasi Kelas I Khusus Bandara Soekarno-Hatta)***Andri Hadi (Direktur Jenderal Protokol dan Konsuler Kemlu)</t>
  </si>
  <si>
    <t>p-441-te</t>
  </si>
  <si>
    <t>Nicole Brzyski</t>
  </si>
  <si>
    <t>p-478-de</t>
  </si>
  <si>
    <t>Kepala pengadilan militer kota Bukavu***yayasan Panzi Foundation</t>
  </si>
  <si>
    <t>p-496-re</t>
  </si>
  <si>
    <t>Eva-Marie Persson (wakil direktur Swedia untuk penuntutan publik)***Per Samuelson (pengacara)***Pamela Anderson (selebritas)</t>
  </si>
  <si>
    <t>p-514-ti</t>
  </si>
  <si>
    <t>Gama Triono (Aktivis perempuan dan Sekretaris Perkumpulan Keluarga Berencana Indonesia)***Koentjoro (dosen psikologi Universitas Gadjah Mada)***Rika Rosvianti (pendiri perEMPUan)***Naila Rizki Zakiyah (pengacara publik)</t>
  </si>
  <si>
    <t>0***0***1***0</t>
  </si>
  <si>
    <t>1***1***1***1</t>
  </si>
  <si>
    <t>p-575-de</t>
  </si>
  <si>
    <t>Kania Permatasari</t>
  </si>
  <si>
    <t>p-599-te</t>
  </si>
  <si>
    <t>p-642-ko</t>
  </si>
  <si>
    <t>AKP Rizki Santoso (Kasatreskrim Polres Probolinggo)</t>
  </si>
  <si>
    <t>p-687-li</t>
  </si>
  <si>
    <t>Seorang wanita***Taufiqurahman (mahasiswa UGM)***Ganjar Pranowo (Gubernur Jawa Tengah)***Marcello Suparno (Kepala Unit Pelaksana Teknis Dinas Pariwisata Kecamatan Sumberlawang)</t>
  </si>
  <si>
    <t>p-943-ok</t>
  </si>
  <si>
    <t>p-1070-de</t>
  </si>
  <si>
    <t>Charlize Theron (aktris)</t>
  </si>
  <si>
    <t>p-1123-ti</t>
  </si>
  <si>
    <t>p-852-te</t>
  </si>
  <si>
    <t>Mariana Amiruddin (Komisioner Komnas Perempuan)</t>
  </si>
  <si>
    <t>p-1212-de</t>
  </si>
  <si>
    <t>p-1369-ok</t>
  </si>
  <si>
    <t>Sri Mulyani (Menteri Keuangan)***Ida Fauziyah (Menteri Ketenagakerjaan)</t>
  </si>
  <si>
    <t>p-1442-re</t>
  </si>
  <si>
    <t>25/12/2019</t>
  </si>
  <si>
    <t>dr Siska Muliadi (Ketua Harian Pusat Pelayanan Terpadu Pemberdayaan Perempuan dan Anak Kota Cirebon)***Sa’adah (Manager Program Woman Crisis Center Mawar Balqis)***Selly Andriany Gantina (anggota Komisi VIII DPR RI)</t>
  </si>
  <si>
    <t>0***1***1</t>
  </si>
  <si>
    <t>p-1550-re</t>
  </si>
  <si>
    <t>28/12/2019</t>
  </si>
  <si>
    <t>Idham Azis (Kapolri)</t>
  </si>
  <si>
    <t>p-768-su</t>
  </si>
  <si>
    <t>AKBP Yade Setiawan Ujung (Kapolres Malang)</t>
  </si>
  <si>
    <t>p-1557-te</t>
  </si>
  <si>
    <t>Seorang mahasiswi</t>
  </si>
  <si>
    <t>Mawar</t>
  </si>
  <si>
    <t>p-1643-re</t>
  </si>
  <si>
    <t>31/12/2019</t>
  </si>
  <si>
    <t>Retno Listyarti (Komisioner KPAI Bidang Pendidikan)</t>
  </si>
  <si>
    <t>a-13-cn</t>
  </si>
  <si>
    <t>Hassan Karim al-Kaabi (Wakil Ketua Pertama Parlemen Irak)</t>
  </si>
  <si>
    <t>a-22-cn</t>
  </si>
  <si>
    <t>Yati Andriyani (Koordinator Kontras)</t>
  </si>
  <si>
    <t>a-23-de</t>
  </si>
  <si>
    <t>Lena Maryana (anggota Komisi I DPR RI)</t>
  </si>
  <si>
    <t>a-29-te</t>
  </si>
  <si>
    <t>Siane Indriani (Badan Pemenangan Nasional Prabowo-Sandiaga)***Rivanlee Anandar (Peneliti KontraS)</t>
  </si>
  <si>
    <t>a-31-li</t>
  </si>
  <si>
    <t>a-20-te</t>
  </si>
  <si>
    <t>Rivanlee Anandar (Peneliti Kontras)***Arief Budiman (Ketua KPU)</t>
  </si>
  <si>
    <t>a-51-ti</t>
  </si>
  <si>
    <t>a-54-tr</t>
  </si>
  <si>
    <t>Andre Wahyudi (Ketua DPC PDIP Kabupaten Pasuruan)</t>
  </si>
  <si>
    <t>a-66-su</t>
  </si>
  <si>
    <t>Ayatollah Ruhollah Khomeini (Mantan Pemimpin Agung Iran)</t>
  </si>
  <si>
    <t>a-77-li</t>
  </si>
  <si>
    <t>Irjen Anton Bachrul Alam (Kepala Divisi Humas Mabes Polri)***Eva Sundari (Anggota Fraksi PDI Perjuangan)***Phil Robertson (Deputi Direktur Human Rights Watch)</t>
  </si>
  <si>
    <t>a-86-de</t>
  </si>
  <si>
    <t>a-93-de</t>
  </si>
  <si>
    <t>a-103-de</t>
  </si>
  <si>
    <t>Mohammad Javad Zarif (Menteri Luar Negeri Iran)</t>
  </si>
  <si>
    <t>a-107-ok</t>
  </si>
  <si>
    <t>a-125-li</t>
  </si>
  <si>
    <t>a-184-tr</t>
  </si>
  <si>
    <t>a-207-re</t>
  </si>
  <si>
    <t>Mohammed Abdulsalam (Juru Bicara Al-Houthi)</t>
  </si>
  <si>
    <t>a-234-ok</t>
  </si>
  <si>
    <t>a-256-tr</t>
  </si>
  <si>
    <t>Abdullah Beik (anggota Dewan Syura ABI)***Ahmad Hidayat (Sekretaris Jenderal ABI)</t>
  </si>
  <si>
    <t>a-267-te</t>
  </si>
  <si>
    <t>a-284-ti</t>
  </si>
  <si>
    <t>Ma'ruf Amin (Calon Wakil Presiden)</t>
  </si>
  <si>
    <t>a-251-de</t>
  </si>
  <si>
    <t>Profesor Al Makin (UIN Sunan Kalijaga)***Lia Eden</t>
  </si>
  <si>
    <t>"nabi palsu"</t>
  </si>
  <si>
    <t>a-333-tr</t>
  </si>
  <si>
    <t>a-245-ko</t>
  </si>
  <si>
    <t>Grace Natalie</t>
  </si>
  <si>
    <t>Yati Andriyani (Koordinator Kontras)***Dimas Bagus Arya (Staf Divisi Pemantauan Impunitas KontraS)</t>
  </si>
  <si>
    <t>a-352-de</t>
  </si>
  <si>
    <t>Wahyu Setiawan (komisioner KPU)</t>
  </si>
  <si>
    <t>Dalyanto (Tokoh masyarakat)***Ahmad Sudarmi (Ketua Kelompok Kegiatan Dusun Karet)</t>
  </si>
  <si>
    <t>a-393-ti</t>
  </si>
  <si>
    <t>Gatot Saptadi (Sekretaris Daerah Provinsi Instimewa Yogyakarta (DIY)</t>
  </si>
  <si>
    <t>a-431-ko</t>
  </si>
  <si>
    <t>a-451-re</t>
  </si>
  <si>
    <t>juru bicara Organisasi Badr***juru bicara koalisi Fateh</t>
  </si>
  <si>
    <t>a-453-su</t>
  </si>
  <si>
    <t>H. Abdul Basit Shd (Amir Nasional Jemaat Ahmadiyah Indonesia)</t>
  </si>
  <si>
    <t>a-457-te</t>
  </si>
  <si>
    <t>a-458-cn</t>
  </si>
  <si>
    <t>Pratiwi Febry (Pengacara Publik LBH Jakarta)***Rasyid Ridha Saragih (Pengacara publik LBH Jakarta)</t>
  </si>
  <si>
    <t>a-468-ko</t>
  </si>
  <si>
    <t>Saudi Press Agency</t>
  </si>
  <si>
    <t>a-481-de</t>
  </si>
  <si>
    <t>Michelle Bachelet (Komisioner PBB)</t>
  </si>
  <si>
    <t>a-487-tr</t>
  </si>
  <si>
    <t>Anggia Ermarini (Ketua umum PP Fatayat NU)</t>
  </si>
  <si>
    <t>a-513-ti</t>
  </si>
  <si>
    <t>Murtadha Muthahhari***Muhammad Al-Baqir***Khoirul Anwar</t>
  </si>
  <si>
    <t>a-515-li</t>
  </si>
  <si>
    <t>Muhammad Ashfaq (Polisi Senior Pakistan)</t>
  </si>
  <si>
    <t>a-543-de</t>
  </si>
  <si>
    <t>a-545-ko</t>
  </si>
  <si>
    <t>Fatkhul Khoir (Koordinator Kontras Surabaya)</t>
  </si>
  <si>
    <t>a-551-re</t>
  </si>
  <si>
    <t>Adel al-Jubeir (Menteri Luar Negeri Arab Saudi)</t>
  </si>
  <si>
    <t>a-557-su</t>
  </si>
  <si>
    <t xml:space="preserve">Yurgen Alifia Sutarno (Politikus PSI) </t>
  </si>
  <si>
    <t>a-561-tr</t>
  </si>
  <si>
    <t>Adel al-Jubeir (Menteri Luar Negeri Arab Saudi)***Kementerian Luar Negeri UEA</t>
  </si>
  <si>
    <t>a-562-li</t>
  </si>
  <si>
    <t>Brigjen Yahya Rasoul (juru bicara militer Irak)***Donald Trump (Presiden AS)</t>
  </si>
  <si>
    <t>a-569-te</t>
  </si>
  <si>
    <t>Yahya Sarea (juru bicara militer Houthi)</t>
  </si>
  <si>
    <t>a-578-ok</t>
  </si>
  <si>
    <t>anggota keluarga salah satu tertuduh</t>
  </si>
  <si>
    <t>a-584-re</t>
  </si>
  <si>
    <t>a-591-te</t>
  </si>
  <si>
    <t>a-626-re</t>
  </si>
  <si>
    <t>Departemen Negara Kebebasan Beragama Internasional Amerika Serikat</t>
  </si>
  <si>
    <t>a-633-ok</t>
  </si>
  <si>
    <t>Mahathir Mohamad (Perdana Menteri Malaysia)</t>
  </si>
  <si>
    <t>a-640-ti</t>
  </si>
  <si>
    <t>Lynn Maalouf (Direktur Riset Amnesty International untuk Timur Tengah)</t>
  </si>
  <si>
    <t>a-654-de</t>
  </si>
  <si>
    <t>a-672-su</t>
  </si>
  <si>
    <t>Seorang petinggi polisi</t>
  </si>
  <si>
    <t>a-678-te</t>
  </si>
  <si>
    <t>Tika***Wahyu</t>
  </si>
  <si>
    <t>a-681-ok</t>
  </si>
  <si>
    <t>Massa aksi Halalbihalal</t>
  </si>
  <si>
    <t>a-682-su</t>
  </si>
  <si>
    <t>Sobri Lubis (Ketua FPI)***Yusuf Martak (Ketua GNPF)</t>
  </si>
  <si>
    <t>a-749-su</t>
  </si>
  <si>
    <t>a-706-ko</t>
  </si>
  <si>
    <t>a-740-ko</t>
  </si>
  <si>
    <t>a-762-re</t>
  </si>
  <si>
    <t>Andrew Tinney (Hakim Agung)</t>
  </si>
  <si>
    <t>a-779-ko</t>
  </si>
  <si>
    <t>Suwari (Ketua PHDI)***Hari Budi Setiawan (Kepala Desa Krisik)</t>
  </si>
  <si>
    <t>a-785-tr</t>
  </si>
  <si>
    <t>a-789-ok</t>
  </si>
  <si>
    <t>a-791-re</t>
  </si>
  <si>
    <t>a-797-ok</t>
  </si>
  <si>
    <t>a-807-ok</t>
  </si>
  <si>
    <t>AKP Edi Saputra (Kapolsek Kuta Alam)</t>
  </si>
  <si>
    <t>aliran sesat***menyimpang</t>
  </si>
  <si>
    <t>a-808-ti</t>
  </si>
  <si>
    <t>Ely***Lukman***El***Wira***Avery Willis, Jr (misionaris Gereja Baptis)</t>
  </si>
  <si>
    <t>a-811-te</t>
  </si>
  <si>
    <t>Andreas Harsono (peneliti Human Rights Watch)</t>
  </si>
  <si>
    <t>a-833-te</t>
  </si>
  <si>
    <t>a-835-de</t>
  </si>
  <si>
    <t>a-868-tr</t>
  </si>
  <si>
    <t>a-869-de</t>
  </si>
  <si>
    <t>a-889-tr</t>
  </si>
  <si>
    <t>d-518-ko</t>
  </si>
  <si>
    <t>Anggota Polisi***AKBP Sutrisno Hady Santoso (Kapolres Pulau Ambon)</t>
  </si>
  <si>
    <t>cacat</t>
  </si>
  <si>
    <t>d-1440-de</t>
  </si>
  <si>
    <t>Busroni (Kepala Bagian Opini Publik Peliputan dan Produksi Komnikasi Kemenkes)***Oscar Primadi (Sekretaris Jenderal Kemenkes)</t>
  </si>
  <si>
    <t>d-2129-su</t>
  </si>
  <si>
    <t>Shen Chengqing (Traveler disabilitas)</t>
  </si>
  <si>
    <t>d-1179-tr</t>
  </si>
  <si>
    <t>Anto Kurnia (Saksi)***AKP Wahyu Norman Hidayat (Kasat Reskrim Polres Lamongan)</t>
  </si>
  <si>
    <t>d-1545-li</t>
  </si>
  <si>
    <t>d-213-tr</t>
  </si>
  <si>
    <t>Didi (Saksi)</t>
  </si>
  <si>
    <t>d-1827-de</t>
  </si>
  <si>
    <t>d-1864-tr</t>
  </si>
  <si>
    <t>I Made Somya Putra (Kuasa Hukum Korban)</t>
  </si>
  <si>
    <t>d-1979-tr</t>
  </si>
  <si>
    <t>d-2014-cn</t>
  </si>
  <si>
    <t>Said Aqil Siraj (Ketua Umum PBNU)</t>
  </si>
  <si>
    <t>buta</t>
  </si>
  <si>
    <t>d-2327-su</t>
  </si>
  <si>
    <t>Camilo Navarro</t>
  </si>
  <si>
    <t>d-2779-li</t>
  </si>
  <si>
    <t>Wiendra Waworuntu (Direktur Pencegahan dan Pengendalian Penyakit Menular Langsung Kemenkes RI)</t>
  </si>
  <si>
    <t>d-3010-ko</t>
  </si>
  <si>
    <t>Iptu Heri (Kapolsek Baktiya Barat Aceh Utara)</t>
  </si>
  <si>
    <t>d-2801-ti</t>
  </si>
  <si>
    <t>d-3371-de</t>
  </si>
  <si>
    <t>d-2512-te</t>
  </si>
  <si>
    <t>Gungde Ariwangsa (Ketua SIWO PWI Pusat)***Azhari Nasution (Wakil Ketua Panitia Penyelenggara Golden Award SIWO PWI Pusat 2019)</t>
  </si>
  <si>
    <t>d-3082-ko</t>
  </si>
  <si>
    <t>Kornelia Daghe (Ibu ODGJ)***Titus Lawur (Ayah ODGJ)***Andreas Deja (Suami ODGJ)***Matius Sadar***Aloysius Lumpur***Pater Avent Saur, Svd (Ketua KKI ODGJ NTT)***Regina Malon (Kepala Bidang Pengendali, Pencegahan dan Pemberantasan Penyakit Dinas Kesehatan Kabupaten Manggarai Timur)***Leonardus Santosa (Ketua Komisi A DPRD Kabupaten Manggarai Timur)</t>
  </si>
  <si>
    <t>2***2***2***2***2***1***0***0</t>
  </si>
  <si>
    <t>1***1***1***1***0***0***0***0</t>
  </si>
  <si>
    <t>d-4023-te</t>
  </si>
  <si>
    <t>Alabanyo Berbahama (Psikolog Pendidikan Universitas YARSI)***Arif Triman (Psikolog Pendidikan)</t>
  </si>
  <si>
    <t>d-3186-te</t>
  </si>
  <si>
    <t>Anies Baswedan***Ratiyono (Kepala Dinas Pemuda dan Olahraga)</t>
  </si>
  <si>
    <t>d-3195-tr</t>
  </si>
  <si>
    <t>Brie Larson</t>
  </si>
  <si>
    <t>d-3511-tr</t>
  </si>
  <si>
    <t>d-3128-ti</t>
  </si>
  <si>
    <t>Vincent Mariano (Anggota PPDI)***Heppy Sebayang (Ketua Pusat Pemilihan Umum Akses Penyandang Disabilitas)</t>
  </si>
  <si>
    <t>d-3580-cn</t>
  </si>
  <si>
    <t>d-3742-su</t>
  </si>
  <si>
    <t>d-3754-cn</t>
  </si>
  <si>
    <t>d-3900-tr</t>
  </si>
  <si>
    <t>d-3984-li</t>
  </si>
  <si>
    <t>Anies Baswedan***Hari Nugroho (Kepala Dinas Bina Marga DKI Jakarta)</t>
  </si>
  <si>
    <t>d-4382-te</t>
  </si>
  <si>
    <t>Robert Kubica***Riccardo Ceccarelli (Dokter Kubica)***Claire Williams (wakil kepala Williams)</t>
  </si>
  <si>
    <t>d-4977-de</t>
  </si>
  <si>
    <t>d-5760-ko</t>
  </si>
  <si>
    <t>2019-03-21</t>
  </si>
  <si>
    <t>Totok Hardiyanto (Kepala Humas RSJD Surakarta)***dr Aliyah Himawati Rizkiyani, SpKJ</t>
  </si>
  <si>
    <t>"(orang gila diperbolehkan mencoblos) menimbulkan polemik"</t>
  </si>
  <si>
    <t>d-5162-ti</t>
  </si>
  <si>
    <t>d-4770-tr</t>
  </si>
  <si>
    <t>Rini Soemarno (Menteri BUMN)</t>
  </si>
  <si>
    <t>d-4887-de</t>
  </si>
  <si>
    <t>Mahmudi (Kasi Rehabilitasi Sosial Dinas Sosial dan PPA Madiun)***Bima Primagayudha (Ketua Yayasan Citra Paramita Swastika Kota Madiun)</t>
  </si>
  <si>
    <t>d-5692-re</t>
  </si>
  <si>
    <t>d-6301-ti</t>
  </si>
  <si>
    <t>2019-03-27</t>
  </si>
  <si>
    <t>Antonius Badar Karwayu (Advokat LBH Publik)***Abdul Fickar Hadjar (ahli hukum dari Universitas Trisakti)***Anggara Suwahju (Direktur Eksekutif ICJR)</t>
  </si>
  <si>
    <t>d-5492-ok</t>
  </si>
  <si>
    <t>Wawan (Ketua Gugus IX Kepala SLBN A Kota Bandung)***Tri Bagio (Wakasek Bidang Humas Dan Advokasi SLBN A Kota Bandung)</t>
  </si>
  <si>
    <t>d-5274-su</t>
  </si>
  <si>
    <t>Fatimah (tetangga)***Hasan (kerabat)***Wali Kelas G</t>
  </si>
  <si>
    <t>"keterbelakangan mental"</t>
  </si>
  <si>
    <t>d-6233-tr</t>
  </si>
  <si>
    <t>AKP M Andi Lilik (Kapolsek Kembangbahu)</t>
  </si>
  <si>
    <t>orang gila</t>
  </si>
  <si>
    <t>d-8026-de</t>
  </si>
  <si>
    <t>2019-04-17</t>
  </si>
  <si>
    <t>d-7105-te</t>
  </si>
  <si>
    <t>Emma Boswell (penyandang Deaf Blind)</t>
  </si>
  <si>
    <t>d-7160-re</t>
  </si>
  <si>
    <t>Xu Bingyang (sahabat teman disabilitasnya)</t>
  </si>
  <si>
    <t>siswa cacat</t>
  </si>
  <si>
    <t>d-7339-re</t>
  </si>
  <si>
    <t>dr Eka Viora Sp.KJ (Ketua PDSKJI)</t>
  </si>
  <si>
    <t>d-7405-li</t>
  </si>
  <si>
    <t>American Society for Reproductive Medicine***David Farnell</t>
  </si>
  <si>
    <t>d-7650-re</t>
  </si>
  <si>
    <t>d-7968-ti</t>
  </si>
  <si>
    <t>d-8858-li</t>
  </si>
  <si>
    <t>YA***Ustaz HM Ujang Bustomi***Muannas Alaidid (Caleg gagal)***Titi Anggraini (Direktur Eksekutif Perludem)***M Taufik (Ketua DPD Gerindra DKI Jakarta)***Eva Kusuma Sundari (Sekretaris Badan Pendidikan dan Pelatihan DPP PDIP)***dr Fidiansjah SpKJ (Direktur Pencegahan dan Pengendalian Masalah Kesehatan Jiwa dan Napza, Kemenkes RI</t>
  </si>
  <si>
    <t>d-7264-cn</t>
  </si>
  <si>
    <t>Eka Viora (Ketua PDSKJI)</t>
  </si>
  <si>
    <t>d-8538-de</t>
  </si>
  <si>
    <t>dr Yuniar (Direktur medik dan Keperawatan RS Jiwa dr Radjiman Wediodiningrat Lawang)***Ana Septi Saripah (Kabid P2P Dinas Kesehatan Tulungagung)</t>
  </si>
  <si>
    <t>d-8729-ko</t>
  </si>
  <si>
    <t>d-7173-ti</t>
  </si>
  <si>
    <t>2019-04-06</t>
  </si>
  <si>
    <t>Ken Kerta (Ketua Lingkar Sosial Indonesia)***Bagus Utomo (Ketua KPSI)***Dedi Supriadi (Ketua Bidang Humas DPP PKS)***Wahyu Setiawan (Komisioner KPU)</t>
  </si>
  <si>
    <t>1***1***0***1</t>
  </si>
  <si>
    <t>d-8893-tr</t>
  </si>
  <si>
    <t>dr.Yudi Amiarno (Direktur RSUD Pasar Minggu)***dr. Yaniar Mulyantini</t>
  </si>
  <si>
    <t>d-9267-te</t>
  </si>
  <si>
    <t>Arman Saputra (Passenger Service Agent (PSA) LRT Jakarta)***Basofi Sudirman (petugas LRT Jakarta)***Kurniati (Manager Divisi Pelayanan Pelanggan LRT Jakarta)</t>
  </si>
  <si>
    <t>d-9505-de</t>
  </si>
  <si>
    <t>Agus Gumiwang Kartasasmita (Mensos)</t>
  </si>
  <si>
    <t>d-9959-ok</t>
  </si>
  <si>
    <t>2019-05-16</t>
  </si>
  <si>
    <t>AKBP Asfuri (Kapolres Malang Kota)</t>
  </si>
  <si>
    <t>"(kondisi kejiwaannya) dianggap tidak sinkron"</t>
  </si>
  <si>
    <t>d-9436-tr</t>
  </si>
  <si>
    <t>2019-05-06</t>
  </si>
  <si>
    <t>Sukarsono (Saksi)***AKP Suparno (Kapolsek Jombang Kota)</t>
  </si>
  <si>
    <t>d-9782-de</t>
  </si>
  <si>
    <t>2019-05-13</t>
  </si>
  <si>
    <t>Duljani (Saksi)***Kompol Suyadi (Kapolsek Pangandaran)</t>
  </si>
  <si>
    <t>d-10440-cn</t>
  </si>
  <si>
    <t>d-10459-su</t>
  </si>
  <si>
    <t>d-10468-ti</t>
  </si>
  <si>
    <t>d-10587-cn</t>
  </si>
  <si>
    <t>d-10730-ok</t>
  </si>
  <si>
    <t>d-10826-re</t>
  </si>
  <si>
    <t>Toni Eb Subari (Direktur Utama Mandiri Syariah)***Wawan Setiawan (Peserta mudik gratis)</t>
  </si>
  <si>
    <t>d-11291-ok</t>
  </si>
  <si>
    <t>d-11794-re</t>
  </si>
  <si>
    <t>2019-06-19</t>
  </si>
  <si>
    <t>Eko Kristiawan (Unit Manager Communication, Relation &amp; CSR Pertamina RU VI Balongan)***Muhammad Sofyan (Ketua Yayasan Gempur Gakin)***Carnoto (Siswa SLB)</t>
  </si>
  <si>
    <t>d-11343-li</t>
  </si>
  <si>
    <t>d-11572-ko</t>
  </si>
  <si>
    <t>2019-06-17</t>
  </si>
  <si>
    <t>Baim Wong</t>
  </si>
  <si>
    <t>"orang gila"</t>
  </si>
  <si>
    <t>d-11656-de</t>
  </si>
  <si>
    <t>AKP Maradona Armin Mappaseng (Kasatreskrim Polres Garut)</t>
  </si>
  <si>
    <t>d-11725-cn</t>
  </si>
  <si>
    <t>d-11825-cn</t>
  </si>
  <si>
    <t>Sarah Deshita (Brand Manager Ismaya Live)***Dipha Barus</t>
  </si>
  <si>
    <t>d-11967-su</t>
  </si>
  <si>
    <t>Dr Philip Lupo (ahli onkologi pediatrik)</t>
  </si>
  <si>
    <t>"cacat lahir"</t>
  </si>
  <si>
    <t>d-12023-cn</t>
  </si>
  <si>
    <t>d-12088-de</t>
  </si>
  <si>
    <t>2019-06-24</t>
  </si>
  <si>
    <t>Fatimah (Tuna Wicara)***Tiarlin Apridawati Agatha (Instruktur)</t>
  </si>
  <si>
    <t>d-12445-de</t>
  </si>
  <si>
    <t>d-12639-su</t>
  </si>
  <si>
    <t>2019-07-01</t>
  </si>
  <si>
    <t>Rr. Finandita Utari M.Psi. (psikolog)***Olivia Febriani (spesialis pendidikan zumba)</t>
  </si>
  <si>
    <t>d-12792-ok</t>
  </si>
  <si>
    <t>Aaron Philip (model dengan disabilitas)</t>
  </si>
  <si>
    <t>d-13206-ko</t>
  </si>
  <si>
    <t>d-13249-te</t>
  </si>
  <si>
    <t>d-13554-tr</t>
  </si>
  <si>
    <t>d-13902-cn</t>
  </si>
  <si>
    <t>d-14733-re</t>
  </si>
  <si>
    <t>2019-07-26</t>
  </si>
  <si>
    <t>Yossa Nainggolan (Ketua Umum Alpha-I Indonesia dan Ragam Institute)***Nahar (Deputi Perlindungan Anak Kementerian Pemberdayaan Perempuan dan Perlindungan Anak)</t>
  </si>
  <si>
    <t>d-14804-su</t>
  </si>
  <si>
    <t>2019-07-27</t>
  </si>
  <si>
    <t>AKBP Ary Fadli (Kapolres Bojonegoro)</t>
  </si>
  <si>
    <t>"tersangka mulai muncul niat untuk memperkosa korban***mengaku sudah lama menjomblo"</t>
  </si>
  <si>
    <t>d-13679-cn</t>
  </si>
  <si>
    <t>Djohan Darmawan (Kepala Penerangan Kodam (Kapendam) II/Sriwijaya Kolonel Infanteri)</t>
  </si>
  <si>
    <t>d-14838-ko</t>
  </si>
  <si>
    <t>d-14871-ti</t>
  </si>
  <si>
    <t>d-15104-ti</t>
  </si>
  <si>
    <t>Syafruddin (Menpan-RB)</t>
  </si>
  <si>
    <t>d-15506-ko</t>
  </si>
  <si>
    <t>Nasrul Abit (Wakil Gubernur Sumbar)</t>
  </si>
  <si>
    <t>d-15796-te</t>
  </si>
  <si>
    <t>d-16245-ti</t>
  </si>
  <si>
    <t>d-16309-cn</t>
  </si>
  <si>
    <t>Kombes (Pol) Donny Charles Go</t>
  </si>
  <si>
    <t>d-16610-tr</t>
  </si>
  <si>
    <t>2019-08-22</t>
  </si>
  <si>
    <t>Wani Sabu (Executive Vice President Center of Digital BCA)</t>
  </si>
  <si>
    <t>d-16642-li</t>
  </si>
  <si>
    <t>d-16742-re</t>
  </si>
  <si>
    <t>Dian Sastro</t>
  </si>
  <si>
    <t>"anak yang berbeda"</t>
  </si>
  <si>
    <t>d-16804-de</t>
  </si>
  <si>
    <t>d-16875-cn</t>
  </si>
  <si>
    <t>d-16933-su</t>
  </si>
  <si>
    <t>d-17052-de</t>
  </si>
  <si>
    <t>Agus Susanto (Direktur Utama BPJS TK)***Krishna Syarif (Direktur Pelayanan BPJS TK)***Hanif Dhakiri (Menteri Ketenagakerjaan RI)</t>
  </si>
  <si>
    <t>"cacat"</t>
  </si>
  <si>
    <t>d-17333-li</t>
  </si>
  <si>
    <t>AKP Taifur (Kapolsek Sukatani)</t>
  </si>
  <si>
    <t>d-17399-li</t>
  </si>
  <si>
    <t>d-17426-te</t>
  </si>
  <si>
    <t>Agus Tri Haryanto (Kepala Sekolah Anak Berkebutuhan Khusus di Yayasan Sayap Ibu)</t>
  </si>
  <si>
    <t>"tuli"</t>
  </si>
  <si>
    <t>d-15579-ko</t>
  </si>
  <si>
    <t>2019-08-07</t>
  </si>
  <si>
    <t xml:space="preserve">Vivi Yulaswati (Direktur Penanggulangan Kemiskinan dan Kesejahteraan Sosial Kementerian PPN/Bappenas)***Gufron Sakaril (Ketua Umum PPDI) </t>
  </si>
  <si>
    <t>d-17521-cn</t>
  </si>
  <si>
    <t>d-17605-li</t>
  </si>
  <si>
    <t>d-17613-ok</t>
  </si>
  <si>
    <t>d-17621-re</t>
  </si>
  <si>
    <t>d-17628-su</t>
  </si>
  <si>
    <t>d-17645-su</t>
  </si>
  <si>
    <t>d-17671-su</t>
  </si>
  <si>
    <t>d-17338-ok</t>
  </si>
  <si>
    <t>Eni Hegedus-Buiron (Kepala Desainer Lulu et Gigi Couture)***Alex (Ayah Daisy)</t>
  </si>
  <si>
    <t>i-62-li</t>
  </si>
  <si>
    <t>Jessica Maxwell (Juru bicara Pentagon)</t>
  </si>
  <si>
    <t>"berpindah jenis kelamin"</t>
  </si>
  <si>
    <t>i-91-cn</t>
  </si>
  <si>
    <t>i-107-ok</t>
  </si>
  <si>
    <t>i-127-ko</t>
  </si>
  <si>
    <t>Lukasz Szumowski (Menteri Kesehatan Polandia)</t>
  </si>
  <si>
    <t>i-167-de</t>
  </si>
  <si>
    <t>Milda Murniati (Bundo Kanduang)</t>
  </si>
  <si>
    <t>"mencegah lgbt***penyimpangan seksual***lgbt dipicu tempat hiburan malam***pelaku lgbt"</t>
  </si>
  <si>
    <t>i-178-tr</t>
  </si>
  <si>
    <t>Ruben Loftus-Cheek (Pemain Chelsea)</t>
  </si>
  <si>
    <t>i-202-cn</t>
  </si>
  <si>
    <t>i-92-ok</t>
  </si>
  <si>
    <t>@cinti.arr***@desy_psi***@nugrandhika</t>
  </si>
  <si>
    <t>"terlihat seperti waria"</t>
  </si>
  <si>
    <t>i-396-de</t>
  </si>
  <si>
    <t>Kombes Argo Yuwono (Kabid Humas Polda Metro Jaya)</t>
  </si>
  <si>
    <t>i-493-de</t>
  </si>
  <si>
    <t>i-502-ok</t>
  </si>
  <si>
    <t>mami_jemmy***johanhikmat***shanaz_vani</t>
  </si>
  <si>
    <t>penyimpangan seksual</t>
  </si>
  <si>
    <t>i-511-de</t>
  </si>
  <si>
    <t>Viva Yoga Mauladi (Wakil Ketua Umum PAN)</t>
  </si>
  <si>
    <t>i-517-te</t>
  </si>
  <si>
    <t>Bambang Soesatyo (Ketua Dewan Perwakilan Rakyat)***Jazuli Juwaini (Ketua Fraksi PKS)</t>
  </si>
  <si>
    <t>i-532-su</t>
  </si>
  <si>
    <t>2019-02-12</t>
  </si>
  <si>
    <t>i-333-ti</t>
  </si>
  <si>
    <t>2019-01-31</t>
  </si>
  <si>
    <t>Ace Hasan Syadzily (Wakil Ketua Komisi VIII DPR)</t>
  </si>
  <si>
    <t>i-456-tr</t>
  </si>
  <si>
    <t>Kombes Pol Argo Yuwono (Kabid Humas Polda Metro Jaya)</t>
  </si>
  <si>
    <t>ternyata transgender</t>
  </si>
  <si>
    <t>i-686-ti</t>
  </si>
  <si>
    <t>i-718-ti</t>
  </si>
  <si>
    <t>i-412-tr</t>
  </si>
  <si>
    <t>"ternyata transgender"</t>
  </si>
  <si>
    <t>i-771-ti</t>
  </si>
  <si>
    <t>Saras Dewi (Dosen Filsafat UI)***Ace Hasan Syadzily (Wakil Ketua Komisi VIII DPR RI)***Ratna Batara Munti (Pengacara Publik LBH APIK)</t>
  </si>
  <si>
    <t>1***-1***1</t>
  </si>
  <si>
    <t>i-773-li</t>
  </si>
  <si>
    <t>Sharon Davies (mantan perenang Inggris)***Rachel McKinnon (atlet sepeda transgender)</t>
  </si>
  <si>
    <t>i-777-de</t>
  </si>
  <si>
    <t>Emily (korban kekerasan seksual)***Ibu Emily***Peter Wanless (Pimpinan NSPCC)***Jubir National Crime Agency***Jubir Facebook***Jubir Snapchat</t>
  </si>
  <si>
    <t>2***2***1***0***0***0</t>
  </si>
  <si>
    <t>1***1***1***1***0***0</t>
  </si>
  <si>
    <t>i-887-su</t>
  </si>
  <si>
    <t>i-959-re</t>
  </si>
  <si>
    <t>i-964-te</t>
  </si>
  <si>
    <t>Ricky Gunawan (Direktur LBH Masyarakat)</t>
  </si>
  <si>
    <t>i-968-li</t>
  </si>
  <si>
    <t>Lucinta Luna</t>
  </si>
  <si>
    <t>i-999-su</t>
  </si>
  <si>
    <t>i-1002-ti</t>
  </si>
  <si>
    <t>Widiya Hastuti (Pemimpin Redaksi SUARA USU)</t>
  </si>
  <si>
    <t>i-1025-te</t>
  </si>
  <si>
    <t>Kivlan Zen***Muhammad Effendi (Ketua RW)</t>
  </si>
  <si>
    <t>i-1057-re</t>
  </si>
  <si>
    <t>Matthew Woolfe (pendiri The Brunei Project)***Dede Oetomo (pegiat LGBT)</t>
  </si>
  <si>
    <t>i-930-ti</t>
  </si>
  <si>
    <t>Lea***Yulianus Rettoblaut***Roni***Hanif</t>
  </si>
  <si>
    <t>2***2***2***2</t>
  </si>
  <si>
    <t>1***1***1***0</t>
  </si>
  <si>
    <t>i-1208-ko</t>
  </si>
  <si>
    <t>David Brooks (kolumnis New York Times)</t>
  </si>
  <si>
    <t>i-1237-de</t>
  </si>
  <si>
    <t>Teungku Faisal Ali, (Wakil Ketua Majelis Permusyawaratan Ulama (MPU) Aceh)</t>
  </si>
  <si>
    <t>i-1248-ko</t>
  </si>
  <si>
    <t>i-1268-te</t>
  </si>
  <si>
    <t>Hotman Paris***Millendaru (Milen Cyrus)</t>
  </si>
  <si>
    <t>i-1296-li</t>
  </si>
  <si>
    <t>Pihak Dorchester Collection***Randall Garrison (Anggota Parlemen NDP)***Erin O'Toole (Kritikus urusan luar negeri)</t>
  </si>
  <si>
    <t>i-1329-de</t>
  </si>
  <si>
    <t>Sultan Brunei Hassanal Bolkiah***Antonio Guterres (Sekjen PBB)***George Clooney***Elton John</t>
  </si>
  <si>
    <t>-1***1***1***1</t>
  </si>
  <si>
    <t>i-1349-ok</t>
  </si>
  <si>
    <t>Peter Tatchell (Aktivis LGBT)</t>
  </si>
  <si>
    <t>i-1481-ko</t>
  </si>
  <si>
    <t>Brigjen Toni Harmanto (Wakapolda Jawa Timur)***Kombes Gupuh Setiyono (Direktur Reserse Kriminal Umum Polda Jawa Timur)***Aris</t>
  </si>
  <si>
    <t>i-1291-de</t>
  </si>
  <si>
    <t>Stuart Lewis (Kepala Risiko Deutsche Bank)***Antonio Guterres (Sekretaris Jenderal PBB)</t>
  </si>
  <si>
    <t>i-1440-li</t>
  </si>
  <si>
    <t>Mansyur (Ketua Bawaslu Kediri)***Ike Agus Rusalan (Ketua Perwaka Kediri Raya)</t>
  </si>
  <si>
    <t>i-1632-ti</t>
  </si>
  <si>
    <t>2019-04-28</t>
  </si>
  <si>
    <t>Mohammad Idris (Walikota Depok)</t>
  </si>
  <si>
    <t>i-1637-re</t>
  </si>
  <si>
    <t>2019-04-29</t>
  </si>
  <si>
    <t>i-1484-ok</t>
  </si>
  <si>
    <t>Lucinta Luna***Hilda Vitria</t>
  </si>
  <si>
    <t>i-1279-tr</t>
  </si>
  <si>
    <t>Heri Sugiono</t>
  </si>
  <si>
    <t>i-1535-li</t>
  </si>
  <si>
    <t>i-1548-ok</t>
  </si>
  <si>
    <t>Deddy Corbuzier</t>
  </si>
  <si>
    <t>i-1223-te</t>
  </si>
  <si>
    <t>Hassanal Bolkiah (Sultan Brunei Darussalam)***Phil Robertson (wakil direktur Asia di Human Rights Watch)</t>
  </si>
  <si>
    <t>i-1615-te</t>
  </si>
  <si>
    <t>Muda Mahendrawan (Bupati Kubu Raya)***Mohammad Idris (Wali Kota Depok)***Garin Nugroho</t>
  </si>
  <si>
    <t>i-1625-ti</t>
  </si>
  <si>
    <t>KH A Dimyati Badruzaman (Ketua Umum MUI Kota Depok)***Mohammad Idris (Wali Kota Depok)</t>
  </si>
  <si>
    <t>i-1642-tr</t>
  </si>
  <si>
    <t>Syarifah Adriana (Kasatpol PP)***Tumenggung Erwan Suparlan Adiningrat
(Dosen FKIP Untan)</t>
  </si>
  <si>
    <t>i-1660-te</t>
  </si>
  <si>
    <t>Nursalim Yadi Anugerah (Seniman)***Edi Rusdi</t>
  </si>
  <si>
    <t>i-1809-su</t>
  </si>
  <si>
    <t>Ma'ruf Bajammal (Pengacara Brigadir TT)</t>
  </si>
  <si>
    <t>i-1709-ok</t>
  </si>
  <si>
    <t>Agus Fachruddin (Wali Laskar FPI Surabaya)</t>
  </si>
  <si>
    <t>i-1887-ti</t>
  </si>
  <si>
    <t>2019-05-24</t>
  </si>
  <si>
    <t>Warga Taiwan***Shiau Hong-chi (professor studi gender dan manajemen komunikasi di Universitas Shih-Hsin)***Phil Robertson (wakil direktur Asia di Human Rights Watch)</t>
  </si>
  <si>
    <t>i-1819-su</t>
  </si>
  <si>
    <t>2019-05-18</t>
  </si>
  <si>
    <t>Jennifer Lu (kepala koordinator kelompok hak asasi Koalisi Kesetaraan Pernikahan Taiwan)</t>
  </si>
  <si>
    <t>i-1752-te</t>
  </si>
  <si>
    <t>i-1780-de</t>
  </si>
  <si>
    <t>Maju***Prof Bezerra</t>
  </si>
  <si>
    <t>i-1807-re</t>
  </si>
  <si>
    <t>Tsai-Ing Wen (Presiden Taiwan)***John Wu (Oposisi)</t>
  </si>
  <si>
    <t>i-1818-ok</t>
  </si>
  <si>
    <t>AKBP Dwi Hartono (Kapolres Lubuk Linggau)</t>
  </si>
  <si>
    <t>i-1820-tr</t>
  </si>
  <si>
    <t>AKBP Dwi Hartono (Kapolres Lubuk Linggau)***Kompol Zulkarnain (Waka Polres Lubuklinggau)***Bachtiar (Orang tua korban)***Novi Harian (Sahabat Wiwik)***Teti Sutrisnawati (Kakak korban)</t>
  </si>
  <si>
    <t>i-1830-cn</t>
  </si>
  <si>
    <t>Joseph Wu (Menlu Taiwan)</t>
  </si>
  <si>
    <t>i-1831-de</t>
  </si>
  <si>
    <t>M Afif Abdul Qoim (Kuasa hukum TT)***Ma'ruf Bajammal (Kuasa hukum TT)***Brigjen Dedi Prasetyo (Karo Penmas Divisi Humas Polri)</t>
  </si>
  <si>
    <t>i-1870-tr</t>
  </si>
  <si>
    <t>Panca Yunior Utomo (Ketua Majelis Hakim)</t>
  </si>
  <si>
    <t>kelainan orientasi seks</t>
  </si>
  <si>
    <t>i-2010-cn</t>
  </si>
  <si>
    <t>Leiataua Niuapu Faaui</t>
  </si>
  <si>
    <t>i-1953-te</t>
  </si>
  <si>
    <t>i-2046-ok</t>
  </si>
  <si>
    <t>i-2069-cn</t>
  </si>
  <si>
    <t>Juru bicara Macron</t>
  </si>
  <si>
    <t>i-2074-re</t>
  </si>
  <si>
    <t>Nasrul Abit (Wagub Sumbar)</t>
  </si>
  <si>
    <t>sex menyimpang</t>
  </si>
  <si>
    <t>i-2029-ti</t>
  </si>
  <si>
    <t>Eno (warga Beji)***Maulida Octaviani (warga Cilodong)***Nyoman***JJ Rizal (Sejarawan)***Salviadona Tri Partita (Kabag Hukum Setda Kota Depok)***Yurgen Sutarno (juru bicara Partai Solidaritas Indonesia)***Uu Ruzhanul Ulum (Mantan Bupati Tasikmalaya)***Bonar Tigor Naipospos (Wakil Ketua Setara Institute)</t>
  </si>
  <si>
    <t>0***0***0***0***-1***1***0***1</t>
  </si>
  <si>
    <t>i-2109-su</t>
  </si>
  <si>
    <t>Oka Ariani Andikarini (JPU)</t>
  </si>
  <si>
    <t>kisah hubungan sesama jenis</t>
  </si>
  <si>
    <t>i-2150-ko</t>
  </si>
  <si>
    <t>Pangeran William</t>
  </si>
  <si>
    <t>i-2155-te</t>
  </si>
  <si>
    <t>Seorang sumber</t>
  </si>
  <si>
    <t>i-2032-tr</t>
  </si>
  <si>
    <t>Muhammad Haziq Abdul Aziz</t>
  </si>
  <si>
    <t>i-2191-de</t>
  </si>
  <si>
    <t>Ipda Artenius (Kanit Timsus Polda Sulsel)</t>
  </si>
  <si>
    <t>i-2202-de</t>
  </si>
  <si>
    <t>Onad (Vokalis Killing Me Inside)</t>
  </si>
  <si>
    <t>banci</t>
  </si>
  <si>
    <t>i-2285-su</t>
  </si>
  <si>
    <t>AKP Faref Yusuf (Kapolsek Wringinanom)***Hermin (Pelaku)</t>
  </si>
  <si>
    <t>i-2608-te</t>
  </si>
  <si>
    <t>Bernhard (Anggota Dewan Perwakilan Rakyat Daerah Kota Depok)***Hamzah (anggota Fraksi Gerindra)***Sahat Farida Berlian (Wakil Ketua Komisi D)</t>
  </si>
  <si>
    <t>i-2361-ko</t>
  </si>
  <si>
    <t>Rapinoe</t>
  </si>
  <si>
    <t>i-2406-te</t>
  </si>
  <si>
    <t>Cara McCann (aktivis LGBT Irlandia Utara)</t>
  </si>
  <si>
    <t>i-2426-ti</t>
  </si>
  <si>
    <t>Ade Kusmanto (Kepala Bagian Humas Ditjen PAS Kemenkum HAM)</t>
  </si>
  <si>
    <t>i-2451-de</t>
  </si>
  <si>
    <t>i-2535-re</t>
  </si>
  <si>
    <t>i-2537-te</t>
  </si>
  <si>
    <t>Hamzah (Anggota Fraksi Gerindra)***Sri Utami (Ketua BPPD DPRD Kota Depok)</t>
  </si>
  <si>
    <t>i-2209-de</t>
  </si>
  <si>
    <t>Rio Setiady (Sekretaris Komisi III DPRD Kota Pangkalpinang)</t>
  </si>
  <si>
    <t>i-2581-cn</t>
  </si>
  <si>
    <t>Kevin Feige (Presiden Marvel)***Scarlett Johansson***Tessa Thompson</t>
  </si>
  <si>
    <t>1***0***1</t>
  </si>
  <si>
    <t>i-2589-li</t>
  </si>
  <si>
    <t>dr Wiendra Waworuntu M.Kes (Direktur Pencegahan dan Pengendalian Penyakit Menular Langsung Kemenkes RI)***Dr dr Andri Sanityoso Sulaiman, Sp.PD KGHE</t>
  </si>
  <si>
    <t>i-2724-ok</t>
  </si>
  <si>
    <t>i-2728-te</t>
  </si>
  <si>
    <t>Ardhany S (Manajer Program Rumah Cemara)***Maidina Rahmawati (peneliti ICJR)</t>
  </si>
  <si>
    <t>i-2743-su</t>
  </si>
  <si>
    <t>Brászá Lis Ribiero (Model VS)***Lverver Cox (Rekan LGBT)***Valentina Sampaio</t>
  </si>
  <si>
    <t>0***1***2</t>
  </si>
  <si>
    <t>i-2781-tr</t>
  </si>
  <si>
    <t>Sigit (Suami)***Stasya</t>
  </si>
  <si>
    <t>"merasa ada yang aneh dengan dirinya***rela bercerai (demi si transgender)"</t>
  </si>
  <si>
    <t>i-2790-ti</t>
  </si>
  <si>
    <t>i-2820-ko</t>
  </si>
  <si>
    <t>Yael Stefani Sinaga (Pemimpin Suara USU)</t>
  </si>
  <si>
    <t>i-2871-su</t>
  </si>
  <si>
    <t>Gretchen Diaz (Transpuan)***Catriona Gray (Miss Universe 2018)</t>
  </si>
  <si>
    <t>i-2980-li</t>
  </si>
  <si>
    <t>Teddy Quinlivan (model transgender AS)***Laverne Cox (Aktris)</t>
  </si>
  <si>
    <t>i-2990-re</t>
  </si>
  <si>
    <t>Shawn Mendes</t>
  </si>
  <si>
    <t>i-2993-re</t>
  </si>
  <si>
    <t>p-1241-ko</t>
  </si>
  <si>
    <t>Panut Mulyono (Rektor UGM)</t>
  </si>
  <si>
    <t>p-189-ko</t>
  </si>
  <si>
    <t>AKBP Arman Asmara (Wakil Direktur Kriminal Khusus Polda Jawa Timur)</t>
  </si>
  <si>
    <t>p-330-ko</t>
  </si>
  <si>
    <t>AKBP Arisandi (Kasubdit Cyber Crime Ditreskrimsus Polda Jatim)***Kombes Frans Barung Mangera (Kabid Humas Polda Jatim)</t>
  </si>
  <si>
    <t>p-647-de</t>
  </si>
  <si>
    <t>BE (Pemerkosa anak)***Ipda Yulistiana Sri Iriana (Kanit UPPA Polres Malang)</t>
  </si>
  <si>
    <t>p-989-ti</t>
  </si>
  <si>
    <t>Memed Adiwinata (Kuasa Hukum Syafri Adnan Baharuddin)***RA (Korban pemerkosaan)</t>
  </si>
  <si>
    <t>p-1667-su</t>
  </si>
  <si>
    <t>p-2170-ok</t>
  </si>
  <si>
    <t>Adityana Kasandra Putranto (Psikolog)</t>
  </si>
  <si>
    <t>p-2700-li</t>
  </si>
  <si>
    <t>Irjen Pol Luki Hermawan (Kapolda Jatim)***Ahmad Yusep Gunawan (Direktur Kriminal Khusus Polda Jatim)***Mega Angkasa (Ketua Bidang Komunikasi Yayasan Puteri Indonesia)</t>
  </si>
  <si>
    <t>p-3023-de</t>
  </si>
  <si>
    <t>p-3560-li</t>
  </si>
  <si>
    <t>Irjen Pol Luki Hermawan (Kapolda Jawa Timur)</t>
  </si>
  <si>
    <t>p-3884-te</t>
  </si>
  <si>
    <t>Antonio Guterres (Sekretaris Jenderal PBB)</t>
  </si>
  <si>
    <t>p-4025-ko</t>
  </si>
  <si>
    <t>Chris Brown</t>
  </si>
  <si>
    <t>p-4129-ok</t>
  </si>
  <si>
    <t>Edi Hasibuan (Direktur Eksekutif Lemkapi)</t>
  </si>
  <si>
    <t>p-1946-te</t>
  </si>
  <si>
    <t>Subiyanto (Ketua Tim Panel)</t>
  </si>
  <si>
    <t>p-4849-su</t>
  </si>
  <si>
    <t>p-5224-ko</t>
  </si>
  <si>
    <t>Azriana Manalu (Ketua Komnas Perempuan)</t>
  </si>
  <si>
    <t>p-5642-ok</t>
  </si>
  <si>
    <t>Kompol Andi Sinjaya Ghalib</t>
  </si>
  <si>
    <t>p-5683-li</t>
  </si>
  <si>
    <t>p-6284-ko</t>
  </si>
  <si>
    <t>RA (Terduga korban pelecehan seksual)</t>
  </si>
  <si>
    <t>p-6410-ti</t>
  </si>
  <si>
    <t>Siti Mazuma (Direktur LBH APIK)</t>
  </si>
  <si>
    <t>p-6446-li</t>
  </si>
  <si>
    <t>p-6550-cn</t>
  </si>
  <si>
    <t>Steven Greenberg (Kuasa hukum R Kelly)</t>
  </si>
  <si>
    <t>p-6656-tr</t>
  </si>
  <si>
    <t>Irjen Pol Zulkarnain Adinegara (Kapolda Sumsel)***Petugas rumah sakit</t>
  </si>
  <si>
    <t>p-7090-ok</t>
  </si>
  <si>
    <t>p-7357-te</t>
  </si>
  <si>
    <t>Seungri</t>
  </si>
  <si>
    <t>p-7446-ti</t>
  </si>
  <si>
    <t>Tengku Zulkarnain</t>
  </si>
  <si>
    <t>p-7793-ok</t>
  </si>
  <si>
    <t>p-7825-ok</t>
  </si>
  <si>
    <t>p-7937-re</t>
  </si>
  <si>
    <t>p-8085-ko</t>
  </si>
  <si>
    <t>Sofiyan Ardeni (Kapolsek Tanah Abang AKP)</t>
  </si>
  <si>
    <t>p-8532-su</t>
  </si>
  <si>
    <t>AKBP Adhi Purboyo (Wakapolrestabes Makassar)</t>
  </si>
  <si>
    <t>"hubungan badan"</t>
  </si>
  <si>
    <t>p-8595-de</t>
  </si>
  <si>
    <t>Endang Suhartini</t>
  </si>
  <si>
    <t>p-8716-li</t>
  </si>
  <si>
    <t>p-8840-te</t>
  </si>
  <si>
    <t>Winarko (Jaksa)</t>
  </si>
  <si>
    <t>p-9534-re</t>
  </si>
  <si>
    <t>Ipda Julkisno Kaisupy (Kasubag Humas Polres p.Ambon dan PP Lease)</t>
  </si>
  <si>
    <t>p-8935-re</t>
  </si>
  <si>
    <t>p-9216-ok</t>
  </si>
  <si>
    <t>Pribudiarta Nur Sitepu (Sekretaris Kementerian PPPA)</t>
  </si>
  <si>
    <t>p-9306-re</t>
  </si>
  <si>
    <t>Lenin Moreno (Presiden Ekuador)</t>
  </si>
  <si>
    <t>p-9616-cn</t>
  </si>
  <si>
    <t>Richard Marpaung (Kepala Seksi Penerangan Hukum)***Rahmat Santoso (Kuasa hukum Vanessa Angel)</t>
  </si>
  <si>
    <t>p-9660-ti</t>
  </si>
  <si>
    <t>p-9807-de</t>
  </si>
  <si>
    <t>p-10023-de</t>
  </si>
  <si>
    <t>Midha Karim (Ketua Aliansi Perempuan (Alpen) Sultra)***Mayor ARM Sumarsono (Kapenrem Korem 143 Halu Oleo)</t>
  </si>
  <si>
    <t>p-10058-ti</t>
  </si>
  <si>
    <t>Kombes Pol Irman Sugema (Kapolrestabes Bandung)***M. Isnur (Kadiv Advokasi YLBHI)***Asep</t>
  </si>
  <si>
    <t>-1***1***0</t>
  </si>
  <si>
    <t>p-10093-tr</t>
  </si>
  <si>
    <t>Milano Lubis (Kuasa Hukum Vanessa)***Jane Shalimar (Temen Vanessa)</t>
  </si>
  <si>
    <t>p-10113-tr</t>
  </si>
  <si>
    <t>Iptu Denhar (Kapolsek Nibung)</t>
  </si>
  <si>
    <t>p-9944-ti</t>
  </si>
  <si>
    <t>Iriyanto Widisuseno (ketua tim investigasi)***Nurhayati (Dekan FIB Undip)***Kayla</t>
  </si>
  <si>
    <t>0***0***2</t>
  </si>
  <si>
    <t>p-10264-tr</t>
  </si>
  <si>
    <t>p-10350-ti</t>
  </si>
  <si>
    <t>p-10467-re</t>
  </si>
  <si>
    <t>Eva-Marie Persson (Wakil Kepala Jaksa Penuntut Swedia)</t>
  </si>
  <si>
    <t>p-10921-li</t>
  </si>
  <si>
    <t>Mohammad Iqbal (ketua penyidik)***Mahmudul Hasan Noman (Saudara laki-laki Rafi)***Kepala Mahila Parishad</t>
  </si>
  <si>
    <t>p-10688-ko</t>
  </si>
  <si>
    <t>Chandrawati Rezki Prastuti (JPU)</t>
  </si>
  <si>
    <t>p-10783-te</t>
  </si>
  <si>
    <t>p-10971-tr</t>
  </si>
  <si>
    <t>AKBP Adewira Negara Siregar (Kapolres Blitar Kota)</t>
  </si>
  <si>
    <t>p-11017-ko</t>
  </si>
  <si>
    <t>Tite</t>
  </si>
  <si>
    <t>p-11029-te</t>
  </si>
  <si>
    <t>p-11239-re</t>
  </si>
  <si>
    <t>Rudiantara (Menkominfo)</t>
  </si>
  <si>
    <t>p-11282-re</t>
  </si>
  <si>
    <t>p-11428-de</t>
  </si>
  <si>
    <t>Dhini Ardhanie (Jaksa Penuntut Umum)***Abdul Malik (Kuasa hukum Vanessa)</t>
  </si>
  <si>
    <t>p-11452-te</t>
  </si>
  <si>
    <t>p-11486-su</t>
  </si>
  <si>
    <t>Sumber tanpa nama</t>
  </si>
  <si>
    <t>p-11555-cn</t>
  </si>
  <si>
    <t>Milano Lubis (Kuasa Hukum Vanessa)***Novan Arianto (JPU)</t>
  </si>
  <si>
    <t>p-11648-li</t>
  </si>
  <si>
    <t>Asif Saeed Khosa (Hakim Agung Pakistan)***Romana Bashir (Kepala Yayasan Perdamaian dan Pembangunan Pakistan)</t>
  </si>
  <si>
    <t>p-11655-te</t>
  </si>
  <si>
    <t>E Jean Carroll (Penulis)***Donald Trump</t>
  </si>
  <si>
    <t>p-11688-re</t>
  </si>
  <si>
    <t>p-11877-ko</t>
  </si>
  <si>
    <t>p-11909-de</t>
  </si>
  <si>
    <t>Hotman Paris</t>
  </si>
  <si>
    <t>p-11314-ko</t>
  </si>
  <si>
    <t>AKP Bambang Purnomo (Kasatreskrim Polres Tegal)</t>
  </si>
  <si>
    <t>p-11935-su</t>
  </si>
  <si>
    <t>@intdie.shop***@rianty_nwl12***@cahyaniratih</t>
  </si>
  <si>
    <t>p-12031-ko</t>
  </si>
  <si>
    <t>p-12233-li</t>
  </si>
  <si>
    <t>Albertus Husada (Ketua Majelis Hakim)***Presiden Joko Widodo***Andi Samsan Nganro (Juru Bicara MA)</t>
  </si>
  <si>
    <t>p-12299-ko</t>
  </si>
  <si>
    <t>Mutiara Ika Pratiwi (Koordinator Perempuan Mahardhika)***Presiden Joko Widodo***Joko Jumadi (Kuasa hukum Baiq Nuril)</t>
  </si>
  <si>
    <t>1***0***2</t>
  </si>
  <si>
    <t>p-12305-li</t>
  </si>
  <si>
    <t>Joko Jumadi (Kuasa hukum Baiq Nuril)***Sri Nurherwati (Ketua Subkomisi Pemantauan Komnas Perempuan)</t>
  </si>
  <si>
    <t>p-12354-de</t>
  </si>
  <si>
    <t>Bestha Inatsan (peneliti Mappi FH UI)</t>
  </si>
  <si>
    <t>p-12363-ok</t>
  </si>
  <si>
    <t>Abdul Hajar Fickar (Pakar hukum pidana)</t>
  </si>
  <si>
    <t>p-12374-ti</t>
  </si>
  <si>
    <t>Ninik Rahayu (Komisioner Ombudsman RI)</t>
  </si>
  <si>
    <t>p-12486-ti</t>
  </si>
  <si>
    <t>Darcy Paquet (Kritikus film)***Devi Asmarani (Penggagas Mango Meter)</t>
  </si>
  <si>
    <t>p-12598-te</t>
  </si>
  <si>
    <t>Ardiansjah Dara (Dokter kandungan)</t>
  </si>
  <si>
    <t>p-12803-su</t>
  </si>
  <si>
    <t>Tun Dr Mahathir Mohamad (Perdana Menteri Malaysia)***Dr Lee</t>
  </si>
  <si>
    <t>p-13252-cn</t>
  </si>
  <si>
    <t>Lee Min-woo***Jun Jin</t>
  </si>
  <si>
    <t>p-12275-ti</t>
  </si>
  <si>
    <t>Fahri Hamzah (Wakil Ketua DPR)***Aziz Fauzi (Penasihat hukum Baiq Nuril)</t>
  </si>
  <si>
    <t>p-13498-tr</t>
  </si>
  <si>
    <t>p-13539-cn</t>
  </si>
  <si>
    <t>p-13721-ti</t>
  </si>
  <si>
    <t>Aziz Syamsudddin (politikus Partai Golkar)</t>
  </si>
  <si>
    <t>p-13092-re</t>
  </si>
  <si>
    <t>Baiq Nuril Maknun</t>
  </si>
  <si>
    <t>p-14220-su</t>
  </si>
  <si>
    <t>p-14420-re</t>
  </si>
  <si>
    <t>Yasonna Laoly (Menteri Hukum dan HAM)***Baiq Nuril</t>
  </si>
  <si>
    <t>p-14604-ti</t>
  </si>
  <si>
    <t>Ma'ruf Amin***Bambang Brodjonegoro (Kepala Bappenas)***Tresye Widiastuti Paidi (pengawas di Direktorat Pengawasan Norma Kerja Perempuan dan Anak Kementerian Ketenagakerjaan)</t>
  </si>
  <si>
    <t>p-15570-cn</t>
  </si>
  <si>
    <t>Ace Hasan Syadzily (Wakil Ketua Komisi VIII DPR dari Fraksi Partai Golkar)***Ketua Umum IDI Daeng M Faqih</t>
  </si>
  <si>
    <t>p-14856-li</t>
  </si>
  <si>
    <t>p-14874-te</t>
  </si>
  <si>
    <t>Ade Armando (Pembela Korban Kekerasan Seksual)</t>
  </si>
  <si>
    <t>p-14981-ko</t>
  </si>
  <si>
    <t>Dicky Sondani (Kombes Polisi)</t>
  </si>
  <si>
    <t>"percobaan pemerkosaan"</t>
  </si>
  <si>
    <t>p-15010-tr</t>
  </si>
  <si>
    <t>AKP Ruth Yeni (Kanit PPA Polrestabes Surabaya)***Dian Tri Susilo***Nur Hidayat***AKBP Leonard Sinambela (Direskrimum Polda Jatim)</t>
  </si>
  <si>
    <t>0***-1***-1***0</t>
  </si>
  <si>
    <t>"pelaku mengklaim istri tak menolak***menawarkan tubuh istrinya***bisnis esek-esek"</t>
  </si>
  <si>
    <t>p-15195-cn</t>
  </si>
  <si>
    <t>AKBP Ferdy Irawan (Kapolres Metro Tangerang Selatan)***AKP Muharam Wibisono (Kasat Reskrim Polres Metro Tangsel)</t>
  </si>
  <si>
    <t>p-15371-su</t>
  </si>
  <si>
    <t>Yan Widjaya</t>
  </si>
  <si>
    <t>p-15406-te</t>
  </si>
  <si>
    <t>p-15708-ti</t>
  </si>
  <si>
    <t>Ratna Batara Murti (Koordinator Jaringan Kerja Program Legislasi Pro Perempuan (JKP3))***Marwan Dasopang (Ketua Panja RUU PKS)</t>
  </si>
  <si>
    <t>p-15879-te</t>
  </si>
  <si>
    <t>Arist Merdeka Sirait (Ketua Umum Komisi Nasional Perlindungan Anak)***Ajun Komisaris Besar Andi M. Dicky Pastika (Kepala Polres Bogor)</t>
  </si>
  <si>
    <t>p-14683-de</t>
  </si>
  <si>
    <t>Retno Listyarti (Komisioner KPAI)</t>
  </si>
  <si>
    <t>p-15990-su</t>
  </si>
  <si>
    <t>Doddy Soedrajat (Ayah Vanessa)</t>
  </si>
  <si>
    <t>p-16012-de</t>
  </si>
  <si>
    <t>p-16050-re</t>
  </si>
  <si>
    <t>Ita Fatia Nadia (Koordinator Nasional Kekerasan Berbasis Gender dalam Situasi Darurat Dana Penduduk PBB (UNFPA))***Nyimas Aliah (Asisten Deputi Perlindungan Hak Perempuan dalam Situasi Darurat dan Kondisi Khusus Kementerian Pemberdayaan Perempuan dan Perlindungan Anak)</t>
  </si>
  <si>
    <t>p-16123-re</t>
  </si>
  <si>
    <t>Iwan Saktiadi (Kapolres Sukoharjo AKBP)</t>
  </si>
  <si>
    <t>p-16153-cn</t>
  </si>
  <si>
    <t>p-16171-re</t>
  </si>
  <si>
    <t>Ace Hasan Syadzily (Wakil Ketua Komisi VIII DPR RI)***Aziz Syamsuddin (Ketua Komisi III)</t>
  </si>
  <si>
    <t>Abdul Fickar Hajar (Dosen Hukum Pidana Universitas Trisakti)***Taufiqulhadi (Anggota Panitia Kerja (Panja) RKUHP)</t>
  </si>
  <si>
    <t>p-16263-li</t>
  </si>
  <si>
    <t>Demi Moore</t>
  </si>
  <si>
    <t>p-16286-su</t>
  </si>
  <si>
    <t>Bambang Soesatyo (Mantan Ketua DPR)</t>
  </si>
  <si>
    <t>p-16351-su</t>
  </si>
  <si>
    <t>Ibnu (Pelaku pelecehan)***AKP Ruth Yeni (Kanit PPA Polrestabes Surabaya)</t>
  </si>
  <si>
    <t>"aksi"</t>
  </si>
  <si>
    <t>a-7-li</t>
  </si>
  <si>
    <t>a-16-cn</t>
  </si>
  <si>
    <t>a-18-te</t>
  </si>
  <si>
    <t>a-40-re</t>
  </si>
  <si>
    <t>a-55-ti</t>
  </si>
  <si>
    <t>a-60-te</t>
  </si>
  <si>
    <t>Rivanlee Anandar (Kepala Riset Penelitian KontraS)</t>
  </si>
  <si>
    <t>a-69-ko</t>
  </si>
  <si>
    <t>a-78-re</t>
  </si>
  <si>
    <t>a-90-su</t>
  </si>
  <si>
    <t>Hidayat (Ketua RW 13)***AKBP Nugrah Trihadi (Wadirreskrimum Polda DIY)</t>
  </si>
  <si>
    <t>a-100-de</t>
  </si>
  <si>
    <t>a-109-li</t>
  </si>
  <si>
    <t>a-135-te</t>
  </si>
  <si>
    <t>d-48-li</t>
  </si>
  <si>
    <t>Dwi Wahyu Atmaji (Sekretaris Kemenpan-RB)</t>
  </si>
  <si>
    <t>d-108-cn</t>
  </si>
  <si>
    <t>d-156-te</t>
  </si>
  <si>
    <t>Kevin Smith (Ilmuwan Politik)</t>
  </si>
  <si>
    <t>d-195-li</t>
  </si>
  <si>
    <t>@GonzaloSGR</t>
  </si>
  <si>
    <t>"buta"</t>
  </si>
  <si>
    <t>d-212-su</t>
  </si>
  <si>
    <t>Howard Fisher***sumber tanpa nama 1***sumber tanpa nama 2</t>
  </si>
  <si>
    <t>2***-1***-1</t>
  </si>
  <si>
    <t>d-232-cn</t>
  </si>
  <si>
    <t>d-257-su</t>
  </si>
  <si>
    <t>d-265-te</t>
  </si>
  <si>
    <t>d-276-tr</t>
  </si>
  <si>
    <t>Moh. Masduki***Hamzah (ayah Moh Efendi)</t>
  </si>
  <si>
    <t>d-282-de</t>
  </si>
  <si>
    <t>d-334-su</t>
  </si>
  <si>
    <t>dr. Agung Prijanto SpKJ (Sekretaris Pengurus PDSKJI)</t>
  </si>
  <si>
    <t>d-716-te</t>
  </si>
  <si>
    <t>d-869-cn</t>
  </si>
  <si>
    <t>Alvina (Dokter jiwa)***Martha (Dokter jiwa)***LR (Korban pelemparan sperma)</t>
  </si>
  <si>
    <t>d-564-su</t>
  </si>
  <si>
    <t>Ashley Hampton (Psikolog)</t>
  </si>
  <si>
    <t>Sumarti (Warga setempat)</t>
  </si>
  <si>
    <t>d-708-su</t>
  </si>
  <si>
    <t>Irjen Gatot Eddy Pramono (Kapolda Metro Jaya)</t>
  </si>
  <si>
    <t>d-871-cn</t>
  </si>
  <si>
    <t>Alvina (dokter spesialis kejiwaan RS Awal Bros)</t>
  </si>
  <si>
    <t>d-914-ok</t>
  </si>
  <si>
    <t>d-1128-cn</t>
  </si>
  <si>
    <t>Pemprov DKI</t>
  </si>
  <si>
    <t>d-1151-ko</t>
  </si>
  <si>
    <t>Angkie Yudistia (Penyandang Tunarungu, CEO Thisable Enterprise, Stafsus)</t>
  </si>
  <si>
    <t>d-1264-tr</t>
  </si>
  <si>
    <t>Angkie Yudistia (Stafsus Millenial)</t>
  </si>
  <si>
    <t>d-1300-ko</t>
  </si>
  <si>
    <t>Kompol Muryanto (Kapolsek Srandakan)</t>
  </si>
  <si>
    <t>d-1337-su</t>
  </si>
  <si>
    <t>d-1392-li</t>
  </si>
  <si>
    <t>d-1414-te</t>
  </si>
  <si>
    <t>d-1843-ti</t>
  </si>
  <si>
    <t>d-1919-cn</t>
  </si>
  <si>
    <t>Dr Maszlee Bin Malik (Menteri Pendidikan Malaysia)</t>
  </si>
  <si>
    <t>d-1648-de</t>
  </si>
  <si>
    <t>Aida Saskia***Benny Prawira (aktivis dan pendiri komunitas Into The Light Indonesia)</t>
  </si>
  <si>
    <t>d-1661-li</t>
  </si>
  <si>
    <t>Angkie Yudistia (Pendiri Thisable Enterprise dan Stasus)***Bahrul Fuad (Konsultan Disabilitas dan Inklusi Sosial)***Vanessa Vlajkovic (Pegiat disabilitas)***Ananda Sukarlan (Komposer)</t>
  </si>
  <si>
    <t>1***1***2***2</t>
  </si>
  <si>
    <t>d-2241-tr</t>
  </si>
  <si>
    <t>Tatang Sutrisna (penderita penyakit katarak asal Bandung)***Irwan Hidayat (Direktur Sido Muncul)***Dewi Basmala Gatot (Direktur RSUD AL Ihsan)*** Prof. Dr. dr. Nila Djuwita Faried Anfasa Moeloek (Dewan Penasihat SPBK Perdami Pusat)</t>
  </si>
  <si>
    <t>0***1***0***1</t>
  </si>
  <si>
    <t>d-2292-ti</t>
  </si>
  <si>
    <t>d-2317-ok</t>
  </si>
  <si>
    <t>Agustinus Purna Irawan (Rektor Untar)</t>
  </si>
  <si>
    <t>d-2450-su</t>
  </si>
  <si>
    <t>Ghada Abushahla (Project Officer Atfaluna)</t>
  </si>
  <si>
    <t>d-2199-li</t>
  </si>
  <si>
    <t>Nur Isnin Istiartono (Sekreraris Direktorat Jenderal Perhubungan Udara)***Darat Pitra Setiawan (Kepala Humas Direktorat Jenderal Perhubungan)</t>
  </si>
  <si>
    <t>d-1825-ko</t>
  </si>
  <si>
    <t>Martinus Adat (Tunanetra)***Donikus Wangku (Tetangga Martinus)</t>
  </si>
  <si>
    <t>d-2321-re</t>
  </si>
  <si>
    <t>Endra Nawawi (Saksi ahli)***AKBP Anom Karibianto (Kapolres Tasikmalaya Kota)</t>
  </si>
  <si>
    <t>d-2627-cn</t>
  </si>
  <si>
    <t>d-2665-re</t>
  </si>
  <si>
    <t>Yohana (Pengguna LRT)***Aulia (Pengguna LRT)***Aditya Kesuma (General Manager Operasi dan Pelayanan PT LRT Jakarta)***Allan Tandiono (Direktur Utama PT LRT Jakarta)</t>
  </si>
  <si>
    <t>d-2689-te</t>
  </si>
  <si>
    <t>Tati Leliana (Guru SLB)</t>
  </si>
  <si>
    <t>i-4-li</t>
  </si>
  <si>
    <t>i-9-su</t>
  </si>
  <si>
    <t>Widi Mulia</t>
  </si>
  <si>
    <t>i-13-tr</t>
  </si>
  <si>
    <t>Syahranie Arysia Andhina (Humas Rumah Sakit Abdul Wahab)***Iptu Muhammad Afnan (Kapolsek Sanga Sanga)***SA</t>
  </si>
  <si>
    <t>i-31-su</t>
  </si>
  <si>
    <t>D. Razumilov</t>
  </si>
  <si>
    <t>i-45-de</t>
  </si>
  <si>
    <t>i-52-cn</t>
  </si>
  <si>
    <t>Narasumber tanpa nama</t>
  </si>
  <si>
    <t>i-61-tr</t>
  </si>
  <si>
    <t>AKBP Juang Andi Priyanto (Kapolres Cianjur)</t>
  </si>
  <si>
    <t>i-68-de</t>
  </si>
  <si>
    <t>i-70-ko</t>
  </si>
  <si>
    <t>i-93-cn</t>
  </si>
  <si>
    <t>i-97-li</t>
  </si>
  <si>
    <t>Israel Folau (Pemain rugby)***Scott Morrison (Perdana Menteri)***Alan Jones</t>
  </si>
  <si>
    <t>i-112-tr</t>
  </si>
  <si>
    <t>i-114-cn</t>
  </si>
  <si>
    <t>Allison Battison (Pengacara)***Pria</t>
  </si>
  <si>
    <t>1***2</t>
  </si>
  <si>
    <t>i-152-li</t>
  </si>
  <si>
    <t>i-177-tr</t>
  </si>
  <si>
    <t>Ninik Rahayu (anggota Ombudsman)</t>
  </si>
  <si>
    <t>i-222-de</t>
  </si>
  <si>
    <t>i-233-su</t>
  </si>
  <si>
    <t>Swe Zin Htet (Miss Universe Myanmar 2019)</t>
  </si>
  <si>
    <t>"penyuka sesama jenis"</t>
  </si>
  <si>
    <t>i-255-cn</t>
  </si>
  <si>
    <t>i-262-cn</t>
  </si>
  <si>
    <t>Lily Allen (Musisi)</t>
  </si>
  <si>
    <t>i-292-ti</t>
  </si>
  <si>
    <t>i-294-tr</t>
  </si>
  <si>
    <t>Gebby Vesta***Lucinta Luna</t>
  </si>
  <si>
    <t>i-320-de</t>
  </si>
  <si>
    <t>Jareth Nebula</t>
  </si>
  <si>
    <t>i-341-de</t>
  </si>
  <si>
    <t>i-343-ok</t>
  </si>
  <si>
    <t>Andri Sundara***Nora Alexandria</t>
  </si>
  <si>
    <t>i-345-tr</t>
  </si>
  <si>
    <t>Tina Bejarano</t>
  </si>
  <si>
    <t>i-349-li</t>
  </si>
  <si>
    <t>p-93-cn</t>
  </si>
  <si>
    <t>p-94-ko</t>
  </si>
  <si>
    <t>AKP Tukiman (Pjs Kasat Reskrim Polres Balangan)</t>
  </si>
  <si>
    <t>"namun korban berteriak"</t>
  </si>
  <si>
    <t>p-167-ko</t>
  </si>
  <si>
    <t>Shahriar Khan (kepala polisi lokal)</t>
  </si>
  <si>
    <t>p-205-cn</t>
  </si>
  <si>
    <t>Zamzam Syahara (Koordinator umum #SurabayaMenggugat)***Satria Aji (Wakil Presiden Badan Eksekutif Mahasiswa Unair Surabaya)</t>
  </si>
  <si>
    <t>p-226-ko</t>
  </si>
  <si>
    <t>entah apa yang ada di pikiran***menggauli***korban digilir***melayani nafsu***namun korban menolak</t>
  </si>
  <si>
    <t>p-289-ti</t>
  </si>
  <si>
    <t>p-296-su</t>
  </si>
  <si>
    <t>AKP Tiksnarto Andaru Rahutomo (Kepala Satuan Reserse Kriminal Polres Malang)</t>
  </si>
  <si>
    <t>nasib malang***menggerayangi tubuh</t>
  </si>
  <si>
    <t>p-449-ti</t>
  </si>
  <si>
    <t>Agus Sartono (Deputi Koordinasi Bidang Pendidikan dan Agama Kementerian Koordinator Bidang PMK)***Alissa Wahid***Muhadjir Effendy***Tunggal Pawestri (Pegiat isu perempuan)</t>
  </si>
  <si>
    <t>p-471-tr</t>
  </si>
  <si>
    <t>Adib Setiawan (Psikolog dari Yayasan Praktek Psikolog Indonesia)</t>
  </si>
  <si>
    <t>p-485-ko</t>
  </si>
  <si>
    <t>Achmad Hamam Rochani (Penulis Babad Tanah Kendal)***Sugito</t>
  </si>
  <si>
    <t>p-231-ok</t>
  </si>
  <si>
    <t>Amelia Anggraini (Ketua DPP NasDem bidang Perempuan dan Anak)***Ary Egahni (anggota DPR Fraksi Partai NasDem)***Taufik Basari (Ketua DPP Partai Nasdem Bidang Advokasi Hukum dan HAM)</t>
  </si>
  <si>
    <t>p-524-cn</t>
  </si>
  <si>
    <t>Eve-Marie Persson (jaksa penuntut umum Swedia)</t>
  </si>
  <si>
    <t>p-592-ok</t>
  </si>
  <si>
    <t>Christine Lambrecht (Menteri Kehakiman)***Stephan Thomae (wakil pemimpin kelompok oposisi Demokrat Free)***Johannes-Wilhelm Rörig (Komisioner pelecehan seksual anak federal)</t>
  </si>
  <si>
    <t>p-627-tr</t>
  </si>
  <si>
    <t>Tim Teneyck (Polisi)***Christopher Carver (Direktur Operasional Pusat Operator Asosiasi Nomor Darurat AS)</t>
  </si>
  <si>
    <t>p-649-li</t>
  </si>
  <si>
    <t>p-652-re</t>
  </si>
  <si>
    <t>p-659-cn</t>
  </si>
  <si>
    <t>Polisi***Goo Ha-ra</t>
  </si>
  <si>
    <t>p-661-de</t>
  </si>
  <si>
    <t>Lucas Sywenkyj (Inspektur Polisi Parramatta)***Rana El Asmar***Maha Abdo (Asosiasi Muslimah Australia)</t>
  </si>
  <si>
    <t>0***2***1</t>
  </si>
  <si>
    <t>p-428-ok</t>
  </si>
  <si>
    <t>p-876-cn</t>
  </si>
  <si>
    <t>p-926-ok</t>
  </si>
  <si>
    <t>AKBP M Syahduddi (Kapolresta Cirebon)</t>
  </si>
  <si>
    <t>"orientasi seksual menyimpang"</t>
  </si>
  <si>
    <t>p-1260-te</t>
  </si>
  <si>
    <t>Komisaris Besar Yusri Yunus (Kepala Bidang Humas Polda Metro Jaya)***Ajun Komisaris Besar Dedy Murti Haryadi (Wakil Direktur Kriminal Umum Polda Metro Jaya)</t>
  </si>
  <si>
    <t>p-618-li</t>
  </si>
  <si>
    <t>Juru Bicara</t>
  </si>
  <si>
    <t>p-1332-li</t>
  </si>
  <si>
    <t>p-1349-ko</t>
  </si>
  <si>
    <t>Erick Thohir (Menteri BUMN)</t>
  </si>
  <si>
    <t>p-1467-cn</t>
  </si>
  <si>
    <t>Ignatius Kardinal Suharyo (Ketua KWI)***Paulus Christian Siswantoko (Sekretaris Komisi Kerasulan Awam KWI)</t>
  </si>
  <si>
    <t>p-1523-ti</t>
  </si>
  <si>
    <t>p-1611-su</t>
  </si>
  <si>
    <t>AKP Khoirul Hidayat (Kasat Reskrim Polres Ngawi)</t>
  </si>
  <si>
    <t>p-1637-li</t>
  </si>
  <si>
    <t>Henrietta Fore (Direktur Eksekutif UNICEF)</t>
  </si>
  <si>
    <t>p-1413-te</t>
  </si>
  <si>
    <t>Ajun Komisaris Besar M. Joni (Kepala Polisi Resort Bogor)</t>
  </si>
  <si>
    <t>a-1-te</t>
  </si>
  <si>
    <t>a-47-te</t>
  </si>
  <si>
    <t>21/01/2019</t>
  </si>
  <si>
    <t>a-53-ti</t>
  </si>
  <si>
    <t>Hendi (Mahasiswa)***Suprih Suhartono (Ketua Umum Kapribaden)***Prapto Yuwono (pengajar Prodi Sastra Jawa UI)</t>
  </si>
  <si>
    <t>a-17-ko</t>
  </si>
  <si>
    <t>Muhammad Isnur (Ketua Divisi Advokasi Yayasan Lembaga Bantuan Hukum Indonesia)</t>
  </si>
  <si>
    <t>a-123-te</t>
  </si>
  <si>
    <t>Bonie Nugraha Permana (Ketua MLKI Bandung)***Popong Nuraeni (Kepala Disdukcapil Bandung)</t>
  </si>
  <si>
    <t>a-90-ko</t>
  </si>
  <si>
    <t>a-152-ok</t>
  </si>
  <si>
    <t>Jusuf Kalla (Wapres)***Tjahjo Kumolo (Mendagri)</t>
  </si>
  <si>
    <t>a-98-cn</t>
  </si>
  <si>
    <t>Abu Akkas (Kepala Kepolisian Ahmadnagar)</t>
  </si>
  <si>
    <t>a-112-tr</t>
  </si>
  <si>
    <t>15/02/2019</t>
  </si>
  <si>
    <t>a-163-ko</t>
  </si>
  <si>
    <t>Jusuf Kalla (Wapres)***Zudan Arif Fakrulloh (Dirjen Disdukcapil)</t>
  </si>
  <si>
    <t>a-126-te</t>
  </si>
  <si>
    <t>22/02/2019</t>
  </si>
  <si>
    <t>Popong Warliati Nuraeni (Kepala Disdukcapil Bandung)***Bonie Nugraha Permana (Ketua MLKI Bandung)</t>
  </si>
  <si>
    <t>a-139-ok</t>
  </si>
  <si>
    <t xml:space="preserve"> Zudan Arif Fakrulloh (Dirjen Dukcapil)</t>
  </si>
  <si>
    <t>a-141-cn</t>
  </si>
  <si>
    <t>Jusuf Kalla (Wakil Presiden 2014-19)***Bonie Nugraha Permana (Penghayat Kepercayaan)</t>
  </si>
  <si>
    <t>a-195-te</t>
  </si>
  <si>
    <t>a-200-li</t>
  </si>
  <si>
    <t>Aryati Puspasari Abady (Kepala Dispendukcapil Makassar)</t>
  </si>
  <si>
    <t>a-222-de</t>
  </si>
  <si>
    <t>Sukmareni (Juru bicara Komunitas Konservasi Indonesia (KKI))</t>
  </si>
  <si>
    <t>a-225-de</t>
  </si>
  <si>
    <t>a-232-ko</t>
  </si>
  <si>
    <t>a-313-li</t>
  </si>
  <si>
    <t>a-314-tr</t>
  </si>
  <si>
    <t>Dewi Kanti (pendamping komunitas adat Karuhun Sunda Wiwitan)***Zudan (Dirjen Dukcapil Kemendagri)***Bonar Tigor Naipospos(Setara Institute)***Anih (Penghayat Sunda Wiwitan)***Charles Butar-Butar (Penganut Parmalim)***Rukka Sombolinggi (Sekjen AMAN)</t>
  </si>
  <si>
    <t>1***0***0***2***2***1</t>
  </si>
  <si>
    <t>1***-1***0***1***1***1</t>
  </si>
  <si>
    <t>a-325-ko</t>
  </si>
  <si>
    <t>Chairul Anam (Ketua KPU Jatim)</t>
  </si>
  <si>
    <t>a-326-su</t>
  </si>
  <si>
    <t>Gogot Cahyo Baskoro (Komisioner KPU Jatim)</t>
  </si>
  <si>
    <t>a-250-cn</t>
  </si>
  <si>
    <t>Sarkan (Warga)***Saija (Kepala Desa Kanekes Kecamatan Leuwidamar Kabupaten Lebak)***Santa (Warga)</t>
  </si>
  <si>
    <t>2***2***2</t>
  </si>
  <si>
    <t>a-351-re</t>
  </si>
  <si>
    <t>Janet Anderson-Bidois (Kepala Penasihat HAM di Selandia Baru)***Anwar Ghani (Federasi Asosiasi Islam Selandia Baru)***Joris De Bre (Komisaris Hubungan Ras Selandia Baru)***Andrew Little (Menteri Kehakiman dan Layanan Intel)***Anonim (Juru Bicara Polisi Selandia Baru)</t>
  </si>
  <si>
    <t>0***1***0***0***0</t>
  </si>
  <si>
    <t>a-365-li</t>
  </si>
  <si>
    <t>a-375-ti</t>
  </si>
  <si>
    <t>Michelle Bachelet (Pemimpin Badan Hak Asasi Manusia PBB)</t>
  </si>
  <si>
    <t>a-488-re</t>
  </si>
  <si>
    <t>Mohammad Suffaree (Pengurus Masjid)***Mohammad Jinnah (Pedagang Berlian)***Adnan Ali (Muslim Pakistan)***Farah Jameel (Korban)***Sisila Kumara (Petugas Kepolisian)***Jude Thomas (Pastur)</t>
  </si>
  <si>
    <t>2***0***2***2***0***0</t>
  </si>
  <si>
    <t>a-396-ok</t>
  </si>
  <si>
    <t>Gatot Saptadi (Sekda DIY)</t>
  </si>
  <si>
    <t>a-417-tr</t>
  </si>
  <si>
    <t>a-434-re</t>
  </si>
  <si>
    <t>Pramono Ubaid Tanthowi (Komisioner KPU)***Wahyu Setiawan (Komisioner KPU)***Muhammad Nasih (Koordinator Panelis Debat)***Amin Arsul Sani (Wakil Ketua TKN)***Fadli Zon (Dewan Pengarah BPN)***Sandiaga Uno (Cawapres 2019)</t>
  </si>
  <si>
    <t>0***1***0***0***0***0</t>
  </si>
  <si>
    <t>a-437-ko</t>
  </si>
  <si>
    <t>Zia Ullah Langu (Mendagri Balochistan)***Mohsin Butt (Polisi Balochistan)***Anonim (saksi)***Abdul Razaq Chema (Polisi Senior)***Omar Waraich (Wakil Direktur Amnesti Internasional)</t>
  </si>
  <si>
    <t>a-449-ok</t>
  </si>
  <si>
    <t>Sadaf Jaffer (Walikota Montgomery)</t>
  </si>
  <si>
    <t>a-459-ko</t>
  </si>
  <si>
    <t>17/04/2019</t>
  </si>
  <si>
    <t>Yendra Budiana (Jubir Ahmadiyah)***Usama Ahmad Rizal (Jamaah Ahmadiyah)</t>
  </si>
  <si>
    <t>a-477-li</t>
  </si>
  <si>
    <t>Ali Al Ahmed (Pengelola Gulf Institute)***Amnesty Internasional***Kemendagri Saudi</t>
  </si>
  <si>
    <t>Kelompok Ekstrem Sunni</t>
  </si>
  <si>
    <t>a-494-de</t>
  </si>
  <si>
    <t>28/04/2019</t>
  </si>
  <si>
    <t>Heri Darwanto (Kades Karangrowo)***Budi Santoso (Tokoh Sedulur Sikep)***Hartopo (Wakil Bupati Kudus)***M Rosyid (Tokoh Lintas Agama)***Arief Hidayat (Ketua MK)</t>
  </si>
  <si>
    <t>0***2***0***2***0</t>
  </si>
  <si>
    <t>a-496-li</t>
  </si>
  <si>
    <t>Mohammed Al Musalam (Tahanan Saudi)***Munir Al Adam (tahanan Saudi)***Nader Al Sweikat (Ayah salah satu tahanan)***Al Ahmed (Pengelola Gulf Institute)</t>
  </si>
  <si>
    <t>a-517-re</t>
  </si>
  <si>
    <t>a-554-te</t>
  </si>
  <si>
    <t>a-556-ko</t>
  </si>
  <si>
    <t>a-590-su</t>
  </si>
  <si>
    <t>25/05/2019</t>
  </si>
  <si>
    <t>Abdul Qayyum (Perwira Polisi)</t>
  </si>
  <si>
    <t>a-598-cn</t>
  </si>
  <si>
    <t>28/05/2019</t>
  </si>
  <si>
    <t>Mohammad Al Hakim (Menteri Luar Negeri Irak)</t>
  </si>
  <si>
    <t>a-641-li</t>
  </si>
  <si>
    <t>a-661-ti</t>
  </si>
  <si>
    <t>a-676-tr</t>
  </si>
  <si>
    <t>24/06/2019</t>
  </si>
  <si>
    <t>a-688-te</t>
  </si>
  <si>
    <t>a-692-re</t>
  </si>
  <si>
    <t>a-696-ti</t>
  </si>
  <si>
    <t>a-707-ok</t>
  </si>
  <si>
    <t>a-724-ko</t>
  </si>
  <si>
    <t>a-754-de</t>
  </si>
  <si>
    <t>Andrew Tinny (Hakim Melbourne)</t>
  </si>
  <si>
    <t>a-772-de</t>
  </si>
  <si>
    <t>Sigit Widodo (Jubir PSI)</t>
  </si>
  <si>
    <t>a-777-ti</t>
  </si>
  <si>
    <t>Dedi Prasetyo (Karopenmas Mabes Polri)</t>
  </si>
  <si>
    <t>26/07/2019</t>
  </si>
  <si>
    <t>Suwari (Ketua PHDI)</t>
  </si>
  <si>
    <t>a-780-te</t>
  </si>
  <si>
    <t>a-801-de</t>
  </si>
  <si>
    <t>a-814-te</t>
  </si>
  <si>
    <t>Felix Jakens (Head of Campaign Amnesty Internasional Inggris)</t>
  </si>
  <si>
    <t>a-817-ti</t>
  </si>
  <si>
    <t>a-825-de</t>
  </si>
  <si>
    <t>13/08/2019</t>
  </si>
  <si>
    <t>Ismail Hasani (Direktur Setara Institute)</t>
  </si>
  <si>
    <t>a-830-de</t>
  </si>
  <si>
    <t>a-849-ok</t>
  </si>
  <si>
    <t>a-859-ok</t>
  </si>
  <si>
    <t>31/08/2019</t>
  </si>
  <si>
    <t>a-861-de</t>
  </si>
  <si>
    <t>a-877-ko</t>
  </si>
  <si>
    <t>a-892-ko</t>
  </si>
  <si>
    <t>a-896-su</t>
  </si>
  <si>
    <t>d-138-ok</t>
  </si>
  <si>
    <t>d-262-su</t>
  </si>
  <si>
    <t>Zamuel Panggeso (Bripka Bonggakaradeng)</t>
  </si>
  <si>
    <t>Wanita Disabilitas***Lemas***Tanpa Busana</t>
  </si>
  <si>
    <t>d-402-ko</t>
  </si>
  <si>
    <t>Ricky Purnomo Kertapati (Kapolres Pulau Buru)</t>
  </si>
  <si>
    <t>Sakit Jiwa</t>
  </si>
  <si>
    <t>d-1966-su</t>
  </si>
  <si>
    <t>Jhon Paerunan (Kasat Reskrim Tana Toraja)</t>
  </si>
  <si>
    <t>d-505-cn</t>
  </si>
  <si>
    <t>d-1579-de</t>
  </si>
  <si>
    <t>22/01/2019</t>
  </si>
  <si>
    <t>Salman Nuri (Camat)***Alhudri (Kepala Dinsos Aceh)</t>
  </si>
  <si>
    <t>d-877-ok</t>
  </si>
  <si>
    <t>d-909-tr</t>
  </si>
  <si>
    <t>Sri Sugiyanti (Pembalap Sepeda)***Ni'mal Maghfiroh (pilot Sri Sugiyanti)</t>
  </si>
  <si>
    <t>d-1020-su</t>
  </si>
  <si>
    <t>Pramono Ubaid Thantowi (Komisioner KPU)</t>
  </si>
  <si>
    <t>d-1468-te</t>
  </si>
  <si>
    <t>d-913-cn</t>
  </si>
  <si>
    <t>Wirawan Widodo (Ketua Umum GK)***Trisya Suherman (Ketua GK Pengusaha Jokowi)***Ega (Pemain Keyboard)</t>
  </si>
  <si>
    <t>d-1442-ko</t>
  </si>
  <si>
    <t>Siswanto (Kakak Dinda)***Fatimah (Tetangga Dinda)</t>
  </si>
  <si>
    <t>d-1920-su</t>
  </si>
  <si>
    <t>d-2213-de</t>
  </si>
  <si>
    <t>Hidayat Nur Wahid (Wakil Ketua MPR)***Fajar Agung Pangestu (Ketua BEM Unila)</t>
  </si>
  <si>
    <t>Kaum disabilitas</t>
  </si>
  <si>
    <t>d-1768-ko</t>
  </si>
  <si>
    <t>Thelda Williams (Walikota Phoenix)***Manajemen Hacienda Health Care***Anonim (Pengacara)</t>
  </si>
  <si>
    <t>d-2777-ko</t>
  </si>
  <si>
    <t>Denny Haryanto (Wakil Kepala DPMPTSP Provinsi DKI Jakarta)</t>
  </si>
  <si>
    <t>d-2853-de</t>
  </si>
  <si>
    <t>David Aguilar (Pembuat tangan Bionik)</t>
  </si>
  <si>
    <t>d-2936-de</t>
  </si>
  <si>
    <t>Ridwan Kamil (Gubernur Jawa Barat)</t>
  </si>
  <si>
    <t>d-2980-te</t>
  </si>
  <si>
    <t>Moon Hee Sang (Juru Bicara Dewan Nasional Korea Selatan)***Yoshihide Suga (Sekretaris Kabinet Jepang)***Roh Kyu Deok (Juru Bicara Kementerian Luar Negeri Korea Selatan)</t>
  </si>
  <si>
    <t>d-3149-de</t>
  </si>
  <si>
    <t>Hartoyo (Kapolres Sumedang)</t>
  </si>
  <si>
    <t>d-3361-te</t>
  </si>
  <si>
    <t>Muhammad Al Mu'min (Anggota Relasi Basis Marginal)</t>
  </si>
  <si>
    <t>d-3035-su</t>
  </si>
  <si>
    <t>Jasmine Self (Ibu Bayi)</t>
  </si>
  <si>
    <t>d-3561-su</t>
  </si>
  <si>
    <t>Pyong Wha Choi (Dokter)</t>
  </si>
  <si>
    <t>Cacat intelektual</t>
  </si>
  <si>
    <t>d-3577-tr</t>
  </si>
  <si>
    <t>Baim Wong (Artis)</t>
  </si>
  <si>
    <t>Orang Gila</t>
  </si>
  <si>
    <t>d-2799-te</t>
  </si>
  <si>
    <t>Glen Poole (CEO AMHF)</t>
  </si>
  <si>
    <t>d-3697-tr</t>
  </si>
  <si>
    <t>23/02/2019</t>
  </si>
  <si>
    <t>Kim Dae Hoon (Kontestan I Can See Your Voice)</t>
  </si>
  <si>
    <t>d-3267-ko</t>
  </si>
  <si>
    <t>Zamzani (Kapolsek Benjeng)***Suwarno (Warga)</t>
  </si>
  <si>
    <t>Orang gila</t>
  </si>
  <si>
    <t>d-4091-re</t>
  </si>
  <si>
    <t>Abdul Mu'ti (Sekjen PP Muhammadiyah)***Muhammad Ziyad (Ketua LDK PP Muhammadiyah)</t>
  </si>
  <si>
    <t>Kaum DIsabilitas</t>
  </si>
  <si>
    <t>d-4434-li</t>
  </si>
  <si>
    <t>d-4694-ok</t>
  </si>
  <si>
    <t>Kecacatan***Kurang Beruntung***Kecacatan***Orang Buta***Bocah Buta</t>
  </si>
  <si>
    <t>d-4706-su</t>
  </si>
  <si>
    <t>Kementerian BUMN</t>
  </si>
  <si>
    <t>d-4779-ko</t>
  </si>
  <si>
    <t>Mat Rozim (Kepala Desa Madumulyorejo)***Sutikno (Kerabat Korban)***Sukariyah (Warga)***Wahyu Sri BIntoro (Kapolres Gresik)</t>
  </si>
  <si>
    <t>d-6134-te</t>
  </si>
  <si>
    <t>Anies Baswedan (Gubernur DKI Jakarta)</t>
  </si>
  <si>
    <t>d-4942-re</t>
  </si>
  <si>
    <t>d-5788-ok</t>
  </si>
  <si>
    <t>Sonia Wibisono (Dokter)</t>
  </si>
  <si>
    <t>d-6033-ok</t>
  </si>
  <si>
    <t>d-6335-de</t>
  </si>
  <si>
    <t>d-6402-te</t>
  </si>
  <si>
    <t>Mutiara Ika Pratiwi (Koordinator Gemas)***Bambang Soesatyo (Ketua DPR)***Budi Wahyuni (Wakil Ketua Komnas Perempuan)</t>
  </si>
  <si>
    <t>d-6543-re</t>
  </si>
  <si>
    <t>Mohammad Ismail (Koordinator Media SIGAB)***Gufroni Sakaril (Ketua Umum PPDI)</t>
  </si>
  <si>
    <t>d-6563-cn</t>
  </si>
  <si>
    <t>d-6633-ko</t>
  </si>
  <si>
    <t>Kajad Pamuji Joko Waskito (Anggota Divisi Perencanaan, Data, dan Informasi Komisi Pemilihan Umum Surakarta)</t>
  </si>
  <si>
    <t>d-6838-ko</t>
  </si>
  <si>
    <t>Agatha Febriany (Penyandang Tunanetra)</t>
  </si>
  <si>
    <t>d-7014-cn</t>
  </si>
  <si>
    <t>Mark McGrath (Vokalis Sugar Ray)</t>
  </si>
  <si>
    <t>d-7052-li</t>
  </si>
  <si>
    <t>Richard Sam Bera ( Ketua Pelaksana Deklarasi Komunitas Olahraga, Pemuda, lnfluencer, Penyandang Disabilitas)***Harry Warganegara (Ketua Pengarah Komunitas Olahraga Bersatu)</t>
  </si>
  <si>
    <t>d-7677-cn</t>
  </si>
  <si>
    <t>d-7778-re</t>
  </si>
  <si>
    <t>Gufroni Sakari (Ketua PPDI)***Ikmal Maulana (Komisioner KPU Karawang)</t>
  </si>
  <si>
    <t>d-8139-te</t>
  </si>
  <si>
    <t>Ali Said (Ketua PPDI Sulawesi Tenggara)***Nasrul Nasir (Relawan)</t>
  </si>
  <si>
    <t>d-8160-tr</t>
  </si>
  <si>
    <t>Totok Hardiyanto (Koordinator Humas RSJ Surakarta)</t>
  </si>
  <si>
    <t>d-8225-ti</t>
  </si>
  <si>
    <t>Ahmad Taufan Damanik (Ketua Komnas HAM)</t>
  </si>
  <si>
    <t>d-8528-cn</t>
  </si>
  <si>
    <t>d-8697-ti</t>
  </si>
  <si>
    <t>sumber</t>
  </si>
  <si>
    <t>Faisal Rusdi (JBFT)</t>
  </si>
  <si>
    <t>d-9572-tr</t>
  </si>
  <si>
    <t xml:space="preserve">Gufron Falfeli (Kepala Bidang Ketertiban Umum dan Ketentraman Satpol PP Kota Tangerang) </t>
  </si>
  <si>
    <t>d-9577-de</t>
  </si>
  <si>
    <t>Raza Haroon (Kepala Departemen Neurologi Jinnah Medical Centre)***Jay Ram (Ayah Pasien)</t>
  </si>
  <si>
    <t>d-10680-su</t>
  </si>
  <si>
    <t>Adriana Macias (Desainer)</t>
  </si>
  <si>
    <t>d-9741-ti</t>
  </si>
  <si>
    <t>d-10034-cn</t>
  </si>
  <si>
    <t>18/05/2019</t>
  </si>
  <si>
    <t>d-10070-li</t>
  </si>
  <si>
    <t>Deded Sjamsudin (Kepala Pusat Litbang Jalan dan Jembatan)</t>
  </si>
  <si>
    <t>d-10495-ok</t>
  </si>
  <si>
    <t>27/05/2019</t>
  </si>
  <si>
    <t>d-10521-cn</t>
  </si>
  <si>
    <t>Anonim (Jaksa)</t>
  </si>
  <si>
    <t>d-10641-ti</t>
  </si>
  <si>
    <t>29/05/2019</t>
  </si>
  <si>
    <t xml:space="preserve">Susianah Affandy (Komisioner KPAI)***Cris Kuntadi (Staf Ahli Menteri Bidang Logistik, Multimoda, dan Keselamatan Perhubungan Kemenhub) </t>
  </si>
  <si>
    <t>d-10714-ko</t>
  </si>
  <si>
    <t>Tri Rismaharini (Walikota Surabaya)</t>
  </si>
  <si>
    <t>d-10773-tr</t>
  </si>
  <si>
    <t>d-11491-tr</t>
  </si>
  <si>
    <t>orang gila***orang gila***orang gila***orang gila***orang gila***orang gila***orang gila***orang gila***orang gila***orang gila</t>
  </si>
  <si>
    <t>d-11118-ti</t>
  </si>
  <si>
    <t>Harry Sukmono (Sekretaris Dinas Pariwisata Gunungkidul)***Drajad Ruswandono (Sekretaris Daerah Gunungkidul)</t>
  </si>
  <si>
    <t>d-11230-ok</t>
  </si>
  <si>
    <t>Ayu Dita Rahmadhani (Penulis Okezone)</t>
  </si>
  <si>
    <t>Buta</t>
  </si>
  <si>
    <t>d-11256-ti</t>
  </si>
  <si>
    <t>U Yarza (Asisten Ashin Wirathu)***Ashin Wirathu (Biksu Radikal)***U Gambira (Mantan Biksu dan Pemimpin Gerakan Revolusi Saffron)</t>
  </si>
  <si>
    <t>0***-1***1</t>
  </si>
  <si>
    <t>d-11034-te</t>
  </si>
  <si>
    <t>Vicente Mariano (pemimpin kelompok difabel)</t>
  </si>
  <si>
    <t>d-11710-tr</t>
  </si>
  <si>
    <t>d-11934-ko</t>
  </si>
  <si>
    <t>d-11987-de</t>
  </si>
  <si>
    <t>d-12027-de</t>
  </si>
  <si>
    <t>23/06/2019</t>
  </si>
  <si>
    <t>Eka Viora (Ketua PDSKJI)***Rasmus Abildgaard Kristensen (Duta Besar Denmark Untuk Indonesia)</t>
  </si>
  <si>
    <t>d-11613-te</t>
  </si>
  <si>
    <t>Sri Melati (Pendidik MDVI dari Dwituna Harapan Baru)</t>
  </si>
  <si>
    <t>d-12222-re</t>
  </si>
  <si>
    <t>d-12462-ok</t>
  </si>
  <si>
    <t>d-13110-cn</t>
  </si>
  <si>
    <t>d-13407-ko</t>
  </si>
  <si>
    <t>Yasonna Laoly (Menkumham)***Rahmat Effendi (Walikota Bekasi)</t>
  </si>
  <si>
    <t>d-13663-li</t>
  </si>
  <si>
    <t>Hasanudin (Kakak Korban)***Deri Sukandi (Ketua RT)***Indrat Riyani (Kapolsek Bogor Selatan)</t>
  </si>
  <si>
    <t>d-12952-ok</t>
  </si>
  <si>
    <t>Andi M Dicky (Kapolres Bogor Kota)</t>
  </si>
  <si>
    <t>gangguan jiwa</t>
  </si>
  <si>
    <t>d-14094-li</t>
  </si>
  <si>
    <t>d-14144-cn</t>
  </si>
  <si>
    <t>20/07/2019</t>
  </si>
  <si>
    <t>Yossa Nainggolan (Ketua Umum Alpha-I Indonesia dan Ragam Institute)</t>
  </si>
  <si>
    <t>d-13519-re</t>
  </si>
  <si>
    <t>Gufroni Sakaril (Ketua PPDI)</t>
  </si>
  <si>
    <t>d-14681-ti</t>
  </si>
  <si>
    <t>Sibty Hasan (Barista)***Mario Gulton (Pemilik Sunyi)</t>
  </si>
  <si>
    <t>d-13117-de</t>
  </si>
  <si>
    <t>Edy Purnomo (Kaopsnal Yandokpol RS Polri)***Dicky Pastika Gading (Kapolres Bogor)***Bagus Pramono (Dirkrimum Polda Jawa Barat)</t>
  </si>
  <si>
    <t>d-13672-te</t>
  </si>
  <si>
    <t>Kanya Eka Santi (Direktur Rehabilitasi Sosial Anak, Kementerian Sosial)</t>
  </si>
  <si>
    <t>d-15079-su</t>
  </si>
  <si>
    <t>30/07/2019</t>
  </si>
  <si>
    <t>d-12302-te</t>
  </si>
  <si>
    <t>26/06/2019</t>
  </si>
  <si>
    <t>Tri Nur Ramadhaniah (Koordinator Bravo)***Rizki Pratiwi (Koordinator Relawan Pendamping Bravo)***Siswardi Tambunan (Penyandang disabilitas)</t>
  </si>
  <si>
    <t>1***1***2</t>
  </si>
  <si>
    <t>d-15576-ko</t>
  </si>
  <si>
    <t>d-15618-ti</t>
  </si>
  <si>
    <t>d-15675-li</t>
  </si>
  <si>
    <t>Yefri Hariani (Ketua Ombudsman Sumbar)</t>
  </si>
  <si>
    <t>d-15731-cn</t>
  </si>
  <si>
    <t>Heri Purnomo (Kasat Reskrim Polres Jakarta Timur)</t>
  </si>
  <si>
    <t>d-15907-de</t>
  </si>
  <si>
    <t>d-15530-re</t>
  </si>
  <si>
    <t>Erlinda (Pemerhati hak-hak perempuan, anak, dan penyandang disabilitas)</t>
  </si>
  <si>
    <t>d-16338-ok</t>
  </si>
  <si>
    <t>d-15883-su</t>
  </si>
  <si>
    <t>Farid Azis (Penerjemah)</t>
  </si>
  <si>
    <t>d-15935-li</t>
  </si>
  <si>
    <t>Afandi (Kepala Seksi Operasi Suku Dinas (Sudin) Perhubungan Jakarta Barat)***Budi (Pengendara)***Syarif (Supir taksi online)***Wawan (Pengendara)***Syafrin Liputo (Kepala Dinas Perhubungan DKI Jakarta)</t>
  </si>
  <si>
    <t>d-16451-li</t>
  </si>
  <si>
    <t>Dewi Anggraeni (Peneliti ICW)***Farichah Hanum (Direktur Mutu dan Akreditasi Pelayanan Kesehatan Kemenkes)</t>
  </si>
  <si>
    <t>d-15840-li</t>
  </si>
  <si>
    <t>Abu Hurairah (Wakasi Humas Masjid Istiqlal)***Nasarudin Umar (Imam Besar Masjid Istiqlal)</t>
  </si>
  <si>
    <t>d-16769-ti</t>
  </si>
  <si>
    <t>Danang Prihantoro (Corporate Communication Strategic Lion Air Group)</t>
  </si>
  <si>
    <t>d-17418-re</t>
  </si>
  <si>
    <t>Eric Britton (Walikota Boulia)***Luke Donellan (Menteri Keamanan Jalan Raya Australia)***Alfred Sitorus (Ketua Kelompok Pembela Hak Pejalan Kaki)</t>
  </si>
  <si>
    <t>d-17480-ok</t>
  </si>
  <si>
    <t>Rina Nose (Artis)</t>
  </si>
  <si>
    <t>d-17525-de</t>
  </si>
  <si>
    <t>d-17551-su</t>
  </si>
  <si>
    <t>Usman Hamid (Direktur Amnesty Indonesia)</t>
  </si>
  <si>
    <t>d-17594-de</t>
  </si>
  <si>
    <t>d-17630-te</t>
  </si>
  <si>
    <t>Svetlana Zakharoba (IbuSofya Zakharova)***Ekaterina Belan (Psikolog Pendidikan)</t>
  </si>
  <si>
    <t>Seattlechildren.org</t>
  </si>
  <si>
    <t>i-68-te</t>
  </si>
  <si>
    <t>i-73-tr</t>
  </si>
  <si>
    <t>Ahmad Basarah (Wakil Ketua MPR)</t>
  </si>
  <si>
    <t>Perilaku Menyimpang</t>
  </si>
  <si>
    <t>i-76-li</t>
  </si>
  <si>
    <t>Katerina Kainourgiou (MC)</t>
  </si>
  <si>
    <t>i-79-su</t>
  </si>
  <si>
    <t>Kantor Berita Caixin***Blued</t>
  </si>
  <si>
    <t>i-117-te</t>
  </si>
  <si>
    <t>Riska Carolina (Advokat dan Spesialis Kebijakan LGBTI untuk Arus Pelangi)</t>
  </si>
  <si>
    <t>i-2-tr</t>
  </si>
  <si>
    <t>Hanne Gaby Odiele (Model)***Swiatek (Suami Odiele)</t>
  </si>
  <si>
    <t>i-169-ko</t>
  </si>
  <si>
    <t>Beka Ulung Hapsara (Komisioner Komnas HAM)</t>
  </si>
  <si>
    <t>i-181-li</t>
  </si>
  <si>
    <t>i-257-li</t>
  </si>
  <si>
    <t>i-285-de</t>
  </si>
  <si>
    <t>i-326-te</t>
  </si>
  <si>
    <t>i-359-ti</t>
  </si>
  <si>
    <t>Katherine Twamley (Dosen Sosiologi University College London)***Kathy Caprino (Pelatih Pengembangan Diri dan Karir Perempuan)</t>
  </si>
  <si>
    <t>i-373-cn</t>
  </si>
  <si>
    <t>i-411-te</t>
  </si>
  <si>
    <t>Kevin Hart (Artis)</t>
  </si>
  <si>
    <t>i-488-li</t>
  </si>
  <si>
    <t>Onadio Leonardo (Vokalis Killing Me Inside)</t>
  </si>
  <si>
    <t>i-490-tr</t>
  </si>
  <si>
    <t>Argo Yuwono (Kabid Humas Polda Metro Jaya)</t>
  </si>
  <si>
    <t>i-558-su</t>
  </si>
  <si>
    <t>Kelainan seksual***kaum lgbt</t>
  </si>
  <si>
    <t>i-585-ti</t>
  </si>
  <si>
    <t>i-653-te</t>
  </si>
  <si>
    <t>Aaron Morris (Direktur Eksekutif Immigration Equality)</t>
  </si>
  <si>
    <t>i-666-li</t>
  </si>
  <si>
    <t>Ma'ruf Amin (Wapres Indonesia)</t>
  </si>
  <si>
    <t>i-674-ok</t>
  </si>
  <si>
    <t>Dikdik (Ketua RW 29)***Nur Edi Irwansyah (Kapolres Karawang)</t>
  </si>
  <si>
    <t>i-584-ti</t>
  </si>
  <si>
    <t>Jennifer Lee (sutradara Frozen 2)</t>
  </si>
  <si>
    <t>i-746-ko</t>
  </si>
  <si>
    <t>28/02/2019</t>
  </si>
  <si>
    <t>Romahurmuziy (Ketua Umum PPP)</t>
  </si>
  <si>
    <t>i-779-ok</t>
  </si>
  <si>
    <t>i-1880-ko</t>
  </si>
  <si>
    <t>Layla Moran (Anggota Parlemen dari Oxford)***Sultan Bolkiah (Sultan Brunei)</t>
  </si>
  <si>
    <t>i-845-li</t>
  </si>
  <si>
    <t>Pauline Ngarmpring (Kandidat PM Thailand)***Anjana Suvarnanda (Anjaree Group)</t>
  </si>
  <si>
    <t>i-878-tr</t>
  </si>
  <si>
    <t>Andre Rosiade (Jubir BPN)***Ace Hasan (Jubir TKN)</t>
  </si>
  <si>
    <t>i-880-ko</t>
  </si>
  <si>
    <t>i-903-cn</t>
  </si>
  <si>
    <t>i-935-de</t>
  </si>
  <si>
    <t>Hanif Dhakiri (Sekjen PKB)***Muhaimin Iskandar (Ketua Umum PKB)</t>
  </si>
  <si>
    <t>i-960-su</t>
  </si>
  <si>
    <t>Nadi (Tukang Ojek)***Yati (Penjual Rokok)***Dani Mulyana (Manan Proyeksionis)</t>
  </si>
  <si>
    <t>i-1108-ok</t>
  </si>
  <si>
    <t>Jazell Barbie (Miss International 2019)</t>
  </si>
  <si>
    <t>i-1016-tr</t>
  </si>
  <si>
    <t>Pauline Ngarmpring (Kandidat PM Thailand)</t>
  </si>
  <si>
    <t>i-1045-te</t>
  </si>
  <si>
    <t>Runtung Sitepu (Rektor USU)</t>
  </si>
  <si>
    <t>i-1073-de</t>
  </si>
  <si>
    <t>Wiranto (Menkopolhukam)</t>
  </si>
  <si>
    <t>i-1074-ko</t>
  </si>
  <si>
    <t>Matthew Woolfe (Pendiri The Brunei Project)</t>
  </si>
  <si>
    <t>i-1103-cn</t>
  </si>
  <si>
    <t>George Clooney (Artis)***Rachel Chhoa-Howard (Peneliti Amnesty International)</t>
  </si>
  <si>
    <t>i-1170-tr</t>
  </si>
  <si>
    <t>Barbie Kumalasari (Artis)</t>
  </si>
  <si>
    <t>i-1182-li</t>
  </si>
  <si>
    <t>Michelle Bachelet (Kepala Urusan HAM PBB)</t>
  </si>
  <si>
    <t>i-1234-cn</t>
  </si>
  <si>
    <t>Uni Eropa***Anthonio Guterres (Sekjen PBB)***Hassalan Bolkiah (Sultan Brunei)</t>
  </si>
  <si>
    <t>i-1246-ko</t>
  </si>
  <si>
    <t>Joko Widodo (Presiden)</t>
  </si>
  <si>
    <t>Dorchester Collection</t>
  </si>
  <si>
    <t>i-1321-tr</t>
  </si>
  <si>
    <t>Dadang Sudiantoro (Kasat Reskrim Tasikmalaya)</t>
  </si>
  <si>
    <t>i-1631-te</t>
  </si>
  <si>
    <t>Dimyati Badruzaman (Ketua Umum MUI Depok)***Mohammad Idris (Walikota Depok)</t>
  </si>
  <si>
    <t>i-1561-re</t>
  </si>
  <si>
    <t>Pemerintah Brunei***Barbara Lochbihler (Anggota Parlemen)***Federica Mogherini (Perwakilan UE untuk Urusan LN)</t>
  </si>
  <si>
    <t>i-1459-cn</t>
  </si>
  <si>
    <t>15/04/2019</t>
  </si>
  <si>
    <t>i-1633-tr</t>
  </si>
  <si>
    <t>Erna Ruswing Andari (Kepala Sub Bagian Humas Bekasi)***Parjana (Kepala Polsek Bekasi)***Yusuf (Dirlantas Polda Metro Jaya)</t>
  </si>
  <si>
    <t>i-1645-su</t>
  </si>
  <si>
    <t>Tengku Zulkarnain (Wakil Sekjen Bidang Dakwah MUI)***Iman Brotoseno (Sutradara)</t>
  </si>
  <si>
    <t>i-1677-li</t>
  </si>
  <si>
    <t>Joko Anwar (Sutradara)</t>
  </si>
  <si>
    <t>i-1695-ko</t>
  </si>
  <si>
    <t>Sultan Bolkiah (Sultan Brunei)</t>
  </si>
  <si>
    <t>i-1842-cn</t>
  </si>
  <si>
    <t>Afif Abdul Qaim (Kuasa Hukum TT)***Maruf Barjammal (Kuasa Hukum TT)</t>
  </si>
  <si>
    <t>Perbuatan menyimpang</t>
  </si>
  <si>
    <t>i-1771-ok</t>
  </si>
  <si>
    <t>Lucinta Luna (Artis)</t>
  </si>
  <si>
    <t>i-1800-de</t>
  </si>
  <si>
    <t>Erma Suryani Ranik (Wakil Ketua Komisi III DPR)***Agus Triatmaja (Kabid Humas Polda Jateng)</t>
  </si>
  <si>
    <t>i-1827-ok</t>
  </si>
  <si>
    <t>i-1647-te</t>
  </si>
  <si>
    <t>Adrian Pasaribu (Pengamat film dari Cinema Poetica)***Ahmad Yani Basuki (Ketua LSF)</t>
  </si>
  <si>
    <t>Mahyeldi Ansharullah (Walikota Padang)</t>
  </si>
  <si>
    <t>i-2001-ko</t>
  </si>
  <si>
    <t>Michael Elburu (Hakim)</t>
  </si>
  <si>
    <t>i-2047-re</t>
  </si>
  <si>
    <t>16/06/2019</t>
  </si>
  <si>
    <t>Nasrul Abit (Wakil Gubernur Sumatera Barat)</t>
  </si>
  <si>
    <t>penyakit masyarakat</t>
  </si>
  <si>
    <t>i-1960-ok</t>
  </si>
  <si>
    <t>Ustad Arif (Guru Mengaji)***Melati Tia (Santri)***Shinta Ratri (Pemimpin Ponpes Waria)***Nia (santri baru)</t>
  </si>
  <si>
    <t>0***2***0***2</t>
  </si>
  <si>
    <t>i-1996-li</t>
  </si>
  <si>
    <t>Rodrigo Duterte (presiden Filipina)</t>
  </si>
  <si>
    <t>i-2003-li</t>
  </si>
  <si>
    <t>Graeme Reid (Direketur LGBT Human Rights Watch)***Lale Say (koordinator WHO)</t>
  </si>
  <si>
    <t>i-2088-re</t>
  </si>
  <si>
    <t>i-2103-de</t>
  </si>
  <si>
    <t>Joe Russo (Produser Avengers)***Kevin Feige (Bos Marvel)</t>
  </si>
  <si>
    <t>Pangeran William (Pangeran Inggris)</t>
  </si>
  <si>
    <t>i-2182-su</t>
  </si>
  <si>
    <t>i-2186-tr</t>
  </si>
  <si>
    <t>Faruq Rozi (Kasat Reskrim Polres Pelabuhan Tanjung Priok)</t>
  </si>
  <si>
    <t>i-2205-tr</t>
  </si>
  <si>
    <t>Megan Rapinoe (Kapten Timnas Putri AS)</t>
  </si>
  <si>
    <t>i-2215-ko</t>
  </si>
  <si>
    <t>Aldy Sulaiman (Kepala Unit V Subdit 3 Ditreskrimum Polda Jatim)</t>
  </si>
  <si>
    <t>i-2233-tr</t>
  </si>
  <si>
    <t>Sholihin Fery (Kasat Reskrim Polres Mojokerto)</t>
  </si>
  <si>
    <t>i-2493-de</t>
  </si>
  <si>
    <t>17/07/2019</t>
  </si>
  <si>
    <t>Sami (Korban)***Kathrin Tomas (Peneliti Arab Barometer)***Amir Ashour (Pendiri IraQueer)***Juru bicara kepolisian Irak</t>
  </si>
  <si>
    <t>2***0***1***0</t>
  </si>
  <si>
    <t>0***1***1***0</t>
  </si>
  <si>
    <t>i-2278-ok</t>
  </si>
  <si>
    <t>Anonim (Pengacara korban)</t>
  </si>
  <si>
    <t>i-2288-de</t>
  </si>
  <si>
    <t>Anonim (Polisi India)</t>
  </si>
  <si>
    <t>i-2272-li</t>
  </si>
  <si>
    <t>i-2271-ko</t>
  </si>
  <si>
    <t>Alison Van Uytvanck (Petenis Belgia)</t>
  </si>
  <si>
    <t>i-2531-te</t>
  </si>
  <si>
    <t>19/07/2019</t>
  </si>
  <si>
    <t>Mary Jane Real (Board Member Front Line Defenders)***Sayeed Ahmad (Koordinator Front Line Defenders untuk Asia Tenggara)***Shinta Ratri (Pemimpin Pesantren Al Fatah)***Sri Wahyuni (Tetangga)</t>
  </si>
  <si>
    <t>i-2321-ti</t>
  </si>
  <si>
    <t>Tempo***Tuty Suprapto (Direktur Tuty Jaya Pictures)***Nico Pelamonia (Sutradara)***Sutarto (Ketua BSF)</t>
  </si>
  <si>
    <t>i-2472-cn</t>
  </si>
  <si>
    <t>16/07/2019</t>
  </si>
  <si>
    <t>i-2486-su</t>
  </si>
  <si>
    <t>Andar Situmorang (Pengacara Pablo Benua)</t>
  </si>
  <si>
    <t>i-2498-ko</t>
  </si>
  <si>
    <t>Ashlyn Harris (Anggota Timnas Sepakbola Putri AS)***Jaelene Hinkle (Calon Pemain Sepakbola AS)</t>
  </si>
  <si>
    <t>i-2502-ok</t>
  </si>
  <si>
    <t>Papah Edwan (Koreografer)</t>
  </si>
  <si>
    <t>i-2504-su</t>
  </si>
  <si>
    <t>Hotman Paris (Pengacara)</t>
  </si>
  <si>
    <t>i-2413-de</t>
  </si>
  <si>
    <t>Trimedya Panjaitan (Wakil Ketua Komisi III DPR)***Teuku Taufiqulhadi (Anggota Komisi III DPR)</t>
  </si>
  <si>
    <t>i-2648-li</t>
  </si>
  <si>
    <t>28/07/2019</t>
  </si>
  <si>
    <t>Andri Sanityoso (Sekjen Perhimpunan Peneliti Hati Indonesia)***Wiendra Waworuntu (Direktur Pencegahan dan Pengendalian Penyakit Menular Langsung Kemenkes)</t>
  </si>
  <si>
    <t>i-2698-ok</t>
  </si>
  <si>
    <t>i-2701-su</t>
  </si>
  <si>
    <t>Anonim (Presenter)***Millendaru (Artis)</t>
  </si>
  <si>
    <t>Asep Adi Saputra (Kabag Penerangan Umum Divisi Humas Polri)</t>
  </si>
  <si>
    <t>i-2791-tr</t>
  </si>
  <si>
    <t>i-2817-ti</t>
  </si>
  <si>
    <t>i-2837-su</t>
  </si>
  <si>
    <t>Cynthia Marames (Ketua Hiwaso)</t>
  </si>
  <si>
    <t>Kaum waria</t>
  </si>
  <si>
    <t>i-2839-ti</t>
  </si>
  <si>
    <t>Jubir IMDb</t>
  </si>
  <si>
    <t>i-2878-de</t>
  </si>
  <si>
    <t>19/08/2019</t>
  </si>
  <si>
    <t>i-2921-li</t>
  </si>
  <si>
    <t>Eka Viora (Wakil Ketua PDSKJI)***Boyke Nugraha (Dokter Spesialis Kandungan)***Wimpie Pangkahila (Profesor)***Heru Oentoeng (Spesialis Andrologi)***Rachmat Safei (Ketua Umum MUI Jabar)</t>
  </si>
  <si>
    <t>i-2936-li</t>
  </si>
  <si>
    <t>i-2941-tr</t>
  </si>
  <si>
    <t>Siska Sarangheo (Pelaku)***Ari (Tukang ojek)***Mun (Penjaga wisma)***Ali Asa (Sepupu korban)***Dwi Hartono (Kapolres Lubuklinggau)</t>
  </si>
  <si>
    <t>i-2951-ok</t>
  </si>
  <si>
    <t>28/08/2019</t>
  </si>
  <si>
    <t>Dwi Hartono (Kapolres Lubuklinggau)</t>
  </si>
  <si>
    <t>i-2766-su</t>
  </si>
  <si>
    <t>Aditya Madiraju (Mempelai)</t>
  </si>
  <si>
    <t>i-2989-cn</t>
  </si>
  <si>
    <t>i-2997-de</t>
  </si>
  <si>
    <t>Bebby Fey (DJ)</t>
  </si>
  <si>
    <t>i-3004-te</t>
  </si>
  <si>
    <t>i-3010-su</t>
  </si>
  <si>
    <t>21/09/2019</t>
  </si>
  <si>
    <t>Joe Fergus (Pasangan Viral)</t>
  </si>
  <si>
    <t>i-3040-su</t>
  </si>
  <si>
    <t>27/09/2019</t>
  </si>
  <si>
    <t>p-208-li</t>
  </si>
  <si>
    <t>Harissandi (Kasubdit V Ditreskrimsus Polda Jatim)</t>
  </si>
  <si>
    <t>p-1444-ti</t>
  </si>
  <si>
    <t>Art Markman (Peneliti University of Texas)***Linda Brown (Peneliti)</t>
  </si>
  <si>
    <t>p-2194-su</t>
  </si>
  <si>
    <t>Frans Barung Mangera (Kabid Humas Polda Jatim)</t>
  </si>
  <si>
    <t>p-2227-te</t>
  </si>
  <si>
    <t>Guntur Witjaksono (Dewas BPJS)</t>
  </si>
  <si>
    <t>p-2480-te</t>
  </si>
  <si>
    <t>Aga Khan (Pengacara)</t>
  </si>
  <si>
    <t>p-3262-ko</t>
  </si>
  <si>
    <t>17/01/2019</t>
  </si>
  <si>
    <t>Andrew Stamper (Detektif)</t>
  </si>
  <si>
    <t>p-4672-ko</t>
  </si>
  <si>
    <t>Rahmat Santoso (Pengacara VA)</t>
  </si>
  <si>
    <t>Barung***Harissandi (Kasubdit V Cyber Crime Kriminal Khusus Polda Jatim)***Jane Shalimar (Artis)</t>
  </si>
  <si>
    <t>p-4802-tr</t>
  </si>
  <si>
    <t>p-4872-cn</t>
  </si>
  <si>
    <t>p-5026-ti</t>
  </si>
  <si>
    <t>RA (Korban)***Subiyanto Pudin (Ketua Tim Panel)***Poempida Hidayatullah (Dewas BPJS-K)***Haris Azhar (Kuasa Hukum RA)</t>
  </si>
  <si>
    <t>1***-1***-1***1</t>
  </si>
  <si>
    <t>p-5714-li</t>
  </si>
  <si>
    <t>Ratna Pandita (Artis)</t>
  </si>
  <si>
    <t>p-5804-li</t>
  </si>
  <si>
    <t>Jiemi Ardian (Praktisi Kesehatan Mental)***Timothy Legg (Praktisi Kesehatan Jiwa)***Fathimah Izzati (Peneliti Sindikasi)</t>
  </si>
  <si>
    <t>p-6037-su</t>
  </si>
  <si>
    <t>HM Thamrin (Kapolsek Koto XI Tarusan)</t>
  </si>
  <si>
    <t>p-6498-cn</t>
  </si>
  <si>
    <t>Reinhard Marx (Kardinal)</t>
  </si>
  <si>
    <t>p-6302-te</t>
  </si>
  <si>
    <t>Alessandro Gisotti (Juru Bicara Vatikan)</t>
  </si>
  <si>
    <t>p-6392-ko</t>
  </si>
  <si>
    <t>Mustaqim (Asisten Pelatih Persija)</t>
  </si>
  <si>
    <t>p-6580-te</t>
  </si>
  <si>
    <t>Veronica Openibo (Biarawati)***Reinhard Marx (Kardinal Jerman)</t>
  </si>
  <si>
    <t>p-6747-tr</t>
  </si>
  <si>
    <t>George Pell (Kardinal)</t>
  </si>
  <si>
    <t>p-6785-te</t>
  </si>
  <si>
    <t>p-6965-de</t>
  </si>
  <si>
    <t>Anonim (Ayah Korban)***Andrew La Greca (Anggota Paduan Suara)***Doug Smith (Polisi)</t>
  </si>
  <si>
    <t>p-7305-tr</t>
  </si>
  <si>
    <t>Emilia Hanafi (Korban)</t>
  </si>
  <si>
    <t>p-7530-te</t>
  </si>
  <si>
    <t>Tim Investigasi PBB</t>
  </si>
  <si>
    <t>p-7695-li</t>
  </si>
  <si>
    <t>p-7768-li</t>
  </si>
  <si>
    <t>Anonim (sumber dari pihak Seungri)</t>
  </si>
  <si>
    <t>p-7284-de</t>
  </si>
  <si>
    <t>Faruk Rozi ( Kasat Reskrim Polres Pelabuhan Tanjung Priok)</t>
  </si>
  <si>
    <t>p-7969-cn</t>
  </si>
  <si>
    <t>Susan Devoy (Komisioner Hubungan Antar Ras)</t>
  </si>
  <si>
    <t>p-8131-re</t>
  </si>
  <si>
    <t>Dianna Ross (Penyanyi)</t>
  </si>
  <si>
    <t>p-7871-li</t>
  </si>
  <si>
    <t>Anonim (Pengacara S)</t>
  </si>
  <si>
    <t>p-8211-ok</t>
  </si>
  <si>
    <t>Tri Wibowo (Kasat Reskrim Polres Kobar)</t>
  </si>
  <si>
    <t>p-8309-su</t>
  </si>
  <si>
    <t>Matthew Woolfe (Pendiri The Brunei Project)***Ryan Silverio (Koordinator ASEAN Sogie Caucus)</t>
  </si>
  <si>
    <t>p-8350-de</t>
  </si>
  <si>
    <t>Supriadi (Kabid Humas Polda Sumatera Selatan)</t>
  </si>
  <si>
    <t>p-8361-li</t>
  </si>
  <si>
    <t>Donny Eka Syaputra (Kapolres OKI)***Supriadi (Kabid Humas Polda Sumsel)***Zulkarnain Adinegara (Kapolda Sumsel)</t>
  </si>
  <si>
    <t>Jenny SuShe (Jurnalis)***Kubrat Pulev (Petinju)</t>
  </si>
  <si>
    <t>Milano Lubis (Pengacara)</t>
  </si>
  <si>
    <t>p-8597-ko</t>
  </si>
  <si>
    <t>Novan Arianto (Jaksa PU Kejaksaan Jawa Timur)</t>
  </si>
  <si>
    <t>p-8824-li</t>
  </si>
  <si>
    <t>p-8923-li</t>
  </si>
  <si>
    <t>Kim Kwang Sam (Pengacara)</t>
  </si>
  <si>
    <t>p-8939-su</t>
  </si>
  <si>
    <t>Ferry Paulus (CEO Persija)</t>
  </si>
  <si>
    <t>p-8979-re</t>
  </si>
  <si>
    <t>p-8702-tr</t>
  </si>
  <si>
    <t>Sukadi (Pelaku)***Purnomo (Kapolsek Sooko)</t>
  </si>
  <si>
    <t>p-9136-re</t>
  </si>
  <si>
    <t>p-9366-ok</t>
  </si>
  <si>
    <t>Jessica Iskandar (Artis)</t>
  </si>
  <si>
    <t>p-9411-su</t>
  </si>
  <si>
    <t>Agung Wicaksono (Direktur Utama Transjakarta)</t>
  </si>
  <si>
    <t>p-9440-li</t>
  </si>
  <si>
    <t>16/04/2019</t>
  </si>
  <si>
    <t>p-9590-ko</t>
  </si>
  <si>
    <t>p-9656-te</t>
  </si>
  <si>
    <t>Rizki Kamadibrata (Presiden Grab Indonesia)</t>
  </si>
  <si>
    <t>Pemerintah Brunei***Barbara Lochbihler (Anggota Parlemen)***Federica Mogherini (Perwakilan EU untuk Urusan Luar Negeri)</t>
  </si>
  <si>
    <t>p-9674-cn</t>
  </si>
  <si>
    <t>Azriana Manalu (Ketua Komnas Perempuan)***Rizki Kramadibrata (Presiden Direktur Grab Indonesia)</t>
  </si>
  <si>
    <t>p-9693-ko</t>
  </si>
  <si>
    <t>Anonim (Korban)***Edi Kuswoyo (Kepala Humas KAI)</t>
  </si>
  <si>
    <t>p-9730-tr</t>
  </si>
  <si>
    <t>Indra Gunawan (Direktur Partisipasi Masyarakat Kemen PPPA)</t>
  </si>
  <si>
    <t>p-9942-te</t>
  </si>
  <si>
    <t>Momo (Perusahaan yang Menaungi Tantan)</t>
  </si>
  <si>
    <t>p-10052-su</t>
  </si>
  <si>
    <t>Ratman (Kakak Korban)</t>
  </si>
  <si>
    <t>p-10375-ok</t>
  </si>
  <si>
    <t>p-10416-ok</t>
  </si>
  <si>
    <t>Roni Agus Wowor (Kapolsek Pancoran Mas)</t>
  </si>
  <si>
    <t>p-10495-cn</t>
  </si>
  <si>
    <t>Budi Satria Wiguna (Kapolres Garut)***Diah Kurniasari (Ketua P2TP2A Garut)</t>
  </si>
  <si>
    <t>p-10511-ok</t>
  </si>
  <si>
    <t>I Made Budi (Humas Polresta Depok)</t>
  </si>
  <si>
    <t>p-10539-de</t>
  </si>
  <si>
    <t>16/05/2019</t>
  </si>
  <si>
    <t>Ruth Yeni (Kanit PPA Polrestabes Surabaya)</t>
  </si>
  <si>
    <t>p-10797-re</t>
  </si>
  <si>
    <t>26/05/2019</t>
  </si>
  <si>
    <t>p-10660-su</t>
  </si>
  <si>
    <t>p-10298-re</t>
  </si>
  <si>
    <t>Marc Oullet (Kepala Kongregasi Vatikan untuk Uskup)***Michael Walsh (Sejarawan Kepausan)</t>
  </si>
  <si>
    <t>p-10775-ok</t>
  </si>
  <si>
    <t>Budi Satria Wiguna (Kapolres Garut)</t>
  </si>
  <si>
    <t>p-10957-ok</t>
  </si>
  <si>
    <t>Anna (Korban)***Humas Universitas Warwick</t>
  </si>
  <si>
    <t>p-11437-re</t>
  </si>
  <si>
    <t>p-11448-su</t>
  </si>
  <si>
    <t>Abdul Malik (Pengacara VA)</t>
  </si>
  <si>
    <t>p-11604-tr</t>
  </si>
  <si>
    <t>Yoris Marzuki (Kapolres Indramayu)</t>
  </si>
  <si>
    <t>p-11478-re</t>
  </si>
  <si>
    <t>Frances Fairs (Backpacker Inggris)***Anonim (Korban)***Chelsey (Korban)***Eleanor Juby (Backpacker)***Emily (Korban)***Rosie Ayliffe (Warga)***Mark Glazbrook (Agen Imigrasi)***Juru Bicara Depdagri</t>
  </si>
  <si>
    <t>2***2***2***2***2***0***0***0</t>
  </si>
  <si>
    <t>1***1***1***1***1***1***1***1</t>
  </si>
  <si>
    <t>p-11783-ti</t>
  </si>
  <si>
    <t>p-11867-de</t>
  </si>
  <si>
    <t>p-12698-te</t>
  </si>
  <si>
    <t>Yenny Wahid (Aktivis)</t>
  </si>
  <si>
    <t>p-12975-de</t>
  </si>
  <si>
    <t>p-14136-ok</t>
  </si>
  <si>
    <t>29/07/2019</t>
  </si>
  <si>
    <t>Anonim (Ibu Korban)</t>
  </si>
  <si>
    <t>p-13619-de</t>
  </si>
  <si>
    <t>Marek Mielewczyk (Korban)***Uskup Polandia)***Adam Szostkiewicz (Kolumnis Polityka)***Monika (Korban)</t>
  </si>
  <si>
    <t>2***0***0***2</t>
  </si>
  <si>
    <t>1***0***1***1</t>
  </si>
  <si>
    <t>p-13604-cn</t>
  </si>
  <si>
    <t>p-13686-re</t>
  </si>
  <si>
    <t>Ade Kusmanto (Kabag Humas Direktorat Jenderal Permasyarakatan)***Arist Merdeka Sirait (Ketua Komisi Nasional Perlindungan Anak)</t>
  </si>
  <si>
    <t>p-13857-de</t>
  </si>
  <si>
    <t>Edward Dewaruci (Ketua SCCC)</t>
  </si>
  <si>
    <t>p-13903-re</t>
  </si>
  <si>
    <t>Yasonna Laoly (Menkumham)***Aziz Syamsuddin (Ketua Komisi III DPR)***Baiq Nuril (Korban)</t>
  </si>
  <si>
    <t>p-13767-de</t>
  </si>
  <si>
    <t>Masduki Baidlowi (Ketua MUI Bidang Informasi dan Komunikasi)</t>
  </si>
  <si>
    <t>Yasonna Laoly (Menkumham)***Baiq Nuril (Korban)</t>
  </si>
  <si>
    <t>p-14449-cn</t>
  </si>
  <si>
    <t>Yasonna Laoly (Menkumham)***Baiq Nuril (Korban)***Aziz Fauzi (Kuasa Hukum Baiq Nuril)</t>
  </si>
  <si>
    <t>p-14587-li</t>
  </si>
  <si>
    <t>Theresia Widowati (Orangtua Korban)***Ade Kusmato (Kabag Humas Direktorat Jenderal Permasyarakatan)</t>
  </si>
  <si>
    <t>p-14728-ok</t>
  </si>
  <si>
    <t>Tiomasretna Simatupang (Ibu Korban)***Sardi Gultom (Ayah Korban)***Horas Silaen (Kapolres Taput)</t>
  </si>
  <si>
    <t>p-14729-su</t>
  </si>
  <si>
    <t>Muharam Wibisono (Kasat Reskrim Polres Tangerang Selatan)</t>
  </si>
  <si>
    <t>p-14751-de</t>
  </si>
  <si>
    <t>Giadi Nugraha (Kanit Jatanras Satreskrim Polrestabes Surabaya)</t>
  </si>
  <si>
    <t>p-14872-su</t>
  </si>
  <si>
    <t>Sukma Anreianno (Head of Public Affairs Grab)</t>
  </si>
  <si>
    <t>p-15018-cn</t>
  </si>
  <si>
    <t>16/08/2019</t>
  </si>
  <si>
    <t>p-15055-ok</t>
  </si>
  <si>
    <t>Agus Ariandi (Pelaku)***Jeni Jauza (Kanit III Asusila Subdit IV Renakta Ditreskrimum Polda Jatim)</t>
  </si>
  <si>
    <t>p-11093-re</t>
  </si>
  <si>
    <t>Steve Greenberg (Pengacara R. Kelly)</t>
  </si>
  <si>
    <t>p-15315-te</t>
  </si>
  <si>
    <t>22/08/2019</t>
  </si>
  <si>
    <t>Salvador Panelo (Jubir Presiden Duterte)</t>
  </si>
  <si>
    <t>p-15423-ko</t>
  </si>
  <si>
    <t>Nugroho Wisnu (Kasi Intel Kejari Mojokerto)</t>
  </si>
  <si>
    <t>p-15502-ok</t>
  </si>
  <si>
    <t>Yulianus Samberi (Kasat Reskrim Polres Tomohon)***MM (Pelaku)</t>
  </si>
  <si>
    <t>p-15701-te</t>
  </si>
  <si>
    <t>p-15847-li</t>
  </si>
  <si>
    <t>30/08/2019</t>
  </si>
  <si>
    <t>p-15916-ko</t>
  </si>
  <si>
    <t>AM Dicky (Kapolres Bogor)</t>
  </si>
  <si>
    <t>p-16030-ko</t>
  </si>
  <si>
    <t>Yohana Yembise (Menteri PPPA)</t>
  </si>
  <si>
    <t>p-16071-ti</t>
  </si>
  <si>
    <t>Veni Siregar (Koordinator Sekretariat Nasional FPL)***Marwan Dasopang (Ketua Panja RUU PKS)</t>
  </si>
  <si>
    <t>p-16107-ko</t>
  </si>
  <si>
    <t>Haris Azhar (Kuasa Hukum RA)</t>
  </si>
  <si>
    <t>p-16138-su</t>
  </si>
  <si>
    <t>p-16167-li</t>
  </si>
  <si>
    <t>Anonim (Pegawai Hotel)***Ivan Adhittira (Kasatreskrim Polres Serang Kota)</t>
  </si>
  <si>
    <t>p-16178-te</t>
  </si>
  <si>
    <t>Silfi Adi Putri (Kepala Unit Perlindungan Perempuan dan Anak (PPA) Satreskrim Polres Bogor)</t>
  </si>
  <si>
    <t>p-16181-tr</t>
  </si>
  <si>
    <t>Misran (Paur Humas Polres Inhu)***Didik Kurnianto (Kapolsek Kelapa Lima)</t>
  </si>
  <si>
    <t>kemolekan tubuh gadis broken home***dijual murah***layanan spesial</t>
  </si>
  <si>
    <t>p-16060-su</t>
  </si>
  <si>
    <t>Budi Suhendar (Kepala IKFM RSDP)***Dani Arianto (Kapolres Lebak)</t>
  </si>
  <si>
    <t>p-16218-su</t>
  </si>
  <si>
    <t>25/09/2019</t>
  </si>
  <si>
    <t>Vini Zulfa (Koordinator Aksi Geulis)</t>
  </si>
  <si>
    <t>p-16317-tr</t>
  </si>
  <si>
    <t>p-16341-de</t>
  </si>
  <si>
    <t>Kotok Guritno (Kepala Bagian Humas Polres Malang)***Prija Djatmika (Dosen FH Universitas Brawijaya)</t>
  </si>
  <si>
    <t>p-16379-ti</t>
  </si>
  <si>
    <t>29/09/2019</t>
  </si>
  <si>
    <t>liputan6</t>
  </si>
  <si>
    <t>Direktur LBH Bandung Willy Hanafi</t>
  </si>
  <si>
    <t>a-12-cn</t>
  </si>
  <si>
    <t>cnn_indonesia</t>
  </si>
  <si>
    <t>Lokasi</t>
  </si>
  <si>
    <t>a-19-su</t>
  </si>
  <si>
    <t>suara</t>
  </si>
  <si>
    <t>13/11/2019</t>
  </si>
  <si>
    <t>Kabid Humas Polda DIY Kombes Pol Yulianto</t>
  </si>
  <si>
    <t>a-41-te</t>
  </si>
  <si>
    <t>tempo</t>
  </si>
  <si>
    <t>a-42-ti</t>
  </si>
  <si>
    <t>tirto</t>
  </si>
  <si>
    <t>22/11/2020</t>
  </si>
  <si>
    <t>a-47-re</t>
  </si>
  <si>
    <t>republika</t>
  </si>
  <si>
    <t>a-50-ok</t>
  </si>
  <si>
    <t>okezone</t>
  </si>
  <si>
    <t>a-54-te</t>
  </si>
  <si>
    <t>a-58-li</t>
  </si>
  <si>
    <t>a-107-ti</t>
  </si>
  <si>
    <t>a-110-ok</t>
  </si>
  <si>
    <t>a-111-su</t>
  </si>
  <si>
    <t>tribun_news</t>
  </si>
  <si>
    <t>a-62-cn</t>
  </si>
  <si>
    <t>Menteri Dalam Negeri India Amit Shah***Narendra Modi (Presiden India)</t>
  </si>
  <si>
    <t>a-138-cn</t>
  </si>
  <si>
    <t>d-76-te</t>
  </si>
  <si>
    <t>d-242-li</t>
  </si>
  <si>
    <t>kondisi fisik yang tidak sempurna***kekurangan fisik***kekurangan fisik***kondisi fisik yang berkekurangan</t>
  </si>
  <si>
    <t>dr. Agung Prijanto SpKJ(Sekretaris Pengurus Pusat Perhimpunan Dokter Spesialis Kedokteran Jiwa Indonesia)</t>
  </si>
  <si>
    <t>d-122-ko</t>
  </si>
  <si>
    <t>kompas</t>
  </si>
  <si>
    <t>Moh. Hamzah(ayah)***Latifah, ibu kandung</t>
  </si>
  <si>
    <t>menderita kelainan mental</t>
  </si>
  <si>
    <t>d-391-ok</t>
  </si>
  <si>
    <t>d-403-te</t>
  </si>
  <si>
    <t>Ketua PP Persatuan Dokter Spesialis Mata Indonesia, dr. M. Siddik, Sp.M.</t>
  </si>
  <si>
    <t>d-406-ti</t>
  </si>
  <si>
    <t>d-533-tr</t>
  </si>
  <si>
    <t>d-831-su</t>
  </si>
  <si>
    <t>Suyati (68) (tetangga)***ormat(kepala desa setempat)</t>
  </si>
  <si>
    <t>d-1593-tr</t>
  </si>
  <si>
    <t>d-893-ko</t>
  </si>
  <si>
    <t>d-963-cn</t>
  </si>
  <si>
    <t>Angkie Yudistira</t>
  </si>
  <si>
    <t>d-1056-re</t>
  </si>
  <si>
    <t>d-1149-de</t>
  </si>
  <si>
    <t>detik_news</t>
  </si>
  <si>
    <t>Iyus sinting(tersangka kekerasan)*** dr Lahargo Kembaren, SpKJ</t>
  </si>
  <si>
    <t>d-1189-ok</t>
  </si>
  <si>
    <t>Illiza Saaduddin Djamal(Anggota Komisi X DPR RI dari Fraksi PPP</t>
  </si>
  <si>
    <t>Kapolsek Srandakan Kompol Muryanto***Kanit Pelayanan Perempuan dan Anak (PPA) Satreskrim Polres Bantul Aipda Mustafa***asat Reskrim Polres Bantul AKP Riko Sanjaya</t>
  </si>
  <si>
    <t>d-1325-ok</t>
  </si>
  <si>
    <t>d-1342-te</t>
  </si>
  <si>
    <t>d-1384-ko</t>
  </si>
  <si>
    <t>Ankie Yudistia</t>
  </si>
  <si>
    <t>d-1474-li</t>
  </si>
  <si>
    <t>d-820-re</t>
  </si>
  <si>
    <t>Rizka Fajriana Putri Ramadhani(pencipta alat)</t>
  </si>
  <si>
    <t>d-1639-ti</t>
  </si>
  <si>
    <t>d-1690-tr</t>
  </si>
  <si>
    <t>d-1808-cn</t>
  </si>
  <si>
    <t>d-1832-su</t>
  </si>
  <si>
    <t>d-1902-ti</t>
  </si>
  <si>
    <t>d-2061-te</t>
  </si>
  <si>
    <t>Dian Syarif (Ketua Syamsi Dhuha Foundation)</t>
  </si>
  <si>
    <t>d-2210-re</t>
  </si>
  <si>
    <t>AKP Dadang Sudiantoro(Kasat Reskrim Polres Tasikmalaya Kota)***Endra di Polres Tasikmalaya Kota***Wakil Wali Kota Tasikmalaya, Muhammad Yusuf ***Sekeretaris Umum Majelis Ulama Indonesia (MUI) Kota Tasikmakaya, KH Muhammad Aminudin Bustomi*** Komandan Komando Distrik Militer (Dandim) 0612/Tasikmalaya, Letkol Inf Imam Wicaksana</t>
  </si>
  <si>
    <t>0***-1***0***0***0</t>
  </si>
  <si>
    <t>Tatang Surtisna 62***Irwan Hidayat (direktur SidoMuncul)***Dewi Basmala Gatot(Direktur RSUD Al Ihsan***Prof. Dr. dr. Nila Djuwita Faried Anfasa Moeloek(Dewan Penasihat SPBK Perdami Pusat</t>
  </si>
  <si>
    <t>d-2283-su</t>
  </si>
  <si>
    <t>d-2432-cn</t>
  </si>
  <si>
    <t>d-2153-te</t>
  </si>
  <si>
    <t>Kepala Unit Reserse Kriminal Polsek Metro Penjaringan, Komisaris Polisi Mustakim</t>
  </si>
  <si>
    <t>gangguan mental***gangguan jiwa</t>
  </si>
  <si>
    <t>d-2508-ti</t>
  </si>
  <si>
    <t>d-2663-ok</t>
  </si>
  <si>
    <t>Kapolres Banjarnegara AKBP Aris Yudha Legawa</t>
  </si>
  <si>
    <t>d-2719-li</t>
  </si>
  <si>
    <t>d-2720-ok</t>
  </si>
  <si>
    <t>i-113-cn</t>
  </si>
  <si>
    <t>Anggota Ombudsman RI Ninik Rahayu</t>
  </si>
  <si>
    <t>Humas Rumah Sakit Abdul Wahab, Syahranie Arysia Andhina***SA (pelaku)</t>
  </si>
  <si>
    <t>i-37-cn</t>
  </si>
  <si>
    <t>i-51-su</t>
  </si>
  <si>
    <t>i-71-li</t>
  </si>
  <si>
    <t>i-95-ko</t>
  </si>
  <si>
    <t>Israel Folau***Morrison</t>
  </si>
  <si>
    <t>i-102-cn</t>
  </si>
  <si>
    <t>i-125-ti</t>
  </si>
  <si>
    <t>Mukri (Kepala Pusat Penerangan Hukum Kejaksaan Agung Republik Indonesia)***Direktur LBH Masyarakat Ricky Gunawan***Mukhanif Yasin (pendiri UKM Peduli Difabel UGM)</t>
  </si>
  <si>
    <t>i-131-tr</t>
  </si>
  <si>
    <t>Menteri Pendayagunaan Aparatur Negara dan Reformasi Birokrasi Tjahjo Kumolo***Kepala Pusat Penerangan Hukum ( Kapuspenkum) Kejaksaan Agung, Mukri</t>
  </si>
  <si>
    <t>i-145-ko</t>
  </si>
  <si>
    <t>Kepala Pusat Penerangan Kejaksaan Agung Mukri***Ninik Rahayu(anggota Ombudsman)</t>
  </si>
  <si>
    <t>i-155-re</t>
  </si>
  <si>
    <t>Menteri Pendayagunaan Aparatur Negara dan Reformasi Birokrasi (PAN-RB) Tjahjo Kumolo</t>
  </si>
  <si>
    <t>pelaku lesbian, gay, biseksual dan transger</t>
  </si>
  <si>
    <t>i-171-li</t>
  </si>
  <si>
    <t>Sekjen PDIP, Hasto Kristiyanto</t>
  </si>
  <si>
    <t>i-183-ko</t>
  </si>
  <si>
    <t>i-80-su</t>
  </si>
  <si>
    <t>Psikolog Saskhya Aulia Prima, M.Psi</t>
  </si>
  <si>
    <t>Direktur Eksekutif Amnesty International Usman Hamid***anggota Ombudsman Ninik Rahayu</t>
  </si>
  <si>
    <t>i-218-tr</t>
  </si>
  <si>
    <t>Komisioner Komnas HAM Beka Ulung Hapsara</t>
  </si>
  <si>
    <t>i-224-te</t>
  </si>
  <si>
    <t>Gabriel Eel(Organisasi Perubahan Sosial Indonesia)*** Kepala Perwakilan Ombudsman Jawa Tengah Siti Farida</t>
  </si>
  <si>
    <t xml:space="preserve"> Miss Universe Myanmar 2019, Swe Zin Htet</t>
  </si>
  <si>
    <t>Lucinta Luna***Gaby Vesta***Rekan Lucinta Luna</t>
  </si>
  <si>
    <t>2***2***-1</t>
  </si>
  <si>
    <t>i-304-su</t>
  </si>
  <si>
    <t>i-309-su</t>
  </si>
  <si>
    <t>Sophia Hutchins</t>
  </si>
  <si>
    <t>i-312-su</t>
  </si>
  <si>
    <t>i-357-de</t>
  </si>
  <si>
    <t>i-268-su</t>
  </si>
  <si>
    <t>p-32-su</t>
  </si>
  <si>
    <t>p-67-su</t>
  </si>
  <si>
    <t>p-82-ok</t>
  </si>
  <si>
    <t>p-102-ti</t>
  </si>
  <si>
    <t>p-103-tr</t>
  </si>
  <si>
    <t>Kapolres Sintang, AKBP Adhe Hariadi***Kasat Reskrim Polresta Pontianak Kompol M Husni Ramli</t>
  </si>
  <si>
    <t>p-113-cn</t>
  </si>
  <si>
    <t>Direktur Perlindungan WNI dan Badan Hukum Indonesia Kementerian Luar Negeri, Joedha Nugraha</t>
  </si>
  <si>
    <t>p-139-su</t>
  </si>
  <si>
    <t>Duta Besar RI untuk Kuwait Tri Tharyat</t>
  </si>
  <si>
    <t>p-161-de</t>
  </si>
  <si>
    <t>Shyam Lal Gyawali(juru bicara kepolisian Kathmandu)***korban</t>
  </si>
  <si>
    <t>p-179-te</t>
  </si>
  <si>
    <t>Andi Priyanto(kepala Polres Cianjur)***Devi Aprilianti(mucikasi)</t>
  </si>
  <si>
    <t>p-286-te</t>
  </si>
  <si>
    <t xml:space="preserve">Vennetia Ryckerens Danes(Deputi Perlindungan Hak Perempuan, Kementerian Pemberdayaan Perempuan dan Perlindungan Anak atau PPPA)***Edy Kuswoyo(VP Public Relations KAI)***Ross Diana Iskandar(Asisten Deputi Pemenuhan Hak dan Perlindungan Perempuan, Kemenko PMK) </t>
  </si>
  <si>
    <t>p-309-su</t>
  </si>
  <si>
    <t>p-332-ko</t>
  </si>
  <si>
    <t>Asep (ketua RT)***LR,43 (korban)</t>
  </si>
  <si>
    <t>pelemparan sperma</t>
  </si>
  <si>
    <t>p-351-su</t>
  </si>
  <si>
    <t>dr Oka Negara(Seksolog)***RF (suami korban)</t>
  </si>
  <si>
    <t>teror sperma***teror pelemparan sperma</t>
  </si>
  <si>
    <t>p-432-re</t>
  </si>
  <si>
    <t>Kapolres Tasikmalaya Kota AKBP Anom Karibianto</t>
  </si>
  <si>
    <t>p-537-ko</t>
  </si>
  <si>
    <t>Kapolres Tasikmalaya Kota AKBP Anom Karibianto***kasat Reskrim Polres Tasikmalaya Kota AKP Dadang Sudiantoro***Kepala Biro Psikologi Solusi Universitas Muhammadiyah Tasikmalaya, Rikha Surtika MPsi</t>
  </si>
  <si>
    <t>pelemparan sperma***begal payudara***pelemparan sperma***pelemparan sperma***pelemparan sperma*** begal payudara***lempar sperma***teror pelemparan sperma</t>
  </si>
  <si>
    <t>p-549-ok</t>
  </si>
  <si>
    <t>AS,16 (tersangka)***Kasat Reskrim Polresta Palembang, Kompol Yon Edi</t>
  </si>
  <si>
    <t>p-554-re</t>
  </si>
  <si>
    <t>p-583-ko</t>
  </si>
  <si>
    <t>Wakil Ketua Lembaga Perlindungan Saksi dan Korban Antonius Priadi S Wibowo</t>
  </si>
  <si>
    <t>p-622-ok</t>
  </si>
  <si>
    <t>Tim Teneyck( operator 911)***Christopher Carver, direktur operasi pusat pengiriman untuk Asosiasi Layanan Nomor Darurat Nasional di AS</t>
  </si>
  <si>
    <t>p-653-te</t>
  </si>
  <si>
    <t>p-707-re</t>
  </si>
  <si>
    <t>Komisioner Komnas Perempuan Maghdalena Sitorus***Komisioner Komnas Perempuan Mariana Amiruddin***Wakil Ketua Komnas Perempuan Budi Wahyuni***Kordinator Forum Pengadu, Veni Siregar</t>
  </si>
  <si>
    <t>p-763-su</t>
  </si>
  <si>
    <t>Digital At-Risk SAFEnet Nenden Sekar Arum***Komisioner Komnas Perempuan Mariana Amiruddin</t>
  </si>
  <si>
    <t>p-1195-ti</t>
  </si>
  <si>
    <t>Muhadjir Darwin(tim perumus draft regulasi)***Atiatul Muqtadir(Ketua Badan Eksekutif Mahasiswa UGM)***Kevin Krissentanu(forum advokasi)***Wakil Rektor Bidang Pendidikan, Pengajaran dan Kemahasiswaan Djagal Wiseso Warseno***Rektor UGM Panut Mulyono***Ketua Senat Akademik UGM Hardyanto Soebono</t>
  </si>
  <si>
    <t>1***0***1***0***0***0</t>
  </si>
  <si>
    <t>p-1359-li</t>
  </si>
  <si>
    <t>Erick tohir (menteri BUMN)***Sri mulyani (menteri keuangan)***Menteri Ketenagakerjaan Ida Fauziyah</t>
  </si>
  <si>
    <t>p-1376-te</t>
  </si>
  <si>
    <t>Erick tohir (menteri BUMN)</t>
  </si>
  <si>
    <t>p-1397-ok</t>
  </si>
  <si>
    <t>p-1468-de</t>
  </si>
  <si>
    <t>p-1225-ko</t>
  </si>
  <si>
    <t>Bambang (53), pemilik toko sepeda</t>
  </si>
  <si>
    <t>p-1516-su</t>
  </si>
  <si>
    <t>Ani Maidarningsih, 51 (Ibu Korban)</t>
  </si>
  <si>
    <t>p-1607-re</t>
  </si>
  <si>
    <t>Kasatreskrim Polresta Bandung AKP Agta***Bahrul Bangsawan (rekan korban)</t>
  </si>
  <si>
    <t>p-1613-su</t>
  </si>
  <si>
    <t>Ketua Badan Eksekutif Mahasiswa Telkom University Yusuf Suguyarto</t>
  </si>
  <si>
    <t>a-9-ok</t>
  </si>
  <si>
    <t>975</t>
  </si>
  <si>
    <t>Mansyur Ahmad (Jamaah Ahmadiyah Indonesia)***Muhammad Ro'in (Dewan Dakwah Islamiyah Indonesia)***pengunjuk rasa***Irman Sugema (Kepolisian Resor Kota Besar Bandung)***Rio Tuasikal (jurnalis)</t>
  </si>
  <si>
    <t>1***0***0***0***0</t>
  </si>
  <si>
    <t>1***-1***-1***0***0</t>
  </si>
  <si>
    <t>a-10-su</t>
  </si>
  <si>
    <t>108</t>
  </si>
  <si>
    <t>pendemo</t>
  </si>
  <si>
    <t>ajaran sesat</t>
  </si>
  <si>
    <t>a-11-su</t>
  </si>
  <si>
    <t>365</t>
  </si>
  <si>
    <t>Halili (SETARA Institute)</t>
  </si>
  <si>
    <t>a-14-ko</t>
  </si>
  <si>
    <t>421</t>
  </si>
  <si>
    <t>Muhammad Isnur (Yayasan Lembaga Bantuan Hukum Indonesia)</t>
  </si>
  <si>
    <t>384</t>
  </si>
  <si>
    <t>Lena Maryana (Komisi I DPR RI)</t>
  </si>
  <si>
    <t>aliran kepercayaan</t>
  </si>
  <si>
    <t>a-33-de</t>
  </si>
  <si>
    <t>641</t>
  </si>
  <si>
    <t>Elaine Pearson (Human Rights Watch)</t>
  </si>
  <si>
    <t>a-35-ko</t>
  </si>
  <si>
    <t>437</t>
  </si>
  <si>
    <t>Usman Hamid (Amnesty International Indonesia)</t>
  </si>
  <si>
    <t>a-37-ko</t>
  </si>
  <si>
    <t>20/01/2019</t>
  </si>
  <si>
    <t>501</t>
  </si>
  <si>
    <t>a-38-li</t>
  </si>
  <si>
    <t>321</t>
  </si>
  <si>
    <t>Haris Azhar (Lokataru Foundation)***Yusril Ihza Mahendra (Kuasa hukum Presiden Jokowi)</t>
  </si>
  <si>
    <t>a-39-te</t>
  </si>
  <si>
    <t>782</t>
  </si>
  <si>
    <t>Peneliti***Ashin Tilokabhivamsa (Biara Ywana Payiyarti)***Thaw Parka (Ma Ba Tha)***Matius J. Walton (peneliti Universitas Oxford)</t>
  </si>
  <si>
    <t>0***-1***1***0</t>
  </si>
  <si>
    <t>0***0***-1***0</t>
  </si>
  <si>
    <t>biksu radikal</t>
  </si>
  <si>
    <t>a-40-tr</t>
  </si>
  <si>
    <t>297</t>
  </si>
  <si>
    <t>Anggara (Institute for Criminal Justice Reform)</t>
  </si>
  <si>
    <t>a-43-cn</t>
  </si>
  <si>
    <t>343</t>
  </si>
  <si>
    <t>250</t>
  </si>
  <si>
    <t>a-59-de</t>
  </si>
  <si>
    <t>260</t>
  </si>
  <si>
    <t>a-67-tr</t>
  </si>
  <si>
    <t>190</t>
  </si>
  <si>
    <t>a-91-te</t>
  </si>
  <si>
    <t>528</t>
  </si>
  <si>
    <t>Para aktivis (Shia Rights Watch)</t>
  </si>
  <si>
    <t>a-129-li</t>
  </si>
  <si>
    <t>388</t>
  </si>
  <si>
    <t>Popong W. Nuraeni (Dinas Kependudukan dan Catatan Sipil)</t>
  </si>
  <si>
    <t>a-140-tr</t>
  </si>
  <si>
    <t>309</t>
  </si>
  <si>
    <t>a-162-de</t>
  </si>
  <si>
    <t>225</t>
  </si>
  <si>
    <t>Budi Santoso (penghayat Sikep Samin)</t>
  </si>
  <si>
    <t>a-171-su</t>
  </si>
  <si>
    <t>Zudan Arif Fakrullah (Dirjen Dukcapil)</t>
  </si>
  <si>
    <t>a-177-ti</t>
  </si>
  <si>
    <t>1441</t>
  </si>
  <si>
    <t>Bonie Nugraha Permana (Presidium Majelis Luhur Kepercayaan Indonesia Kota Bandung)***K. H. Ma'ruf Amin (Majelis Ulama Islam)***Rachmat Subagya (penulis)***Denys Lombard (penulis)***Clifford Geertz (penulis)</t>
  </si>
  <si>
    <t>1***-1***0***0***0</t>
  </si>
  <si>
    <t>a-211-re</t>
  </si>
  <si>
    <t>542</t>
  </si>
  <si>
    <t>a-212-su</t>
  </si>
  <si>
    <t>Romo Prima Novianto</t>
  </si>
  <si>
    <t>a-263-li</t>
  </si>
  <si>
    <t>414</t>
  </si>
  <si>
    <t>Hazrat Mirza Masroor Ahmad (Komunitas Muslim Ahmadiyah Dunia)***Jacinda Ardern (Perdana Menteri New Zealand)</t>
  </si>
  <si>
    <t>a-265-ok</t>
  </si>
  <si>
    <t>575</t>
  </si>
  <si>
    <t>Dian Fajrina (Dosen FKIP Unsyiah)</t>
  </si>
  <si>
    <t>a-343-li</t>
  </si>
  <si>
    <t>433</t>
  </si>
  <si>
    <t>a-350-li</t>
  </si>
  <si>
    <t>1390</t>
  </si>
  <si>
    <t>a-368-re</t>
  </si>
  <si>
    <t>231</t>
  </si>
  <si>
    <t>a-387-li</t>
  </si>
  <si>
    <t>726</t>
  </si>
  <si>
    <t>Isnur (kuasa hukum jamaah Ahmadiyah)***Febionesta (kuasa hukum Ahmadiyah)***Yayan Yuliana (Kepala Satuan Polisi Pamong Praja Kota Bekasi)***Bahrain (YLBHI)***Imadun Rahmat (Komnas HAM)***Susilo Bambang Yudhoyono (Presiden RI ke-6)</t>
  </si>
  <si>
    <t>1***1***-1***1***1***-1</t>
  </si>
  <si>
    <t>a-389-te</t>
  </si>
  <si>
    <t>756</t>
  </si>
  <si>
    <t>Iswanto (Kepala Dusun Karet Desa Pleret Bantul Yogyakarta)***Suharsono (Bupati Bantul)***Slamet Jumiarto (korban diskriminasi)***Agnes Dwi Rusjiyati (Aliansi Nasional Bhinneka Tunggal Ika)</t>
  </si>
  <si>
    <t>0***0***1***1</t>
  </si>
  <si>
    <t>-1***0***0***1</t>
  </si>
  <si>
    <t>aliran kepercayaan***musyrik</t>
  </si>
  <si>
    <t>a-392-te</t>
  </si>
  <si>
    <t>453</t>
  </si>
  <si>
    <t>Gatot Saptadi (sekretaris DIY)</t>
  </si>
  <si>
    <t>a-394-de</t>
  </si>
  <si>
    <t>278</t>
  </si>
  <si>
    <t>a-401-te</t>
  </si>
  <si>
    <t>299</t>
  </si>
  <si>
    <t>a-425-su</t>
  </si>
  <si>
    <t>367</t>
  </si>
  <si>
    <t>a-442-su</t>
  </si>
  <si>
    <t>244</t>
  </si>
  <si>
    <t>Abdul Razzaq Cheema (Jenderal Polisi Quetta)</t>
  </si>
  <si>
    <t>a-444-li</t>
  </si>
  <si>
    <t>a-465-su</t>
  </si>
  <si>
    <t>133</t>
  </si>
  <si>
    <t>a-492-re</t>
  </si>
  <si>
    <t>27/04/2019</t>
  </si>
  <si>
    <t>408</t>
  </si>
  <si>
    <t>Tenzin Dorjee (Komisi AS Bidang Kebebasan Beragama Internasional)***Tlaib (anggota kongres)***Ilham Omar (anggota kongres)</t>
  </si>
  <si>
    <t>563</t>
  </si>
  <si>
    <t>Pihak berwenang Arab Saudi***Mohammed al-Musallam (tahanan)***Munir al-Adam (tahanan)***Nader al-Sweikat (ayah tahanan --&gt; Mujtaba al-Sweikat)***Ali al-Ahmed (Gulf Institute Washington)</t>
  </si>
  <si>
    <t>2***2***2***0***0</t>
  </si>
  <si>
    <t>1***1***1***0***1</t>
  </si>
  <si>
    <t>a-501-ok</t>
  </si>
  <si>
    <t>305</t>
  </si>
  <si>
    <t>Amnesty International***Michelle Bachelet (Komisaris Tinggi PBB)</t>
  </si>
  <si>
    <t>a-508-li</t>
  </si>
  <si>
    <t>876</t>
  </si>
  <si>
    <t>Philippe Nassif (Amnesty International)***Juru Bicara Departemen Luar Negeri***Ali al-Ahmed (Gulf Institute Washington)</t>
  </si>
  <si>
    <t>a-527-su</t>
  </si>
  <si>
    <t>110</t>
  </si>
  <si>
    <t>a-528-te</t>
  </si>
  <si>
    <t>330</t>
  </si>
  <si>
    <t>358</t>
  </si>
  <si>
    <t>a-571-tr</t>
  </si>
  <si>
    <t>295</t>
  </si>
  <si>
    <t>a-577-te</t>
  </si>
  <si>
    <t>410</t>
  </si>
  <si>
    <t>a-579-re</t>
  </si>
  <si>
    <t>553</t>
  </si>
  <si>
    <t>a-588-cn</t>
  </si>
  <si>
    <t>586</t>
  </si>
  <si>
    <t>a-530-de</t>
  </si>
  <si>
    <t>Rafi Gurbanov (wakil kepala Komite Departemen Hubungan Internasional Komite Agama Republik Azerbaijan)</t>
  </si>
  <si>
    <t>a-600-de</t>
  </si>
  <si>
    <t>385</t>
  </si>
  <si>
    <t>Jerry D Gray (warga mualaf)</t>
  </si>
  <si>
    <t>a-615-ko</t>
  </si>
  <si>
    <t>419</t>
  </si>
  <si>
    <t>a-617-ko</t>
  </si>
  <si>
    <t>Edi Sucipto***Marini</t>
  </si>
  <si>
    <t>a-629-ko</t>
  </si>
  <si>
    <t>308</t>
  </si>
  <si>
    <t>a-630-de</t>
  </si>
  <si>
    <t>292</t>
  </si>
  <si>
    <t>K. H. Abubakar Paka (Ketua MUI Gowa)</t>
  </si>
  <si>
    <t>Mahathir Mohamad (Perdana Menteri Malaysia)***India Today</t>
  </si>
  <si>
    <t>a-637-ti</t>
  </si>
  <si>
    <t>754</t>
  </si>
  <si>
    <t>a-643-re</t>
  </si>
  <si>
    <t>Bram Prasetyo (Kepala Bidang Pelayanan Pendaftaran Kependudukan)</t>
  </si>
  <si>
    <t>aliran kepercayaan***aliran kepercayaan***aliran kepercayaan</t>
  </si>
  <si>
    <t>a-660-su</t>
  </si>
  <si>
    <t>259</t>
  </si>
  <si>
    <t>Sabrina (sekretaris Desa Rejosari)***Budi Siswanto (kepala divisi pelayanan Desa Rejosari)</t>
  </si>
  <si>
    <t>a-669-su</t>
  </si>
  <si>
    <t>202</t>
  </si>
  <si>
    <t>a-608-de</t>
  </si>
  <si>
    <t>Sumanto al Qurtuby</t>
  </si>
  <si>
    <t>kelompok syiah***kelompok syiah***kelompok syiah***kelompok syiah***kelompok syiah***kelompok syiah</t>
  </si>
  <si>
    <t>a-673-te</t>
  </si>
  <si>
    <t>397</t>
  </si>
  <si>
    <t>Noor Sudiyati (Majelis Luhur Kepercayaan terhadap Tuhan Yang Maha Esa)***Noviana (Manajer Program Festival Benang Merah)***Chamidah Mardiyanti (koordinator Festival Benang Merah)</t>
  </si>
  <si>
    <t>a-683-ti</t>
  </si>
  <si>
    <t>522</t>
  </si>
  <si>
    <t>Yusuf Martak (Gerakan Nasional Pengawal Fatwa)</t>
  </si>
  <si>
    <t>a-708-de</t>
  </si>
  <si>
    <t>211</t>
  </si>
  <si>
    <t>a-715-li</t>
  </si>
  <si>
    <t>Justin Trudeau (PM Kanada)</t>
  </si>
  <si>
    <t>a-717-ti</t>
  </si>
  <si>
    <t>271</t>
  </si>
  <si>
    <t>a-719-ok</t>
  </si>
  <si>
    <t>377</t>
  </si>
  <si>
    <t>Pangeran Salman</t>
  </si>
  <si>
    <t>a-750-tr</t>
  </si>
  <si>
    <t>a-763-su</t>
  </si>
  <si>
    <t>296</t>
  </si>
  <si>
    <t>Ibrahim Ben Bella Bouty (Ditjen PPMD Kemendes PDTT)***Edi Supriyanto (Anggota Perkumpulan Difabel Sehati Sukoharjo)</t>
  </si>
  <si>
    <t>230</t>
  </si>
  <si>
    <t>a-744-de</t>
  </si>
  <si>
    <t>Samsul Maarif (Sekretaris Program Studi Agama dan Lintas Budaya Universitas Gadjah Mada)***PP Nomor 40 Tahun 2019</t>
  </si>
  <si>
    <t>aliran kepercayaan***aliran kepercayaan***aliran kepercayaan***aliran kepercayaan</t>
  </si>
  <si>
    <t>a-804-te</t>
  </si>
  <si>
    <t>456</t>
  </si>
  <si>
    <t>Imran Khan (Perdana Menteri Pakistan)***Fawad Hussain (Menteri Informasi dan Komunikasi Pakistan)</t>
  </si>
  <si>
    <t>a-815-cn</t>
  </si>
  <si>
    <t>317</t>
  </si>
  <si>
    <t>Majed Abdennour (warga Irak)</t>
  </si>
  <si>
    <t>a-842-de</t>
  </si>
  <si>
    <t>389</t>
  </si>
  <si>
    <t>a-888-te</t>
  </si>
  <si>
    <t>205</t>
  </si>
  <si>
    <t>a-894-ti</t>
  </si>
  <si>
    <t>907</t>
  </si>
  <si>
    <t>d-10-li</t>
  </si>
  <si>
    <t>d-18-ok</t>
  </si>
  <si>
    <t>277</t>
  </si>
  <si>
    <t>d-1307-ok</t>
  </si>
  <si>
    <t>Jokowi***Sandiaga Uno***Ma'ruf Amin</t>
  </si>
  <si>
    <t>d-369-ti</t>
  </si>
  <si>
    <t>425</t>
  </si>
  <si>
    <t>d-989-ko</t>
  </si>
  <si>
    <t>Ace Hasan Syadzily (Jubir tim kampanye Jokowi-Ma'ruf)***Djoko Santoso (BPN)</t>
  </si>
  <si>
    <t>d-1186-de</t>
  </si>
  <si>
    <t>Minah***Dinda</t>
  </si>
  <si>
    <t>d-1036-ti</t>
  </si>
  <si>
    <t>386</t>
  </si>
  <si>
    <t>d-2156-de</t>
  </si>
  <si>
    <t>Iptu TS Margo (Polres Banjanegara)</t>
  </si>
  <si>
    <t>Didi</t>
  </si>
  <si>
    <t>Denny Wahyu Haryanto (Wakil Kepala DPMPTSP Provinsi DKI Jakarta)</t>
  </si>
  <si>
    <t>d-2364-ok</t>
  </si>
  <si>
    <t>253</t>
  </si>
  <si>
    <t>d-2989-ti</t>
  </si>
  <si>
    <t>1227</t>
  </si>
  <si>
    <t>d-3029-ok</t>
  </si>
  <si>
    <t>341</t>
  </si>
  <si>
    <t>d-2423-ti</t>
  </si>
  <si>
    <t>April Syar (Pelaksana Harian PPUA Penyandang Disabilitas)</t>
  </si>
  <si>
    <t>d-3337-ok</t>
  </si>
  <si>
    <t>424</t>
  </si>
  <si>
    <t>d-3485-su</t>
  </si>
  <si>
    <t>257</t>
  </si>
  <si>
    <t>d-3614-ok</t>
  </si>
  <si>
    <t>929</t>
  </si>
  <si>
    <t>Glen Poole (Chief Executive Officer The Australian Men’s Health Forum)</t>
  </si>
  <si>
    <t>d-3822-cn</t>
  </si>
  <si>
    <t>173</t>
  </si>
  <si>
    <t>Kurniawi (Kasat Reskrim Polres OKU Selatan Ajun Komisaris Besar)</t>
  </si>
  <si>
    <t>Robert Kubica (pembalap)***Riccardo Ceccarelli (dokter)***Claire Williams (Williams)</t>
  </si>
  <si>
    <t>keterbatasan fisik</t>
  </si>
  <si>
    <t>d-5044-te</t>
  </si>
  <si>
    <t xml:space="preserve"> Silvia Halim (MRT Jakarta)***petugas keamanan***Juariyah</t>
  </si>
  <si>
    <t>d-5445-cn</t>
  </si>
  <si>
    <t>d-5461-de</t>
  </si>
  <si>
    <t>1455</t>
  </si>
  <si>
    <t>d-5504-re</t>
  </si>
  <si>
    <t>269</t>
  </si>
  <si>
    <t>d-5736-cn</t>
  </si>
  <si>
    <t>251</t>
  </si>
  <si>
    <t>d-6026-li</t>
  </si>
  <si>
    <t>409</t>
  </si>
  <si>
    <t>Donald Santoso (manajer)</t>
  </si>
  <si>
    <t>d-4908-ko</t>
  </si>
  <si>
    <t>Suwondo Kendal M. Wibowo (Humas RSUD)***Suwondo Widiyo Ertanto (Kepala Bidang Pelayanan Keperawatan RSUD)</t>
  </si>
  <si>
    <t>Penderita Gangguan Jiwa***menderita sakit jiwa</t>
  </si>
  <si>
    <t>d-6197-ok</t>
  </si>
  <si>
    <t>457</t>
  </si>
  <si>
    <t>Jesica Tanoesoedibjo (MNC)***Euis (orang tua)</t>
  </si>
  <si>
    <t>d-6237-cn</t>
  </si>
  <si>
    <t>274</t>
  </si>
  <si>
    <t>d-6437-de</t>
  </si>
  <si>
    <t>234</t>
  </si>
  <si>
    <t>Nurdin AR (Kapolsek)</t>
  </si>
  <si>
    <t>tidak waras</t>
  </si>
  <si>
    <t>d-6599-re</t>
  </si>
  <si>
    <t>378</t>
  </si>
  <si>
    <t>d-6848-li</t>
  </si>
  <si>
    <t>302</t>
  </si>
  <si>
    <t>d-7251-ti</t>
  </si>
  <si>
    <t>224</t>
  </si>
  <si>
    <t>d-7622-ko</t>
  </si>
  <si>
    <t>485</t>
  </si>
  <si>
    <t>pasien RSJ***Murjioko (Ketua Pemilu Jebres)***pasien RSJ***pasien RSj</t>
  </si>
  <si>
    <t>2***0***2***2</t>
  </si>
  <si>
    <t>"gangguan jiwa yang diderita"</t>
  </si>
  <si>
    <t>d-8366-ko</t>
  </si>
  <si>
    <t>280</t>
  </si>
  <si>
    <t>Yayat Ahmad Hidayat (Ketua RW)***Iptu Toto Herman Permana (Kapolsek)</t>
  </si>
  <si>
    <t>d-8497-su</t>
  </si>
  <si>
    <t>teman Kellya***Kelly Knox</t>
  </si>
  <si>
    <t>cacat***cacat</t>
  </si>
  <si>
    <t>d-7988-cn</t>
  </si>
  <si>
    <t>Piter Rumander***Yason Krar</t>
  </si>
  <si>
    <t>d-9075-su</t>
  </si>
  <si>
    <t>333</t>
  </si>
  <si>
    <t>d-9213-tr</t>
  </si>
  <si>
    <t>216</t>
  </si>
  <si>
    <t>Abdul Muthaleb (warga)</t>
  </si>
  <si>
    <t>d-9215-cn</t>
  </si>
  <si>
    <t>336</t>
  </si>
  <si>
    <t>d-9354-ok</t>
  </si>
  <si>
    <t>d-9358-re</t>
  </si>
  <si>
    <t>d-9378-ko</t>
  </si>
  <si>
    <t xml:space="preserve">lokasi
</t>
  </si>
  <si>
    <t>Denny Abidin (Singtel)</t>
  </si>
  <si>
    <t>d-9475-re</t>
  </si>
  <si>
    <t>465</t>
  </si>
  <si>
    <t>d-9611-re</t>
  </si>
  <si>
    <t>609</t>
  </si>
  <si>
    <t>d-9953-li</t>
  </si>
  <si>
    <t>Jolenee Marie</t>
  </si>
  <si>
    <t>d-10043-re</t>
  </si>
  <si>
    <t>217</t>
  </si>
  <si>
    <t>Rahmat Bagja (Komisioner Bawaslu)</t>
  </si>
  <si>
    <t>d-10096-te</t>
  </si>
  <si>
    <t>627</t>
  </si>
  <si>
    <t>Muhidin***Sukamto***Haidi Syaifullah</t>
  </si>
  <si>
    <t>d-10433-su</t>
  </si>
  <si>
    <t>228</t>
  </si>
  <si>
    <t>d-10057-de</t>
  </si>
  <si>
    <t>Uwais Kurni (Komunitas Bobotoh Difabel)</t>
  </si>
  <si>
    <t>d-10503-su</t>
  </si>
  <si>
    <t>d-10685-te</t>
  </si>
  <si>
    <t>Rade Bunga***Danu Kastomi</t>
  </si>
  <si>
    <t>d-10809-li</t>
  </si>
  <si>
    <t>393</t>
  </si>
  <si>
    <t>Harry Sukmono (Sekdin Pariwisata)***Drajad Ruswandono (Sekretaris Daerah)</t>
  </si>
  <si>
    <t>d-11123-ko</t>
  </si>
  <si>
    <t>445</t>
  </si>
  <si>
    <t>fan BTS @anOT7girl***@elmariachipt2</t>
  </si>
  <si>
    <t>d-11279-ko</t>
  </si>
  <si>
    <t>374</t>
  </si>
  <si>
    <t>d-11026-li</t>
  </si>
  <si>
    <t>Perry Warjiyo (Gubernur BI)***Vincente***Herdhiyan Saputro***Handayani (Direktur Konsumer BRI)</t>
  </si>
  <si>
    <t>0***2***0***0</t>
  </si>
  <si>
    <t xml:space="preserve">Eko Kristiawan (CSR Pertamina)***Muhammad Sofyan (Yayasan Gerakan Masyarakat Peduli Keluarga Miskin)***Carnoto </t>
  </si>
  <si>
    <t>mempunyai keterbatasan</t>
  </si>
  <si>
    <t>d-11517-re</t>
  </si>
  <si>
    <t>Budi Satria Wiguna (Kapolres Garut AKPB)</t>
  </si>
  <si>
    <t>d-11539-ti</t>
  </si>
  <si>
    <t>506</t>
  </si>
  <si>
    <t>d-11541-tr</t>
  </si>
  <si>
    <t>orang gila***orang gila***orang gila***orang gila</t>
  </si>
  <si>
    <t>218</t>
  </si>
  <si>
    <t>Iptu Prayitno (Kapolsek)</t>
  </si>
  <si>
    <t>d-11834-de</t>
  </si>
  <si>
    <t>1088</t>
  </si>
  <si>
    <t>d-11864-ok</t>
  </si>
  <si>
    <t>469</t>
  </si>
  <si>
    <t>d-11940-li</t>
  </si>
  <si>
    <t>694</t>
  </si>
  <si>
    <t>WHO***Boston Children's Hospital***Asosiasi Alzheimer</t>
  </si>
  <si>
    <t>cacat lahir</t>
  </si>
  <si>
    <t>d-12048-li</t>
  </si>
  <si>
    <t>626</t>
  </si>
  <si>
    <t>d-12050-ok</t>
  </si>
  <si>
    <t>399</t>
  </si>
  <si>
    <t>Erlina (istri korban)***Iptu Jhon Digul Manra (Kasat Reskrim)</t>
  </si>
  <si>
    <t>d-13165-te</t>
  </si>
  <si>
    <t>557</t>
  </si>
  <si>
    <t>Ratih Ibrahim</t>
  </si>
  <si>
    <t>d-13429-re</t>
  </si>
  <si>
    <t>41</t>
  </si>
  <si>
    <t>d-15052-li</t>
  </si>
  <si>
    <t>Imam Nahrawi (Menpora RI)***Anjas Pramono</t>
  </si>
  <si>
    <t>AKBP Andi M. Dicky (Kapolres Bogor Kota)</t>
  </si>
  <si>
    <t>d-14114-su</t>
  </si>
  <si>
    <t>348</t>
  </si>
  <si>
    <t>Suhartono (Yayasan Jamrud Biru)***Encu</t>
  </si>
  <si>
    <t>d-14171-ok</t>
  </si>
  <si>
    <t>d-14224-li</t>
  </si>
  <si>
    <t>34</t>
  </si>
  <si>
    <t>d-12872-tr</t>
  </si>
  <si>
    <t>Shinzo Abe (PM Jepang)***Tamaki (Partai Demokratik Masyarakat)***Kazuo Shii (Partai Komunis)***Hideaki Omura (Gubernur Aichi)***Hiroshi Kitagawa***Yoshihiro Senda (profesor Universitas Nara)</t>
  </si>
  <si>
    <t>-1***1***0***1***1***1</t>
  </si>
  <si>
    <t>d-14643-li</t>
  </si>
  <si>
    <t>551</t>
  </si>
  <si>
    <t>d-15010-de</t>
  </si>
  <si>
    <t>289</t>
  </si>
  <si>
    <t>Busril (PDGI)</t>
  </si>
  <si>
    <t>d-15189-li</t>
  </si>
  <si>
    <t>Tjahjo Kumolo (Mendagri)***Moeldoko (Kepala Staf Kepresidenan)</t>
  </si>
  <si>
    <t>d-17094-su</t>
  </si>
  <si>
    <t>Agus Triadmaja (Kabid Humas Polda Jateng Kombes)***Brigjen Dedi Prasetyo (Humas Mabes Polri)</t>
  </si>
  <si>
    <t>d-15788-re</t>
  </si>
  <si>
    <t>265</t>
  </si>
  <si>
    <t>Lahargo Kembaren</t>
  </si>
  <si>
    <t>d-15792-su</t>
  </si>
  <si>
    <t>619</t>
  </si>
  <si>
    <t>d-16003-de</t>
  </si>
  <si>
    <t>Iptu Nasrullah (Kapolsek Karangbinangun)***Wahyu Norman Hidayat (Kasat Reskrim Polres Lamongan AKP)</t>
  </si>
  <si>
    <t>d-16103-ok</t>
  </si>
  <si>
    <t>Tengku Havid (MNC Peduli)</t>
  </si>
  <si>
    <t>d-16130-cn</t>
  </si>
  <si>
    <t>909</t>
  </si>
  <si>
    <t>d-15725-tr</t>
  </si>
  <si>
    <t>Abdul Salam***Surni (Ketua RT 5)</t>
  </si>
  <si>
    <t>d-16357-ti</t>
  </si>
  <si>
    <t>740</t>
  </si>
  <si>
    <t>d-16459-su</t>
  </si>
  <si>
    <t>232</t>
  </si>
  <si>
    <t>d-16732-ok</t>
  </si>
  <si>
    <t>YS</t>
  </si>
  <si>
    <t>Keterbelakangan Mental***keterbelakangan mental***mengesampingkan ke khilafanya</t>
  </si>
  <si>
    <t>d-16300-te</t>
  </si>
  <si>
    <t xml:space="preserve">Purwanto (Ketua Kelompok Masseur Tunanetra Sabtu Wage)***Triyono </t>
  </si>
  <si>
    <t>d-16863-tr</t>
  </si>
  <si>
    <t>Dian Sastrowardoyo</t>
  </si>
  <si>
    <t>sekarang bersikap normal</t>
  </si>
  <si>
    <t>d-16902-ko</t>
  </si>
  <si>
    <t>164</t>
  </si>
  <si>
    <t>Farhan Shodiq***Bagus***Suryani***Nur***Meyra</t>
  </si>
  <si>
    <t>2***2***2***2***0</t>
  </si>
  <si>
    <t>319</t>
  </si>
  <si>
    <t>Agus Susanto (BPJS)***Krishna Syarif (BPJS)***Hanif Dhakiri (Menteri)</t>
  </si>
  <si>
    <t>d-17084-li</t>
  </si>
  <si>
    <t>d-17181-re</t>
  </si>
  <si>
    <t>475</t>
  </si>
  <si>
    <t>1936</t>
  </si>
  <si>
    <t>Danang Mandala Prihantoro (Corporate Communication Strategic Lion Air Group)</t>
  </si>
  <si>
    <t>d-17358-ti</t>
  </si>
  <si>
    <t>479</t>
  </si>
  <si>
    <t>d-17367-cn</t>
  </si>
  <si>
    <t>d-17410-ok</t>
  </si>
  <si>
    <t>d-17472-li</t>
  </si>
  <si>
    <t>518</t>
  </si>
  <si>
    <t>Anies Baswedan</t>
  </si>
  <si>
    <t>d-17508-ti</t>
  </si>
  <si>
    <t>460</t>
  </si>
  <si>
    <t>gifted and talented children's education act of 1978***Jaringan Psikologi Indonesia***situs Special Needs***Amril Muhammad (pengajar Cugenang Gifted School)***Boy Rahardjo Sidharta dan Patricia Lestari Taslim</t>
  </si>
  <si>
    <t>0***0***0***1***0</t>
  </si>
  <si>
    <t>0***0***1***1***0</t>
  </si>
  <si>
    <t>d-17555-su</t>
  </si>
  <si>
    <t>320</t>
  </si>
  <si>
    <t>Janna (Delta Airlines)***Ashley</t>
  </si>
  <si>
    <t>193</t>
  </si>
  <si>
    <t>Dwi Wahyu Atmaji***Keputusan Presiden Nomor 17 Tahun 2019</t>
  </si>
  <si>
    <t>d-17647-cn</t>
  </si>
  <si>
    <t>427</t>
  </si>
  <si>
    <t>d-17651-de</t>
  </si>
  <si>
    <t>252</t>
  </si>
  <si>
    <t>dr. Andri</t>
  </si>
  <si>
    <t>d-17677-tr</t>
  </si>
  <si>
    <t>136</t>
  </si>
  <si>
    <t>d-17689-de</t>
  </si>
  <si>
    <t>i-211-te</t>
  </si>
  <si>
    <t>Samir Sabri</t>
  </si>
  <si>
    <t>i-53-cn</t>
  </si>
  <si>
    <t>312</t>
  </si>
  <si>
    <t>i-55-ok</t>
  </si>
  <si>
    <t>864</t>
  </si>
  <si>
    <t>i-88-ti</t>
  </si>
  <si>
    <t>493</t>
  </si>
  <si>
    <t>anak Ricky Martin***Hoda Ahmari Tehran</t>
  </si>
  <si>
    <t>i-157-tr</t>
  </si>
  <si>
    <t>199</t>
  </si>
  <si>
    <t xml:space="preserve">LGBT Network***Ramzan Kadyrov***Igor Kochetkov (LGBT Network)***Organisasi untuk Keamanan dan Kerja Sama Eropa (OSCE)***Alvi Kraimov (Jubir Chechnya)***Ruslan
</t>
  </si>
  <si>
    <t>1***0***1***0***0***2</t>
  </si>
  <si>
    <t>1***0***1***0***1***1</t>
  </si>
  <si>
    <t>kaum gay***kaum gay***kaum LGBT***kaum gay***kaum gay</t>
  </si>
  <si>
    <t>i-170-li</t>
  </si>
  <si>
    <t>450</t>
  </si>
  <si>
    <t>i-289-ko</t>
  </si>
  <si>
    <t>Bambang Soesatyo (DPR)</t>
  </si>
  <si>
    <t>i-357-te</t>
  </si>
  <si>
    <t>248</t>
  </si>
  <si>
    <t>Puadi</t>
  </si>
  <si>
    <t>539</t>
  </si>
  <si>
    <t>Maimon Herawati***Dara Nasution (PSI)***BBC***Eunice Atujide***Ayisha Osori***Katherine Twamley</t>
  </si>
  <si>
    <t>-1***1***0***-1***1***0</t>
  </si>
  <si>
    <t>i-367-ok</t>
  </si>
  <si>
    <t>Rahayu Saraswati Djojohadikusumo (DPR)</t>
  </si>
  <si>
    <t>785</t>
  </si>
  <si>
    <t>i-449-te</t>
  </si>
  <si>
    <t>Jazuli Juwaini (PKS)***Komnas Perempuan</t>
  </si>
  <si>
    <t>i-476-ok</t>
  </si>
  <si>
    <t>366</t>
  </si>
  <si>
    <t>dahulu seorang pria</t>
  </si>
  <si>
    <t>i-499-ko</t>
  </si>
  <si>
    <t>226</t>
  </si>
  <si>
    <t>i-500-li</t>
  </si>
  <si>
    <t>Ilhan Omar***diplomat Arab***pendukung***Arab Saudi</t>
  </si>
  <si>
    <t>1***-1***1***-1</t>
  </si>
  <si>
    <t>i-521-de</t>
  </si>
  <si>
    <t>M Romahurmuziy (Ketua Umum PPP)</t>
  </si>
  <si>
    <t>i-536-cn</t>
  </si>
  <si>
    <t>Ferdinandus Setu (Kepala Biro Humas Kemenkominfo)</t>
  </si>
  <si>
    <t>i-580-ok</t>
  </si>
  <si>
    <t>887</t>
  </si>
  <si>
    <t>Argo Yuwono (Polri)***Jupiter Fourtissimo***Widuri Agesty***Fransisca Indrasar</t>
  </si>
  <si>
    <t>menjadi gay***pengakuan gay</t>
  </si>
  <si>
    <t>i-461-de</t>
  </si>
  <si>
    <t>Dony Alexander (Kasubdit II Ditresnarkoba Polda Metro Jaya AKBP)</t>
  </si>
  <si>
    <t>i-714-te</t>
  </si>
  <si>
    <t>Jolene Dawson</t>
  </si>
  <si>
    <t xml:space="preserve"> adalah seorang laki-laki yang mengubah identitasnya menjadi perempuan</t>
  </si>
  <si>
    <t>i-629-de</t>
  </si>
  <si>
    <t>229</t>
  </si>
  <si>
    <t>i-641-li</t>
  </si>
  <si>
    <t>pria yang gemar berpenampilan seperti wanita</t>
  </si>
  <si>
    <t>i-650-tr</t>
  </si>
  <si>
    <t>145</t>
  </si>
  <si>
    <t>Christiano Ronaldo***Javier Tebas</t>
  </si>
  <si>
    <t>i-651-cn</t>
  </si>
  <si>
    <t>Vennetia R Danies (KPPA)</t>
  </si>
  <si>
    <t>i-698-li</t>
  </si>
  <si>
    <t>538</t>
  </si>
  <si>
    <t>dr. Iman Murahman (Kasi Penyakit Menular Dinas Kesehatan Aceh)</t>
  </si>
  <si>
    <t>hubungan seksual antara lelaki sesama lelaki***kaum nabi luth</t>
  </si>
  <si>
    <t>i-728-li</t>
  </si>
  <si>
    <t>KlikDokter</t>
  </si>
  <si>
    <t>771</t>
  </si>
  <si>
    <t>Saras Dewi***Ace Hasan Syadzily (DPR)***Ratna Batara Munti (LBH APIK)</t>
  </si>
  <si>
    <t>i-934-cn</t>
  </si>
  <si>
    <t>Hasan Kleib (Dubes RI)</t>
  </si>
  <si>
    <t>i-942-ok</t>
  </si>
  <si>
    <t>Lucinta Luna***@sirajadamar88***@theshe.arisandi</t>
  </si>
  <si>
    <t>i-949-tr</t>
  </si>
  <si>
    <t>395</t>
  </si>
  <si>
    <t>Cak Imin***M Hanif Dhakiri</t>
  </si>
  <si>
    <t>i-1034-ti</t>
  </si>
  <si>
    <t>Joko Widodo</t>
  </si>
  <si>
    <t>i-1035-cn</t>
  </si>
  <si>
    <t>329</t>
  </si>
  <si>
    <t>Amirsyah Tambunan (MUI)</t>
  </si>
  <si>
    <t>penyimpangan seksual***hubungan seksual yang menyimpang</t>
  </si>
  <si>
    <t>i-1050-tr</t>
  </si>
  <si>
    <t>126</t>
  </si>
  <si>
    <t>akun Twitter @chs**cakes</t>
  </si>
  <si>
    <t>isu transgender yang menerpa</t>
  </si>
  <si>
    <t>i-1052-de</t>
  </si>
  <si>
    <t>301</t>
  </si>
  <si>
    <t>Amirsyah Tambunan (MUI)***Prof Euis Sunarti</t>
  </si>
  <si>
    <t>i-1081-re</t>
  </si>
  <si>
    <t>i-1115-li</t>
  </si>
  <si>
    <t>545</t>
  </si>
  <si>
    <t>George Clooney***Sultan Hassanal Bolkiah***Rachel Chhoa-Howard</t>
  </si>
  <si>
    <t>i-1128-tr</t>
  </si>
  <si>
    <t>227</t>
  </si>
  <si>
    <t>George Clooney***Dustin Lance Black***John Simpson***Sultan Bolkiah</t>
  </si>
  <si>
    <t>0***2***2***0</t>
  </si>
  <si>
    <t>kaum homoseksual</t>
  </si>
  <si>
    <t>i-1166-ti</t>
  </si>
  <si>
    <t>458</t>
  </si>
  <si>
    <t>Elton John***George Clooney***The Guardian</t>
  </si>
  <si>
    <t>hubungan lesbian, gay, biseksual, dan transgender (LGBT)</t>
  </si>
  <si>
    <t>477</t>
  </si>
  <si>
    <t>Hidayat Nur Wahid</t>
  </si>
  <si>
    <t>i-1256-ok</t>
  </si>
  <si>
    <t>403</t>
  </si>
  <si>
    <t>memiliki nama asli Muhammad Fattah</t>
  </si>
  <si>
    <t>236</t>
  </si>
  <si>
    <t>Hotman Paris***Millen Cyrus***Kevin Halim</t>
  </si>
  <si>
    <t>i-1278-ti</t>
  </si>
  <si>
    <t>1635</t>
  </si>
  <si>
    <t>Sultan Hasannal Bolkiah***Kantor Perdana Menteri Brunei***Rachel Chhoa-Howad***Michelle Bachelet***Matthew Woolfe***Dede Oetomo***OutRight Action International***George Clooney***Elton John***Jillian Lauren***Shannon Marketic</t>
  </si>
  <si>
    <t>0***0***1***0***1***2***1***0***2***0***0</t>
  </si>
  <si>
    <t>-1***-1***1***1***1***1***1***1***1***1***0</t>
  </si>
  <si>
    <t>kaum homoseksual*** kaum LGBT*** kaum LGBT*** kaum LGBT</t>
  </si>
  <si>
    <t>i-1307-su</t>
  </si>
  <si>
    <t>360</t>
  </si>
  <si>
    <t xml:space="preserve"> Andre Rosiade (Jubir Prabowo)</t>
  </si>
  <si>
    <t>i-1314-ti</t>
  </si>
  <si>
    <t>1274</t>
  </si>
  <si>
    <t>seorang mahasiswa***Iqbal Harefa***Elvi Sumanti***Mohamad Nasir***Human Rights Watch***Lembaga Bantuan Hukum Masyarakat</t>
  </si>
  <si>
    <t>0***0***0***0***1***1</t>
  </si>
  <si>
    <t>-1***-1***-1***-1***1***1</t>
  </si>
  <si>
    <t>511</t>
  </si>
  <si>
    <t>Hassanal Bolkiah (Sultan Brunei)***Kantor Perdana Menteri***Antonio Guterres (PBB)***George Clooney***Elton John</t>
  </si>
  <si>
    <t>0***0***0***2***2</t>
  </si>
  <si>
    <t>-1***-1***1***1***1</t>
  </si>
  <si>
    <t>hubungan seks sesama pria***hubungan seks sesama jenis***kaum homoseksual</t>
  </si>
  <si>
    <t>i-1400-ti</t>
  </si>
  <si>
    <t>Yosep Adi Prasetyo (Ketua Dewan Pers)</t>
  </si>
  <si>
    <t>i-1468-li</t>
  </si>
  <si>
    <t>979</t>
  </si>
  <si>
    <t>Pete Buttigieg***Frank Bruni***David Axelrod***Andrew Sullivan***Seth Mandel</t>
  </si>
  <si>
    <t>i-1480-de</t>
  </si>
  <si>
    <t>600</t>
  </si>
  <si>
    <t xml:space="preserve">Toni Harmanto (polisi)***Aris Sugianto***Azis Prakoso </t>
  </si>
  <si>
    <t>hubungan sesama jenis</t>
  </si>
  <si>
    <t>i-1499-ok</t>
  </si>
  <si>
    <t>208</t>
  </si>
  <si>
    <t>i-1519-tr</t>
  </si>
  <si>
    <t>261</t>
  </si>
  <si>
    <t>Dadi Sulsel***Yunus</t>
  </si>
  <si>
    <t>i-1527-cn</t>
  </si>
  <si>
    <t>264</t>
  </si>
  <si>
    <t>i-1543-su</t>
  </si>
  <si>
    <t>300</t>
  </si>
  <si>
    <t>Mark Hamilton***Leona O'Neill</t>
  </si>
  <si>
    <t>i-1209-li</t>
  </si>
  <si>
    <t>i-1582-tr</t>
  </si>
  <si>
    <t>129</t>
  </si>
  <si>
    <t>Daily Mirror***laporan penyelidikan</t>
  </si>
  <si>
    <t>ternyata bukan seorang perempuan</t>
  </si>
  <si>
    <t>i-1287-cn</t>
  </si>
  <si>
    <t>Stuart Lewis (Kepala Risiko Deutsche Bank)***Hassanal Bolkiah (Sultan Brunei)***Antonio Guterres (Sekjen PBB)</t>
  </si>
  <si>
    <t>i-1640-te</t>
  </si>
  <si>
    <t>846</t>
  </si>
  <si>
    <t>Rakhmi Marshita***Mohammad Idris***Muda Mahendrawan***Ahmad Yani Basuki (LSF)***Seno Gumira Ajidarma***Garin Nugroho</t>
  </si>
  <si>
    <t>-1***-1***-1***0***1***1</t>
  </si>
  <si>
    <t>i-1648-ti</t>
  </si>
  <si>
    <t>215</t>
  </si>
  <si>
    <t>i-1722-ok</t>
  </si>
  <si>
    <t>476</t>
  </si>
  <si>
    <t>Mahyeldi Ansharullah</t>
  </si>
  <si>
    <t>perilaku penyimpangan seksual</t>
  </si>
  <si>
    <t>i-1725-re</t>
  </si>
  <si>
    <t>Jimmi Syah Putra Ginting (KPID)***Mahyeldi</t>
  </si>
  <si>
    <t>perilaku LGBT***penyimpangan perilaku seksual</t>
  </si>
  <si>
    <t>371</t>
  </si>
  <si>
    <t>27</t>
  </si>
  <si>
    <t>Dwi Hartono (Kapolres)</t>
  </si>
  <si>
    <t>i-1919-tr</t>
  </si>
  <si>
    <t>Heng Yirui***Lee Kuan Yew***Lee Hsien Loong</t>
  </si>
  <si>
    <t>i-1957-ko</t>
  </si>
  <si>
    <t>Rodrigo Duterte (Presiden Filipina)</t>
  </si>
  <si>
    <t>i-2004-re</t>
  </si>
  <si>
    <t>615</t>
  </si>
  <si>
    <t>i-2033-de</t>
  </si>
  <si>
    <t>671</t>
  </si>
  <si>
    <t>WHO</t>
  </si>
  <si>
    <t>i-2034-ko</t>
  </si>
  <si>
    <t>344</t>
  </si>
  <si>
    <t>Agung Iriawan</t>
  </si>
  <si>
    <t>i-2059-cn</t>
  </si>
  <si>
    <t>i-2137-ok</t>
  </si>
  <si>
    <t>447</t>
  </si>
  <si>
    <t>i-2139-su</t>
  </si>
  <si>
    <t>486</t>
  </si>
  <si>
    <t>Sobri Lubis***Yusuf Martak</t>
  </si>
  <si>
    <t>i-2146-cn</t>
  </si>
  <si>
    <t>398</t>
  </si>
  <si>
    <t>Unggul Sagena (SAFENet)***Riska Carolina (Arus Pelangi)</t>
  </si>
  <si>
    <t>Muhammad Haziq Abdul Aziz***Azmin Ali</t>
  </si>
  <si>
    <t>Iptu Androyuan Elim (Kanit Reskrim Polsek Kuta Utara)***I Dewa Putu Gede Anom Danujaya (Kapolsek Kuta Utara, AKP)</t>
  </si>
  <si>
    <t>i-2311-cn</t>
  </si>
  <si>
    <t xml:space="preserve"> Zach Barack***Kevin Feige***Victoria Alonso***Zoha Rahman</t>
  </si>
  <si>
    <t>i-2340-re</t>
  </si>
  <si>
    <t>122</t>
  </si>
  <si>
    <t>i-2422-re</t>
  </si>
  <si>
    <t>50</t>
  </si>
  <si>
    <t>i-2454-tr</t>
  </si>
  <si>
    <t>316</t>
  </si>
  <si>
    <t>warganet***netizen</t>
  </si>
  <si>
    <t>i-2544-re</t>
  </si>
  <si>
    <t>i-2569-re</t>
  </si>
  <si>
    <t>768</t>
  </si>
  <si>
    <t>Maryam Alkhawaja***Garry Kasparov (HRF)***Nicki Minaj***Susanne Koelbl</t>
  </si>
  <si>
    <t>i-2632-tr</t>
  </si>
  <si>
    <t>Hudiyono (Pelaksana Tugas Kepala Dinas Pendidikan Provinsi Jawa Timur)</t>
  </si>
  <si>
    <t>Penyimpangan Perilaku Seksual***penyimpangan perilaku seksual***perilaku seksual menyimpang***perilaku seksual menyimpang</t>
  </si>
  <si>
    <t>i-2635-su</t>
  </si>
  <si>
    <t>Millen Cyrus***Dr. Maddie Deutsch***transcare.ucfs.edu</t>
  </si>
  <si>
    <t>2***0***1</t>
  </si>
  <si>
    <t>i-2643-cn</t>
  </si>
  <si>
    <t>262</t>
  </si>
  <si>
    <t>i-2217-li</t>
  </si>
  <si>
    <t>Oliver Hough***Letitia James (Jaksa Agung New York)</t>
  </si>
  <si>
    <t>i-2739-de</t>
  </si>
  <si>
    <t>i-2765-li</t>
  </si>
  <si>
    <t>Valentina Sampaio***Erio Zanon***Lais Ribeiro***Ed Razek</t>
  </si>
  <si>
    <t>1***0***1***0</t>
  </si>
  <si>
    <t>i-2787-su</t>
  </si>
  <si>
    <t>@papah_edwan***Terrence Higgins Trust</t>
  </si>
  <si>
    <t>pria yang melakukan transgender***pria lalu melakukan transgender</t>
  </si>
  <si>
    <t>i-2815-ko</t>
  </si>
  <si>
    <t>118</t>
  </si>
  <si>
    <t>Efendri Ali***Ery Syahrial***Ucok Lasdin Silalahi</t>
  </si>
  <si>
    <t>0***-1***0</t>
  </si>
  <si>
    <t>i-2852-cn</t>
  </si>
  <si>
    <t>Indonesia Indicator</t>
  </si>
  <si>
    <t>i-2772-de</t>
  </si>
  <si>
    <t>Lucinta Luna***Dira</t>
  </si>
  <si>
    <t>i-2870-li</t>
  </si>
  <si>
    <t>176</t>
  </si>
  <si>
    <t>Dena Rachman</t>
  </si>
  <si>
    <t>i-2884-tr</t>
  </si>
  <si>
    <t>168</t>
  </si>
  <si>
    <t>Lucinta Luna***Ria Ricis</t>
  </si>
  <si>
    <t>wanita "jadi-jadian" alias transgender</t>
  </si>
  <si>
    <t>i-2955-tr</t>
  </si>
  <si>
    <t>161</t>
  </si>
  <si>
    <t>britannica.com***Gordon Brown***thesun.co.uk***Dr Mirzakhmet Zhanadilov***Gulnara Aytnzhanova</t>
  </si>
  <si>
    <t>i-2966-ti</t>
  </si>
  <si>
    <t>i-2978-ko</t>
  </si>
  <si>
    <t>380</t>
  </si>
  <si>
    <t>Nasir Djamil (DPR Fraksi PKS)***Enny Nurbaningsih</t>
  </si>
  <si>
    <t>perzinaan sesama jenis***zina sesama jenis</t>
  </si>
  <si>
    <t>i-2982-re</t>
  </si>
  <si>
    <t>98</t>
  </si>
  <si>
    <t>Andrea Ganna***Benjamin Neale</t>
  </si>
  <si>
    <t>perilaku seksual sesama jenis</t>
  </si>
  <si>
    <t>i-3005-tr</t>
  </si>
  <si>
    <t>156</t>
  </si>
  <si>
    <t>i-3030-ok</t>
  </si>
  <si>
    <t>Titi Pudji</t>
  </si>
  <si>
    <t>i-3044-cn</t>
  </si>
  <si>
    <t>514</t>
  </si>
  <si>
    <t>276</t>
  </si>
  <si>
    <t>Arisandi (Polda Jatim)***Arman Asmara Syarifuddin (Polda Jatim)***Frans Barung (Kombes)</t>
  </si>
  <si>
    <t>p-434-su</t>
  </si>
  <si>
    <t>Harissandi (Polda Jatim)***Arman Asmara (Polda)</t>
  </si>
  <si>
    <t>model majalah dewasa***kerap membagikan foto seksi yang menonjolkan bagian payudaranya</t>
  </si>
  <si>
    <t>p-780-ok</t>
  </si>
  <si>
    <t>315</t>
  </si>
  <si>
    <t>Luki Hermawan (Polda)***Vanessa Angel</t>
  </si>
  <si>
    <t>asyik bercumbu</t>
  </si>
  <si>
    <t>p-1115-tr</t>
  </si>
  <si>
    <t>AKBP Harissandi***Reza Indragiri***Eva Ahyani Djulfa</t>
  </si>
  <si>
    <t>pelacur***pelacur</t>
  </si>
  <si>
    <t>p-2463-su</t>
  </si>
  <si>
    <t>204</t>
  </si>
  <si>
    <t>p-3047-ko</t>
  </si>
  <si>
    <t>Milano***Vanessa Angel***Frans Barung</t>
  </si>
  <si>
    <t>p-3087-ok</t>
  </si>
  <si>
    <t>258</t>
  </si>
  <si>
    <t>Milano Lubis</t>
  </si>
  <si>
    <t>p-4599-ti</t>
  </si>
  <si>
    <t>484</t>
  </si>
  <si>
    <t>Naila Rizki Zakiyah</t>
  </si>
  <si>
    <t>p-4777-ko</t>
  </si>
  <si>
    <t>p-4781-li</t>
  </si>
  <si>
    <t>125</t>
  </si>
  <si>
    <t>Afner Juwono (Kapolres)</t>
  </si>
  <si>
    <t>p-4863-tr</t>
  </si>
  <si>
    <t>111</t>
  </si>
  <si>
    <t>Afner Juwono</t>
  </si>
  <si>
    <t>p-5005-su</t>
  </si>
  <si>
    <t>628</t>
  </si>
  <si>
    <t>pria hidung belang***pria hidung belang kelas kakap***foto seksi dan video vulgar*** wanita panggilan</t>
  </si>
  <si>
    <t>p-5082-de</t>
  </si>
  <si>
    <t>364</t>
  </si>
  <si>
    <t>Anwar Haidar (Kapolres)***Damus Asa (Polres)</t>
  </si>
  <si>
    <t>p-5337-cn</t>
  </si>
  <si>
    <t>314</t>
  </si>
  <si>
    <t>p-5352-de</t>
  </si>
  <si>
    <t>p-5763-cn</t>
  </si>
  <si>
    <t>p-5822-ok</t>
  </si>
  <si>
    <t>p-5827-su</t>
  </si>
  <si>
    <t>Iptu Khairunnas (Polres)</t>
  </si>
  <si>
    <t>pria hidung belang</t>
  </si>
  <si>
    <t>p-5957-ti</t>
  </si>
  <si>
    <t>1217</t>
  </si>
  <si>
    <t>Military Psychology: Concepts, Trends and Interventions***Perpetrators: The World of the Holocaust Killers***Disobedience and Conspiracy in the German Army, 1918–1945***Gary Sheffield***buku panduan militer Jerman</t>
  </si>
  <si>
    <t>p-6135-ti</t>
  </si>
  <si>
    <t>525</t>
  </si>
  <si>
    <t>Zahwani Pandra Arsyad (Polri)</t>
  </si>
  <si>
    <t>p-6198-te</t>
  </si>
  <si>
    <t>91</t>
  </si>
  <si>
    <t>Frans Barung Mangera</t>
  </si>
  <si>
    <t>p-6224-ok</t>
  </si>
  <si>
    <t>347</t>
  </si>
  <si>
    <t>Puas Fransiskus***Theodore McCarrick</t>
  </si>
  <si>
    <t>284</t>
  </si>
  <si>
    <t>Alessandro Gisotti</t>
  </si>
  <si>
    <t>p-6318-cn</t>
  </si>
  <si>
    <t>452</t>
  </si>
  <si>
    <t>Ade Armando (KPKS)***Haris Azhar</t>
  </si>
  <si>
    <t>perbuatan asusila***perbuatan tercela dalam bentuk perbuatan maksiat dan pelanggaran agama dan kesusilaan***pencabulan</t>
  </si>
  <si>
    <t>p-6430-de</t>
  </si>
  <si>
    <t>Rahmat Santoso</t>
  </si>
  <si>
    <t>p-6466-te</t>
  </si>
  <si>
    <t>Have No Fear***juru bicara Vatican***perempuan ini mengalami pelecehan seksual</t>
  </si>
  <si>
    <t>p-6828-li</t>
  </si>
  <si>
    <t>530</t>
  </si>
  <si>
    <t>Iptu Fathur Rohman (Polri)</t>
  </si>
  <si>
    <t>pencabulan***mencabulinya***perbuatan cabul</t>
  </si>
  <si>
    <t>p-6875-de</t>
  </si>
  <si>
    <t>294</t>
  </si>
  <si>
    <t>Arya Perdana (Kapolresta)</t>
  </si>
  <si>
    <t>p-7104-ti</t>
  </si>
  <si>
    <t>602</t>
  </si>
  <si>
    <t>Togar SM Sijabat***Heribertus S Hartojo</t>
  </si>
  <si>
    <t>p-7287-li</t>
  </si>
  <si>
    <t>Jefrison Riwu Kore (Walli Kota Kupang)</t>
  </si>
  <si>
    <t>361</t>
  </si>
  <si>
    <t>Reuters***africanews.com***saksi***laporan tim investigasi PBB</t>
  </si>
  <si>
    <t>p-7589-ko</t>
  </si>
  <si>
    <t>239</t>
  </si>
  <si>
    <t>polisi***Biro Catatan Kriminal Nasional</t>
  </si>
  <si>
    <t>p-7658-tr</t>
  </si>
  <si>
    <t>157</t>
  </si>
  <si>
    <t>Soompi</t>
  </si>
  <si>
    <t>p-7676-ko</t>
  </si>
  <si>
    <t>Bernard***Leo Yudhantara (Lurah Kebagusan)</t>
  </si>
  <si>
    <t>p-7773-ok</t>
  </si>
  <si>
    <t>307</t>
  </si>
  <si>
    <t>The Age</t>
  </si>
  <si>
    <t>p-8071-te</t>
  </si>
  <si>
    <t>370</t>
  </si>
  <si>
    <t>Jeanny Silvia Sari Sirait (LBH)***korban***korban lain</t>
  </si>
  <si>
    <t>1***2***2</t>
  </si>
  <si>
    <t>p-8096-cn</t>
  </si>
  <si>
    <t>492</t>
  </si>
  <si>
    <t>Franky Desima Waruwu (kuasa hukum)***Richard Marpaung***Aga Khan</t>
  </si>
  <si>
    <t>p-8121-li</t>
  </si>
  <si>
    <t>352</t>
  </si>
  <si>
    <t>Sri Rahayu***Franky Waruwu***Farida Hariani***Yafet Kurniawan</t>
  </si>
  <si>
    <t>p-8199-ko</t>
  </si>
  <si>
    <t>Pol Supriadi (polisi)</t>
  </si>
  <si>
    <t>p-8262-cn</t>
  </si>
  <si>
    <t>254</t>
  </si>
  <si>
    <t>p-8287-ko</t>
  </si>
  <si>
    <t>282</t>
  </si>
  <si>
    <t>Pol Supriadi***Arisman Manai***Anugrah</t>
  </si>
  <si>
    <t>p-8333-tr</t>
  </si>
  <si>
    <t>175</t>
  </si>
  <si>
    <t>Pol Supriadi***Arisman Manai</t>
  </si>
  <si>
    <t>p-8378-re</t>
  </si>
  <si>
    <t>617</t>
  </si>
  <si>
    <t>Walid al-Hathloul</t>
  </si>
  <si>
    <t>p-8493-tr</t>
  </si>
  <si>
    <t>212</t>
  </si>
  <si>
    <t>Nicky Tirta</t>
  </si>
  <si>
    <t>p-8506-cn</t>
  </si>
  <si>
    <t>Anne Barrett Doyle</t>
  </si>
  <si>
    <t>p-8801-cn</t>
  </si>
  <si>
    <t>426</t>
  </si>
  <si>
    <t>Mitch Fifield***Digital Industry Group Inc***Digital Right Watch***Agung Porter (jaksa)</t>
  </si>
  <si>
    <t>160</t>
  </si>
  <si>
    <t>Ferry Paulus</t>
  </si>
  <si>
    <t>p-9088-ko</t>
  </si>
  <si>
    <t>Tim Reaksi Cepat P2TP2A***Indratmoko (Polrestabes)</t>
  </si>
  <si>
    <t>pencabulan***pencabulan</t>
  </si>
  <si>
    <t>p-8754-de</t>
  </si>
  <si>
    <t>Suhartanto (Kapolsek Tempurejo AKP)</t>
  </si>
  <si>
    <t>cabul***cabuli***mencabuli***pencabulan***perbuatan asusila***Aksi tidak bermoral</t>
  </si>
  <si>
    <t>p-9331-tr</t>
  </si>
  <si>
    <t>116</t>
  </si>
  <si>
    <t>Bibi Ardiansyah***netter***Milano Lubis</t>
  </si>
  <si>
    <t>p-9553-te</t>
  </si>
  <si>
    <t>328</t>
  </si>
  <si>
    <t>aljazeera.com***Ranjan Gogoi</t>
  </si>
  <si>
    <t>Azriana Manalu (Komnas Perempuan)</t>
  </si>
  <si>
    <t>p-9716-te</t>
  </si>
  <si>
    <t>Edy Kuswoyo (KAI)***@xrybqby</t>
  </si>
  <si>
    <t>p-9337-ko</t>
  </si>
  <si>
    <t>Arm Sarkistan Sihaloho (Kepala Penerangan Kodam XVI Pattimura Kolonel)***Julkisno Kaisupy (Humas Polri)</t>
  </si>
  <si>
    <t>berkencan***mengencani***mengencani***pria hidung belang</t>
  </si>
  <si>
    <t>p-9801-tr</t>
  </si>
  <si>
    <t>213</t>
  </si>
  <si>
    <t>Tribun Pekanbaru***Sanny Handityo</t>
  </si>
  <si>
    <t>pencabulan***dicabuli</t>
  </si>
  <si>
    <t>p-10207-tr</t>
  </si>
  <si>
    <t>Face2Face Afrika***Cathy</t>
  </si>
  <si>
    <t>p-10001-te</t>
  </si>
  <si>
    <t>222</t>
  </si>
  <si>
    <t>Hotman Paris***netizen</t>
  </si>
  <si>
    <t>p-10130-de</t>
  </si>
  <si>
    <t>Vanessa Angel***Milano Lubis</t>
  </si>
  <si>
    <t>p-10149-ti</t>
  </si>
  <si>
    <t>327</t>
  </si>
  <si>
    <t>Arira (KANPI)</t>
  </si>
  <si>
    <t>p-10236-ok</t>
  </si>
  <si>
    <t>p-10237-re</t>
  </si>
  <si>
    <t>Sultan Hassanal Bolkiah***Erywan Pehin Yusof (Menlu Brunei)***Paula Gerber (Pusat Hukum Hak Asasi Manusia Castan)***Ellen DeGeneres***Economist Intelligence Unit***Amnesty International***Kerstin Steiner</t>
  </si>
  <si>
    <t>0***0***1***2***0***1***0</t>
  </si>
  <si>
    <t>-1***-1***1***1***0***0***0</t>
  </si>
  <si>
    <t>pria yang berhubungan seks dengan pria lain</t>
  </si>
  <si>
    <t>p-10253-ti</t>
  </si>
  <si>
    <t>925</t>
  </si>
  <si>
    <t>p-10333-de</t>
  </si>
  <si>
    <t>Ferry Paulus (CEO Persija)***Silvio Escobar</t>
  </si>
  <si>
    <t>p-10345-su</t>
  </si>
  <si>
    <t>249</t>
  </si>
  <si>
    <t>p-10480-te</t>
  </si>
  <si>
    <t>550</t>
  </si>
  <si>
    <t>Milano Lubis***Heru Andeska***Dedhi Chrisdianto***Harissandi***Akhmad Yusep Gunawan</t>
  </si>
  <si>
    <t>1***1***0***0***0</t>
  </si>
  <si>
    <t>p-10594-ko</t>
  </si>
  <si>
    <t>267</t>
  </si>
  <si>
    <t>Jagdish Prasad (polisi)</t>
  </si>
  <si>
    <t>p-11075-cn</t>
  </si>
  <si>
    <t>303</t>
  </si>
  <si>
    <t>Novoletto</t>
  </si>
  <si>
    <t>p-11326-re</t>
  </si>
  <si>
    <t>Neymar Jr***Flavia Cristina Merlini (jaksa penuntut)</t>
  </si>
  <si>
    <t>p-11298-ti</t>
  </si>
  <si>
    <t>1018</t>
  </si>
  <si>
    <t>Eno***Maulida Octaviani***Nyoman***JJ Rizal***Salviadona Tri Partita***Yurgen Sutarno***Bonar Tigor Naipospos</t>
  </si>
  <si>
    <t>0***0***2***0***0***0***0</t>
  </si>
  <si>
    <t>0***0***1***1***-1***1***0</t>
  </si>
  <si>
    <t>p-11342-ti</t>
  </si>
  <si>
    <t>Aljazeera***Misa Iwata***Reuters***Miku Yokoyama***Tomoko Murata***Chihiro Ito</t>
  </si>
  <si>
    <t>0***2***0***0***0***2</t>
  </si>
  <si>
    <t>0***1***0***1***1***1</t>
  </si>
  <si>
    <t>p-11474-li</t>
  </si>
  <si>
    <t>Josep Vives</t>
  </si>
  <si>
    <t>p-11526-ok</t>
  </si>
  <si>
    <t>Mami Ayu***Fajar Purwoto</t>
  </si>
  <si>
    <t>esek-esek***kaus warna merah yang membalut tubuhnya***Tutur bahasanya juga renyah***Senyum selalu menghias di bibirnya yang dipoles dengan lipstik warna merah***jasa kenikmatan sesaat***esek-esek</t>
  </si>
  <si>
    <t>p-11573-li</t>
  </si>
  <si>
    <t>434</t>
  </si>
  <si>
    <t>penyelidik***The Straits Times***pihak berwenang***polisi</t>
  </si>
  <si>
    <t>382</t>
  </si>
  <si>
    <t>Asif Saeed Khosa***Komisi Hak Asasi Manusia Pakistan***Thomson Reuters Foundation***Mansoor Ali Shah***Romana Bashir (Yayasan Perdamaian dan Pembangunan)</t>
  </si>
  <si>
    <t>0***1***0***0***1</t>
  </si>
  <si>
    <t>1***0***0***0***1</t>
  </si>
  <si>
    <t>p-11680-ok</t>
  </si>
  <si>
    <t>Aurelie Moeremans***Roby Tremonti</t>
  </si>
  <si>
    <t>p-11695-ti</t>
  </si>
  <si>
    <t>1013</t>
  </si>
  <si>
    <t>Suwarni Pringgodigdo***Amelia Fauzia***Maria Ulfah***Hasim Adnan***Elizabeth Martyn***Barbara Hatley dan Susan Blackburn***Saskia Wieringa</t>
  </si>
  <si>
    <t>1***0***1***0***0***0***0</t>
  </si>
  <si>
    <t>1***0***0***1***0***0***0</t>
  </si>
  <si>
    <t>p-11943-tr</t>
  </si>
  <si>
    <t>AKP Faruq Rozi (Kasat Reskrim Polres Pelabuhan Tanjung Priok)</t>
  </si>
  <si>
    <t>p-11958-ko</t>
  </si>
  <si>
    <t>220</t>
  </si>
  <si>
    <t>p-11973-tr</t>
  </si>
  <si>
    <t>132</t>
  </si>
  <si>
    <t>Warta Kota***Nia Ramadhani***Saipul Jamil</t>
  </si>
  <si>
    <t>p-12281-tr</t>
  </si>
  <si>
    <t>Jokowi***Andi Samsan Nganro (Jubir Hakim Agung)***Joko Jumadi (Kuasa Hukum Baiq Nuril)</t>
  </si>
  <si>
    <t>muatan asusila***tindak asusila</t>
  </si>
  <si>
    <t>p-12332-te</t>
  </si>
  <si>
    <t>346</t>
  </si>
  <si>
    <t>Rudy Lombok (Paku ITE)</t>
  </si>
  <si>
    <t>p-12337-ti</t>
  </si>
  <si>
    <t>287</t>
  </si>
  <si>
    <t>Mutiara Ika (Perempuan Pekerja)</t>
  </si>
  <si>
    <t>p-12490-tr</t>
  </si>
  <si>
    <t>240</t>
  </si>
  <si>
    <t>Andi Samsan Nganro (Jubir MA Hakim Agung)***Yasonna Laoly (Menkumham)***HM Prasetyo (Jaksa Agung)</t>
  </si>
  <si>
    <t>p-12862-de</t>
  </si>
  <si>
    <t>182</t>
  </si>
  <si>
    <t>Bambang Purnomo (Polres Tegal)</t>
  </si>
  <si>
    <t>sodomi***disodomi</t>
  </si>
  <si>
    <t>p-13012-ko</t>
  </si>
  <si>
    <t>p-13178-ko</t>
  </si>
  <si>
    <t>Suaidi Yahya (Wali Kota Lhokseumawe)</t>
  </si>
  <si>
    <t>p-14277-ok</t>
  </si>
  <si>
    <t>Cupi Cupita</t>
  </si>
  <si>
    <t>pria-pria hidung belang</t>
  </si>
  <si>
    <t>p-12316-re</t>
  </si>
  <si>
    <t>Mutiara Ika (Sekretaris Nasional Perempuan Mahardika)***Abdullah (Ketua Bidang Hukum dan Humas MA)</t>
  </si>
  <si>
    <t>mengaku mendapat pelecehan</t>
  </si>
  <si>
    <t>p-13502-cn</t>
  </si>
  <si>
    <t>449</t>
  </si>
  <si>
    <t>Charles Honoris (DPR)***Satya Yudha (DPR)</t>
  </si>
  <si>
    <t>p-12365-re</t>
  </si>
  <si>
    <t>p-13661-li</t>
  </si>
  <si>
    <t>606</t>
  </si>
  <si>
    <t>Presiden AS Donald Trump***New York Times***Washington Post***CNN***NBC</t>
  </si>
  <si>
    <t>p-13924-ti</t>
  </si>
  <si>
    <t>Sri Nurherwati (Komnas Perempuan)</t>
  </si>
  <si>
    <t>p-14005-su</t>
  </si>
  <si>
    <t>356</t>
  </si>
  <si>
    <t>Suhendro (Kapolres)</t>
  </si>
  <si>
    <t>p-14035-cn</t>
  </si>
  <si>
    <t>Sunnaya Nash***Ariana Grande***Stephanie Otway (Instagram)***Sara ZIff (Model Alliance)***Tony Iu dan Lindsey Schuyler (Diet Prada)***Instagram</t>
  </si>
  <si>
    <t>2***0***0***1***0***0</t>
  </si>
  <si>
    <t>0***0***1***1***1***1</t>
  </si>
  <si>
    <t>p-14050-su</t>
  </si>
  <si>
    <t>@askmenfess***@Hardi23146421***@_bilbill***@kusuma_denti***HanaAlifaS</t>
  </si>
  <si>
    <t>p-14409-tr</t>
  </si>
  <si>
    <t>178</t>
  </si>
  <si>
    <t>polisi***Lisa</t>
  </si>
  <si>
    <t>p-15940-ti</t>
  </si>
  <si>
    <t>Yohana Susana Yembise (Menteri Pemberdayaan Perempuan dan Perlindungan Anak (PPPA))***Asfinawati (Direktur YLBHI)***Anggara Suwahju (Direktur Eksekutif Institute For Criminal Justice Reform (ICJR))***Mamik Sri Supatmi (Kriminolog Universitas Indonesia)</t>
  </si>
  <si>
    <t>1***1***0***0</t>
  </si>
  <si>
    <t>0***1***1***1</t>
  </si>
  <si>
    <t>p-15184-ti</t>
  </si>
  <si>
    <t>882</t>
  </si>
  <si>
    <t>268</t>
  </si>
  <si>
    <t>Google</t>
  </si>
  <si>
    <t>Hasto Atmojo (LPSK)***Noor Sidharta (LPSK)</t>
  </si>
  <si>
    <t>p-15598-ko</t>
  </si>
  <si>
    <t>286</t>
  </si>
  <si>
    <t>Ratna Batara Munti (Koordinator Jaringan Kerja Prolegnas Pro Perempuan)</t>
  </si>
  <si>
    <t>p-14412-li</t>
  </si>
  <si>
    <t>Patroli Indosiar</t>
  </si>
  <si>
    <t>p-15954-tr</t>
  </si>
  <si>
    <t>Poppy Kelly***Nikita Mirzani</t>
  </si>
  <si>
    <t>Doddy Soedrajat</t>
  </si>
  <si>
    <t>p-16008-cn</t>
  </si>
  <si>
    <t>245</t>
  </si>
  <si>
    <t>AS</t>
  </si>
  <si>
    <t>p-16118-ok</t>
  </si>
  <si>
    <t>Dodi Sudrajat</t>
  </si>
  <si>
    <t>pose seksi***mempertontonkan tubuh seksinya</t>
  </si>
  <si>
    <t>p-16164-ko</t>
  </si>
  <si>
    <t>Ace Hasan Syadzily (DPR)***Aziz Syamsuddin (DPR)</t>
  </si>
  <si>
    <t>p-16236-de</t>
  </si>
  <si>
    <t>349</t>
  </si>
  <si>
    <t>Jazuli Juwaini (PKS)***Bambang Soesatyo (DPR)</t>
  </si>
  <si>
    <t>a-11-ko</t>
  </si>
  <si>
    <t>a-15-te</t>
  </si>
  <si>
    <t>Alaraby.co.uk***Departemen Keuangan AS</t>
  </si>
  <si>
    <t>a-24-cn</t>
  </si>
  <si>
    <t>Amelia (Imparsial)***Imparsial***Erwin Natosmal Oemar (ILR)</t>
  </si>
  <si>
    <t>a-29-ko</t>
  </si>
  <si>
    <t>Suharsono (Bupati Bantul)***Muhammad Irwan Susanto (Kepala Desa)***Utiek</t>
  </si>
  <si>
    <t>a-37-li</t>
  </si>
  <si>
    <t>Sumber keamanan dan medis***Sumber rumah sakit lokal***New Strait Times***Human Rights Watch</t>
  </si>
  <si>
    <t>a-49-re</t>
  </si>
  <si>
    <t>a-65-ko</t>
  </si>
  <si>
    <t>Juliari Peter Batubara (Menteri Sosial)***Hudiyono (Plt Kepala Biro Kesejahteraan Sosial Pemprov Jawa Timur)</t>
  </si>
  <si>
    <t>dianggap sesat</t>
  </si>
  <si>
    <t>a-74-cn</t>
  </si>
  <si>
    <t>Maram Uday***Hashem***Crush***Taleb</t>
  </si>
  <si>
    <t>a-83-tr</t>
  </si>
  <si>
    <t>Mahfud MD (Menko Polhukam)</t>
  </si>
  <si>
    <t>a-84-ko</t>
  </si>
  <si>
    <t>a-98-su</t>
  </si>
  <si>
    <t>YouTube FORKOM FORUM KOMUNIKASI ALAWIYYIN INDONESIA***Haddad Alwi***Guntur Romli***Ustadz Hikmat***Wisnu Prabowo (Kapolres Sukabumi Kota AKBP)</t>
  </si>
  <si>
    <t>1***2***0***0***0</t>
  </si>
  <si>
    <t>0***0***1***0***0</t>
  </si>
  <si>
    <t>a-114-tr</t>
  </si>
  <si>
    <t>Diaz Hendropriiyono (Ketum PKP Indonesia)***Presiden Joko Widodo</t>
  </si>
  <si>
    <t>a-121-ti</t>
  </si>
  <si>
    <t>a-134-re</t>
  </si>
  <si>
    <t>Abbas Mousavi (juru bicara Kementerian Luar Negeri Iran)</t>
  </si>
  <si>
    <t>a-142-ok</t>
  </si>
  <si>
    <t>Reporter Associated Press</t>
  </si>
  <si>
    <t>Mayo Clinic***Health Line</t>
  </si>
  <si>
    <t>d-177-cn</t>
  </si>
  <si>
    <t>d-192-ko</t>
  </si>
  <si>
    <t>Gina Anindyajati</t>
  </si>
  <si>
    <t>kelainan sifat yang berbeda dengan bocah seusianya***memiliki kebutuhan yang lebih dari anak normal</t>
  </si>
  <si>
    <t>Chand Kelvin***Mintarsih A. Latief</t>
  </si>
  <si>
    <t>d-209-re</t>
  </si>
  <si>
    <t>d-215-te</t>
  </si>
  <si>
    <t>Sri Melati (MDVI Dwi Tuna Harapan Baru)***Heru Ramdani (Guru Sekolah Luar Biasa Pembina)</t>
  </si>
  <si>
    <t>d-238-ko</t>
  </si>
  <si>
    <t>jurnal Development***Dr Rui Diogo***Dr Sergio Almécija</t>
  </si>
  <si>
    <t>d-267-ti</t>
  </si>
  <si>
    <t>d-316-li</t>
  </si>
  <si>
    <t>d-319-ok</t>
  </si>
  <si>
    <t>390</t>
  </si>
  <si>
    <t>Sistem Registrasi Sampel***World Health Organization***dr. Agung Frijanto Sp-KJ</t>
  </si>
  <si>
    <t>d-488-ok</t>
  </si>
  <si>
    <t>Edy (Kapolsek)***Robianto (Kalapas)</t>
  </si>
  <si>
    <t>d-547-de</t>
  </si>
  <si>
    <t xml:space="preserve">YLBHI </t>
  </si>
  <si>
    <t>d-724-ti</t>
  </si>
  <si>
    <t>Bawaslu</t>
  </si>
  <si>
    <t>d-781-ko</t>
  </si>
  <si>
    <t>Ongko Gradiarso Sukahar (Kasat Reskrim Polres Cilacap AKP)</t>
  </si>
  <si>
    <t>d-845-ti</t>
  </si>
  <si>
    <t>Kemnaker***BPN</t>
  </si>
  <si>
    <t>Syamsul Anwar***Joko Kristiyanto***Asrul Hasan***Sukaesih***Andre Soelistyo***Kevin Aluwi</t>
  </si>
  <si>
    <t>0***0***2***0***0***0</t>
  </si>
  <si>
    <t>Sajidan (UNS)***Senny Marbun (NPC)</t>
  </si>
  <si>
    <t>d-996-de</t>
  </si>
  <si>
    <t>DIan Sastrowadoyo</t>
  </si>
  <si>
    <t>d-1339-te</t>
  </si>
  <si>
    <t>Heba Morayef (Amnesty International)</t>
  </si>
  <si>
    <t>d-1373-de</t>
  </si>
  <si>
    <t>d-1424-tr</t>
  </si>
  <si>
    <t>d-2220-te</t>
  </si>
  <si>
    <t>Toni Kuswanto (Pelatih Angkat Berat Paralimpik Indonesia)***Andi Herman (Kepala Kontingen ASEAN Para Games)</t>
  </si>
  <si>
    <t>d-1854-de</t>
  </si>
  <si>
    <t>d-1869-li</t>
  </si>
  <si>
    <t>Joko Widodo***Basuki Hadimuljono</t>
  </si>
  <si>
    <t>d-1891-su</t>
  </si>
  <si>
    <t>Rima Ferdianto</t>
  </si>
  <si>
    <t>d-1956-re</t>
  </si>
  <si>
    <t>d-1977-ti</t>
  </si>
  <si>
    <t>Nadiem Makarim</t>
  </si>
  <si>
    <t>d-2012-ko</t>
  </si>
  <si>
    <t>Mustakim (Kanit Reskrim Polsek Metro Penjaringan Kompol)</t>
  </si>
  <si>
    <t>World of Buzz***Medical News Today</t>
  </si>
  <si>
    <t>d-2348-ko</t>
  </si>
  <si>
    <t>d-2442-li</t>
  </si>
  <si>
    <t>d-2557-de</t>
  </si>
  <si>
    <t>d-2573-re</t>
  </si>
  <si>
    <t>d-2579-te</t>
  </si>
  <si>
    <t>2019-12-28</t>
  </si>
  <si>
    <t>Rahayu Saraswati</t>
  </si>
  <si>
    <t>d-2623-tr</t>
  </si>
  <si>
    <t>Arwani (Kabid Kesehatan Jiwa Kantor Dinkes Kabupaten Kediri)***Sunar</t>
  </si>
  <si>
    <t>menderita skizofrenia***penderita jiwa***menderita gangguan jiwa***keterbelakangan mental***menderita epilepsi***keterbelakangan mental</t>
  </si>
  <si>
    <t>d-2728-su</t>
  </si>
  <si>
    <t>d-2739-tr</t>
  </si>
  <si>
    <t>i-26-de</t>
  </si>
  <si>
    <t>The Sun***Surrogate.com</t>
  </si>
  <si>
    <t>i-28-ok</t>
  </si>
  <si>
    <t>D Razumilov***Sapizhat Gusnieva</t>
  </si>
  <si>
    <t>merubah orientasi seksnya menjadi gay</t>
  </si>
  <si>
    <t>i-35-ok</t>
  </si>
  <si>
    <t>i-40-tr</t>
  </si>
  <si>
    <t>Mark Feehily</t>
  </si>
  <si>
    <t>i-53-de</t>
  </si>
  <si>
    <t>Bebby Fey</t>
  </si>
  <si>
    <t>i-59-su</t>
  </si>
  <si>
    <t>Juang Andi Supriyanto***Davina</t>
  </si>
  <si>
    <t>Juang Andi Priyanto</t>
  </si>
  <si>
    <t>Binjai Iptu Siswanto Ginting (Polsek)</t>
  </si>
  <si>
    <t>i-105-ko</t>
  </si>
  <si>
    <t>Ninik Rahayu (Ombudsman)</t>
  </si>
  <si>
    <t>i-109-ti</t>
  </si>
  <si>
    <t>@ksupercorp1821***@smurff32896***NPC Daily***CNN***Kristen Anderson-Lopez</t>
  </si>
  <si>
    <t>i-157-su</t>
  </si>
  <si>
    <t>Arsul Sani (DPR)</t>
  </si>
  <si>
    <t>i-190-li</t>
  </si>
  <si>
    <t>Achmad Baidowi (Fraksi PPP di DPR)***Usman Hamid (Amnesty International)</t>
  </si>
  <si>
    <t>i-194-su</t>
  </si>
  <si>
    <t>Ulil (Kapolsek)</t>
  </si>
  <si>
    <t>i-196-tr</t>
  </si>
  <si>
    <t>i-202-de</t>
  </si>
  <si>
    <t>Gabriel Eel (OPSI)***Siti Farida (Ombudsman)</t>
  </si>
  <si>
    <t>i-235-su</t>
  </si>
  <si>
    <t>Dwi Estiningsih***Nelson Eugine Walls***Brian Mustanskiyang***Sadiq Naveed</t>
  </si>
  <si>
    <t>i-237-ti</t>
  </si>
  <si>
    <t>Dwi Estiningsih (PKS)***Brian Mustanski***N. Eugene Walls***Justito Adiprasetio (Unpad)***Fathimah Fildzah Izzati (Pusat Penelitian Politik LIPI)</t>
  </si>
  <si>
    <t>-1***1***1***1***1</t>
  </si>
  <si>
    <t>i-249-tr</t>
  </si>
  <si>
    <t>VOA***Bhuwan Kathuria***Sharif Rangnekar***Devdutt Pattanaik***Nemat Sadat***Saif Mahmood***Divya Gulati</t>
  </si>
  <si>
    <t>0***2***2***0***2***0***0</t>
  </si>
  <si>
    <t>1***1***1***1***1***1***0</t>
  </si>
  <si>
    <t>i-257-su</t>
  </si>
  <si>
    <t>i-259-ti</t>
  </si>
  <si>
    <t>Yusnaningsi Kasim</t>
  </si>
  <si>
    <t>i-279-de</t>
  </si>
  <si>
    <t>i-306-cn</t>
  </si>
  <si>
    <t>i-310-ko</t>
  </si>
  <si>
    <t>i-360-su</t>
  </si>
  <si>
    <t>Juang Andi Priyanto (Kapolres)***Sintia</t>
  </si>
  <si>
    <t>i-361-te</t>
  </si>
  <si>
    <t>Herlambang P. Wiratraman</t>
  </si>
  <si>
    <t>i-368-ti</t>
  </si>
  <si>
    <t>Engadget***Technology Review</t>
  </si>
  <si>
    <t>p-3-su</t>
  </si>
  <si>
    <t>Cinta Laura***@BudeSumiyati***@PolJokesID***@anindyavivi***@wibowo_arma82</t>
  </si>
  <si>
    <t>p-17-de</t>
  </si>
  <si>
    <t>Jean Calvijn Simanjuntak (Kapolres Trenggalek AKBP)</t>
  </si>
  <si>
    <t>kalap karena cemburu</t>
  </si>
  <si>
    <t>p-60-ko</t>
  </si>
  <si>
    <t>Herliana (pengacara terdakwa)</t>
  </si>
  <si>
    <t>p-74-tr</t>
  </si>
  <si>
    <t>Aswar Nur SIk (Polda)***Ibrahim Tompo (Humas Polda)***Dr Remigius Sigid Tri Hardjanto (Kapolda)</t>
  </si>
  <si>
    <t>p-98-ok</t>
  </si>
  <si>
    <t>p-100-su</t>
  </si>
  <si>
    <t>Dewi***Ben</t>
  </si>
  <si>
    <t>p-117-de</t>
  </si>
  <si>
    <t>Jaka Mulyana (Wakapolres Cianjur)</t>
  </si>
  <si>
    <t>p-157-cn</t>
  </si>
  <si>
    <t>p-191-tr</t>
  </si>
  <si>
    <t>Juang Andi Priyanto (Kapolres Cianjur)</t>
  </si>
  <si>
    <t>p-219-de</t>
  </si>
  <si>
    <t>Bimantoro Kurniawan (Polres)</t>
  </si>
  <si>
    <t>p-229-li</t>
  </si>
  <si>
    <t>Mulyo Hadi Purnomo (KPI)</t>
  </si>
  <si>
    <t>p-365-ti</t>
  </si>
  <si>
    <t>Gama Triono***Profesor Koentjoro</t>
  </si>
  <si>
    <t>kemungkinan besar pelaku memiliki masalah psikologis</t>
  </si>
  <si>
    <t>p-421-li</t>
  </si>
  <si>
    <t>Danny Ford (Polisi)***Aaron Helton***Tera Mathis (Jubir Polisi)***Jason Hicks (Jaksa Distrik)***Payton McCormick (Jubir Walmart)***Forrest Bennett***Kimberly Meek</t>
  </si>
  <si>
    <t>p-437-re</t>
  </si>
  <si>
    <t>Ustaz Maman Suratman</t>
  </si>
  <si>
    <t>p-505-su</t>
  </si>
  <si>
    <t>Trunoyudo Wisnu Andiko (Humas Polda)</t>
  </si>
  <si>
    <t>p-508-te</t>
  </si>
  <si>
    <t>Eva-Marie Persson (Wakil Jaksa Penuntut)</t>
  </si>
  <si>
    <t>p-564-te</t>
  </si>
  <si>
    <t>p-587-li</t>
  </si>
  <si>
    <t>Mike Tyson</t>
  </si>
  <si>
    <t>p-594-re</t>
  </si>
  <si>
    <t>Profesor Ariel Heryanto***Gary Quinlan</t>
  </si>
  <si>
    <t>p-596-su</t>
  </si>
  <si>
    <t>Rebecca Reijmen</t>
  </si>
  <si>
    <t>p-619-li</t>
  </si>
  <si>
    <t>Aisha Servia (Sutradara)</t>
  </si>
  <si>
    <t>p-633-cn</t>
  </si>
  <si>
    <t xml:space="preserve">Soompi </t>
  </si>
  <si>
    <t>p-638-de</t>
  </si>
  <si>
    <t>Rizki Santoso (Polres)</t>
  </si>
  <si>
    <t>p-650-ok</t>
  </si>
  <si>
    <t>Chris Atkins***polisi</t>
  </si>
  <si>
    <t>p-696-ok</t>
  </si>
  <si>
    <t>Vanessa Angel***warganet***warganet</t>
  </si>
  <si>
    <t>p-722-tr</t>
  </si>
  <si>
    <t>Veri Siregar (Komnas Perempuan)</t>
  </si>
  <si>
    <t>p-864-tr</t>
  </si>
  <si>
    <t>Yunar Hotma (Polres Malang)***Budi Harianto (Kapolsek)***Adrian Darmali (Grab)</t>
  </si>
  <si>
    <t>pencabulan***dicabuli***dicabuli</t>
  </si>
  <si>
    <t>p-944-su</t>
  </si>
  <si>
    <t>Tri Rismaharini***Presiden Erdogan</t>
  </si>
  <si>
    <t>p-950-cn</t>
  </si>
  <si>
    <t>Alberto Ali (Pariwisata DKI Jakarta)</t>
  </si>
  <si>
    <t>p-965-de</t>
  </si>
  <si>
    <t>p-1182-su</t>
  </si>
  <si>
    <t>Chinapress***pengacara pelaku</t>
  </si>
  <si>
    <t>p-1285-de</t>
  </si>
  <si>
    <t>Kiki "The Potters"</t>
  </si>
  <si>
    <t>p-1322-cn</t>
  </si>
  <si>
    <t>Valentina Sagala***Dea Safira (Indonesia Feminis)***Nia Umar (Asosiasi Ibu Menyusui Indonesia)</t>
  </si>
  <si>
    <t>Sri Mulyani***Ida Fauziyah (Menteri Ketenagakerjaan)</t>
  </si>
  <si>
    <t>p-1381-tr</t>
  </si>
  <si>
    <t>Yuni Shara</t>
  </si>
  <si>
    <t>a-2-de</t>
  </si>
  <si>
    <t>a-6-cn</t>
  </si>
  <si>
    <t>Kepolisian New South Wales</t>
  </si>
  <si>
    <t>a-25-ti</t>
  </si>
  <si>
    <t>Mansyur Ahmad(Jamaah Ahmadiyah Indonesia)***Danang(Jamaah Ahmadiyah Indonesia)***Halili(Direktur Riset SETARA Institute)***Willy Hanafi(LBH Bandung)</t>
  </si>
  <si>
    <t>Anggara(Direktur Eksekutif Institute for Criminal Justice)</t>
  </si>
  <si>
    <t>11/010/2019</t>
  </si>
  <si>
    <t>Rivanlee Anandar(Peneliti Hukum dan HAM KontraS)***Pramono Ubaid(Komisioner KPU)***Arief Budiman(Ketua KPU)</t>
  </si>
  <si>
    <t>a-52-te</t>
  </si>
  <si>
    <t>Yati Adriyani(Koordinator Badan Pekerja KontraS)</t>
  </si>
  <si>
    <t>a-94-ko</t>
  </si>
  <si>
    <t>Kementerian Luar Negeri Bahrain</t>
  </si>
  <si>
    <t>Syiah***Sunni</t>
  </si>
  <si>
    <t>a-178-tr</t>
  </si>
  <si>
    <t>Zudan Arif Fikurlloh(Dirjen Dukcapil)</t>
  </si>
  <si>
    <t>Bonie Nugraha Permana(Ketua Presidium Majelis Luhur Kepercayaan Indonesia Kota Bandung)</t>
  </si>
  <si>
    <t>a-132-de</t>
  </si>
  <si>
    <t>Sukarniaty Kondokelele(Kepala Dinas Dukcapil Provinsi Sulsel)</t>
  </si>
  <si>
    <t>a-138-li</t>
  </si>
  <si>
    <t>Popong W. Nuraeni(Dinas Kependudukan dan Catatan Sipil)</t>
  </si>
  <si>
    <t>Zudan Arif Fakrulloh(Dirjen Dukcapil)</t>
  </si>
  <si>
    <t>Zudan Arif Fakhrulloh(Dirjen Dukcapil kemendagri)</t>
  </si>
  <si>
    <t>Jusuf Kalla(Wakil Presiden)</t>
  </si>
  <si>
    <t>a-172-te</t>
  </si>
  <si>
    <t>a-182-re</t>
  </si>
  <si>
    <t>a-198-cn</t>
  </si>
  <si>
    <t>a-202-re</t>
  </si>
  <si>
    <t>a-215-li</t>
  </si>
  <si>
    <t>Sunarso(Pengurus Majelis Luhur Kepercayaan Terhadap Tuhan YME Indonesia(YMLKI)Cilacap)</t>
  </si>
  <si>
    <t>a-221-tr</t>
  </si>
  <si>
    <t>MR atau Angel Vanessa(lelaki"cantik")***TMS(pasangannya MR)***Wilayatul Hisbah(petugas)</t>
  </si>
  <si>
    <t>waria***lelaki cantik***waria***berpenampilan normal layaknya seorang pria***waria***waria</t>
  </si>
  <si>
    <t>a-227-re</t>
  </si>
  <si>
    <t>a-310-su</t>
  </si>
  <si>
    <t>18/03/2019</t>
  </si>
  <si>
    <t>Sri Hartanto(Kabid Pendaftaran Disdukcapil)</t>
  </si>
  <si>
    <t>a-248-su</t>
  </si>
  <si>
    <t>a-257-de</t>
  </si>
  <si>
    <t>Hery Suherman(Kepala Disdukcapil Jabar)</t>
  </si>
  <si>
    <t>a-258-te</t>
  </si>
  <si>
    <t>Heri Suherman(Kepala Dinas Kependudukan Dan Catatan Sipil Jawa Barat)***Bonie Nugraha Permana(pengkhayat)</t>
  </si>
  <si>
    <t>a-330-ko</t>
  </si>
  <si>
    <t>23/03/2019</t>
  </si>
  <si>
    <t>Halim Eka Wardhana(Juru Bicara Doa Perdamaian)***Niluh Novi Astawati(Muda Mudi Cirebon Hindu)</t>
  </si>
  <si>
    <t>a-331-ko</t>
  </si>
  <si>
    <t>a-334-de</t>
  </si>
  <si>
    <t>a-386-cn</t>
  </si>
  <si>
    <t>Slamet Jumiarto(penganut agama marjinal)***Iswanto(Kepala Dusun)</t>
  </si>
  <si>
    <t>a-390-de</t>
  </si>
  <si>
    <t>Ahmad Royan(Ketua Forum Kebangsaan Tulungagung)</t>
  </si>
  <si>
    <t>a-404-ko</t>
  </si>
  <si>
    <t>a-412-cn</t>
  </si>
  <si>
    <t>Kementerian Luar Negeri Bahrain***Human Right Watch</t>
  </si>
  <si>
    <t>a-415-ko</t>
  </si>
  <si>
    <t>a-418-cn</t>
  </si>
  <si>
    <t>a-424-ok</t>
  </si>
  <si>
    <t>a-430-ti</t>
  </si>
  <si>
    <t>a-439-ok</t>
  </si>
  <si>
    <t>Wakil Inspektur Jenderal Quetta</t>
  </si>
  <si>
    <t>a-480-tr</t>
  </si>
  <si>
    <t>a-486-ti</t>
  </si>
  <si>
    <t>a-511-de</t>
  </si>
  <si>
    <t>a-521-tr</t>
  </si>
  <si>
    <t>a-544-cn</t>
  </si>
  <si>
    <t>a-587-ti</t>
  </si>
  <si>
    <t>a-594-re</t>
  </si>
  <si>
    <t>Jerry D Gray(penulis buku)</t>
  </si>
  <si>
    <t>a-620-de</t>
  </si>
  <si>
    <t>Amnesty Internasional***Lynn Maalouf(Direktur Penelitian Amnesty Internasional Timur Tengah)</t>
  </si>
  <si>
    <t>a-639-li</t>
  </si>
  <si>
    <t>14/06/2019</t>
  </si>
  <si>
    <t>a-642-ok</t>
  </si>
  <si>
    <t>a-690-de</t>
  </si>
  <si>
    <t>a-735-te</t>
  </si>
  <si>
    <t>Haris Azhar(Pendiri Kantor Hukum Lokataru)***Jusuf Kalla(Wakil Presiden)***Moeldoko(Kepala Kantor Staf Presiden)</t>
  </si>
  <si>
    <t>a-778-de</t>
  </si>
  <si>
    <t>a-781-cn</t>
  </si>
  <si>
    <t>27/07/2019</t>
  </si>
  <si>
    <t>a-782-de</t>
  </si>
  <si>
    <t>a-783-te</t>
  </si>
  <si>
    <t>a-831-li</t>
  </si>
  <si>
    <t>a-832-su</t>
  </si>
  <si>
    <t>a-837-li</t>
  </si>
  <si>
    <t>Mirwais(Pengantin Pria)***Muhammad Farhag(Saksi)</t>
  </si>
  <si>
    <t>a-851-ko</t>
  </si>
  <si>
    <t>a-854-tr</t>
  </si>
  <si>
    <t>a-857-ko</t>
  </si>
  <si>
    <t>a-866-ok</t>
  </si>
  <si>
    <t>a-867-te</t>
  </si>
  <si>
    <t>a-878-li</t>
  </si>
  <si>
    <t>a-880-ok</t>
  </si>
  <si>
    <t>a-895-re</t>
  </si>
  <si>
    <t>Lutfee H Samea</t>
  </si>
  <si>
    <t>d-148-te</t>
  </si>
  <si>
    <t>Adrian Yunan Faisal(pemusik)</t>
  </si>
  <si>
    <t>d-1031-te</t>
  </si>
  <si>
    <t>Abdul Kadir Karding(Timses TKN)***Djoko Santoso(Timses Prabowo-Sandi)</t>
  </si>
  <si>
    <t>d-1202-ko</t>
  </si>
  <si>
    <t>d-1481-de</t>
  </si>
  <si>
    <t>AKP Saharuddin(Kapolsek Kawan Pelabuhan Nusantara)***Toleng(Saksi)</t>
  </si>
  <si>
    <t>gangguan kejiwaan</t>
  </si>
  <si>
    <t>d-1490-li</t>
  </si>
  <si>
    <t>d-1723-ti</t>
  </si>
  <si>
    <t>23/01/2019</t>
  </si>
  <si>
    <t>d-2261-su</t>
  </si>
  <si>
    <t>d-2312-li</t>
  </si>
  <si>
    <t>d-3728-li</t>
  </si>
  <si>
    <t>Kasi Trantib(Satpol PP)</t>
  </si>
  <si>
    <t>perempuan penderita gangguan jiw</t>
  </si>
  <si>
    <t>d-2482-tr</t>
  </si>
  <si>
    <t>d-2599-te</t>
  </si>
  <si>
    <t>d-2334-ti</t>
  </si>
  <si>
    <t>Marta(Ibu Stevani)***Supanem(Ibu Nur Amelia)***Oma Ros('malaikat')***Tong Amat(penyintas)***Stevani(penyintas)***Nur Amelia(penyintas)</t>
  </si>
  <si>
    <t>0***0***0***1***1***1</t>
  </si>
  <si>
    <t>Anne Avantie(Pendiri Wisma Kasih Hydrocephalus)***Irwan Hidayat(Direktur PT Berlico Farma)</t>
  </si>
  <si>
    <t>d-3279-ok</t>
  </si>
  <si>
    <t>Marullah Matali(Wali Kota Jakarta Selatan)***Mahfud Fasa(Ketua Perkumpulan Penyandang Disabilitas Fisik Indonesia untuk DKI Jakarta)</t>
  </si>
  <si>
    <t>d-3719-de</t>
  </si>
  <si>
    <t>AKP Edi Qorinas(Kasat Reskrim Polres Tanggamus )***Ipda Primadona Laila(Kanit Perlindungan Perempuan dan Anak)</t>
  </si>
  <si>
    <t>perilaku menyimpang***menyetubuhi</t>
  </si>
  <si>
    <t>Inspektur Satu Herry Sulistyo(Kapolsek Pulau Beringin)</t>
  </si>
  <si>
    <t>Abdul Mu'ti(Sekjen PP Muhammadiyah)***Muhammad Ziyad(Lembaga Dakwah Khusus)</t>
  </si>
  <si>
    <t>d-4628-ti</t>
  </si>
  <si>
    <t>Maulani Rotinsulu(Ketua Umum Himpunan Wanita Disabitlitas Indonesia)</t>
  </si>
  <si>
    <t>d-4712-ti</t>
  </si>
  <si>
    <t>d-4723-tr</t>
  </si>
  <si>
    <t>Ibu dari W***Maulani Rotinsulu(Ketum HWDI)</t>
  </si>
  <si>
    <t>d-5121-re</t>
  </si>
  <si>
    <t>Slamet Mulyana(Kadispora Kab Bandung)***Seni Aprilianty(Ketua National Paralympic Commitee Indonesia)</t>
  </si>
  <si>
    <t>d-5849-cn</t>
  </si>
  <si>
    <t>Imam Addaruquthni(Sekretaris Jenderal DMI)***Komisaris Besar Polisi Agus Triatmaja(Kepala Bidang Humas Kepolisian Daerah (Polda) Jawa Tengah)</t>
  </si>
  <si>
    <t>d-6178-li</t>
  </si>
  <si>
    <t>dr Hably Warganegara (dokter)</t>
  </si>
  <si>
    <t>d-6564-de</t>
  </si>
  <si>
    <t>Naily Syatifah(Ketua KPU Kudus)***Dhani Kurniawan(Komisioner KPU Kudus)***Anik Mahiroh(peserta difabel)</t>
  </si>
  <si>
    <t>d-6624-de</t>
  </si>
  <si>
    <t>AKP Rizaldi(Kasatreskrim Polres Sukabumi)***Wahyu Handriana(Juru Bicara RSUD)</t>
  </si>
  <si>
    <t>Gagu</t>
  </si>
  <si>
    <t>d-6960-ok</t>
  </si>
  <si>
    <t>d-7153-ok</t>
  </si>
  <si>
    <t>d-7636-ok</t>
  </si>
  <si>
    <t>d-7663-ti</t>
  </si>
  <si>
    <t>Nahar(Deputi Bidang Perlindungan Anak KemenPPPA)</t>
  </si>
  <si>
    <t>d-7678-de</t>
  </si>
  <si>
    <t>d-7765-ok</t>
  </si>
  <si>
    <t>d-7948-ok</t>
  </si>
  <si>
    <t>AKBP Eddwi Kurniyanto(Kapolres Probolinggo)</t>
  </si>
  <si>
    <t>d-8162-cn</t>
  </si>
  <si>
    <t>Mochammad Afifuddin(Anggota Bawaslu RI)</t>
  </si>
  <si>
    <t>d-8292-ko</t>
  </si>
  <si>
    <t>20/04/2019</t>
  </si>
  <si>
    <t>Suparno(AKP Polres Kebumen)</t>
  </si>
  <si>
    <t>d-8684-re</t>
  </si>
  <si>
    <t>d-7440-tr</t>
  </si>
  <si>
    <t>Pramono Ubaid Tanthowi(Komisioner KPU RI)</t>
  </si>
  <si>
    <t>d-9146-ko</t>
  </si>
  <si>
    <t>Enceng(pemilik warung nasi)***Wiwin Wiartini (Kepala Sekolah SLB-C Plus Asih Manunggal)</t>
  </si>
  <si>
    <t>d-9979-ti</t>
  </si>
  <si>
    <t>Sagar Savla(Product Manager Google AI Research Group)</t>
  </si>
  <si>
    <t>d-9221-de</t>
  </si>
  <si>
    <t>Muhammad Sai(Ketua Kelompok Tani dan Sekretaris Perkumpulan Penyandang Disabilitas Indonesia)</t>
  </si>
  <si>
    <t>d-9324-te</t>
  </si>
  <si>
    <t>d-10546-li</t>
  </si>
  <si>
    <t>Angkie Yudistia( Founder dan CEO Thisable Enterprise)***Reza(unknown)</t>
  </si>
  <si>
    <t>d-10041-ok</t>
  </si>
  <si>
    <t>Natasha Rizki(selebriti)</t>
  </si>
  <si>
    <t>d-9746-tr</t>
  </si>
  <si>
    <t>Susiyati(Istri)***Mas Nan(Suami)</t>
  </si>
  <si>
    <t>Meski tak dapat melihat seperti orang pada umumnya</t>
  </si>
  <si>
    <t>d-9875-te</t>
  </si>
  <si>
    <t>Sandra Talogo(Direktur Administrasi dan Pendiri Sekolah Khusus Spektrum)***Nana Hani (kakak dari salah seorang murid)</t>
  </si>
  <si>
    <t>gangguan perkembangan***gangguan perilaku</t>
  </si>
  <si>
    <t>d-10024-su</t>
  </si>
  <si>
    <t>d-10213-su</t>
  </si>
  <si>
    <t>d-10632-su</t>
  </si>
  <si>
    <t>Nikita Mirzani(Artis)</t>
  </si>
  <si>
    <t>d-10729-li</t>
  </si>
  <si>
    <t>d-10833-su</t>
  </si>
  <si>
    <t>anOT7girl(akun Twitter fans BTS)</t>
  </si>
  <si>
    <t>d-11307-ti</t>
  </si>
  <si>
    <t>d-11477-te</t>
  </si>
  <si>
    <t>Ben Carpenter(Ayah Super)</t>
  </si>
  <si>
    <t>AKBP Budi Satria Wiguna(Kapolres Garut)</t>
  </si>
  <si>
    <t>d-12168-tr</t>
  </si>
  <si>
    <t>Mariyono(Kapolres Majalengka)</t>
  </si>
  <si>
    <t>d-11811-tr</t>
  </si>
  <si>
    <t>d-12113-ko</t>
  </si>
  <si>
    <t>d-11181-ok</t>
  </si>
  <si>
    <t>Sulistio(Kerabat Korban)***Erna Ruswing(Kasubag Humas Polres Metro Bekasi Kota)</t>
  </si>
  <si>
    <t>d-10975-li</t>
  </si>
  <si>
    <t>Fitri(penyandang polio)</t>
  </si>
  <si>
    <t>d-11883-su</t>
  </si>
  <si>
    <t>Joni Yulianto( Direktur Eksekutif Sasana Inklusi dan Advokasi Gerakan Difabel (Sigab))***Kadarmanta Baskara Aji(Kepala Dinas Pendidikan, Pemuda dan Olahraga Daerah Istimewa Yogyakarta)***Muhajir Effendi(Mendikbud)</t>
  </si>
  <si>
    <t>d-14313-ok</t>
  </si>
  <si>
    <t>Wendra Rona(Direktur LBH Padang)</t>
  </si>
  <si>
    <t xml:space="preserve"> Finandita Utari(psikolog)***Olivia Febrian(Spesialis Pendidikan Zumba)</t>
  </si>
  <si>
    <t>d-13578-ko</t>
  </si>
  <si>
    <t>Lilis(anggota Gerakan Jumat Berkah Kotabaru)***Dhani(anggota Gerakan Jumat Berkah Kotabaru)</t>
  </si>
  <si>
    <t>d-14963-ti</t>
  </si>
  <si>
    <t>Pribudiarta Nur Sitepu(Sekretaris KPPA)</t>
  </si>
  <si>
    <t>d-13985-de</t>
  </si>
  <si>
    <t>Romo Dominic Valanmanal(Pastor Katolik India)***Binoy Zacharia(anggota dari komunitas India Katolik)***Linton Thomas(anggota dari komunitas India Katolik)***Fiona Sharkie selaku(Ketua Pelaksana)***Uskup Bosco Puthur(Ketua dari Gereja Syro-Malabar di Australia)</t>
  </si>
  <si>
    <t>-1***1***1***0***0</t>
  </si>
  <si>
    <t>d-13530-su</t>
  </si>
  <si>
    <t>Alex Dominguez(disabilitas)</t>
  </si>
  <si>
    <t>d-13674-ti</t>
  </si>
  <si>
    <t>Nadhila Izzati Husna(saudara keluarga disabiltias)***Feka Angge Pramita(Psikolog klinis spesialis anak)</t>
  </si>
  <si>
    <t>d-13746-ko</t>
  </si>
  <si>
    <t>15/07/2019</t>
  </si>
  <si>
    <t>d-12612-li</t>
  </si>
  <si>
    <t>Syafruddin(Wakil Ketua Umum DMI)***AKBP Andi M Dicky(Kapolres Bogor)***salah satu warga</t>
  </si>
  <si>
    <t>d-14565-su</t>
  </si>
  <si>
    <t>Adel Wahidi(Plt Ombudsman Sumbar)***Romi(CPNS)</t>
  </si>
  <si>
    <t>Suhartono(Pemilik Yayasan Jamrud Biru)***Encu(Kakak Ipar Wawan)</t>
  </si>
  <si>
    <t>d-14249-tr</t>
  </si>
  <si>
    <t>AKP Cahyadi(Kapolsek Sukanagara)***Ustaz Syamsul(Warga)</t>
  </si>
  <si>
    <t>mengalami gangguan jiwa</t>
  </si>
  <si>
    <t>d-14257-cn</t>
  </si>
  <si>
    <t>d-14588-ti</t>
  </si>
  <si>
    <t xml:space="preserve"> Cheri Minns(Make up artist)***Dr. Rami Kaminski(profesor psikiatri di Fakultas Farmasi Universitas Columbia)***Deborah Serani(psikolog klinis sekaligus penulis buku Living With Depression)***Roy Johnson(Komika)</t>
  </si>
  <si>
    <t>d-14605-cn</t>
  </si>
  <si>
    <t>Romi Syofpa Ismael(Dokter Gigi)***Yulian Efi(Ketua Panselda CPNS 2018)***Admi Zulkhairi(Pengembangan Sumber Daya Manusia (BKPSDM) Solok Selatan)</t>
  </si>
  <si>
    <t>d-14653-ok</t>
  </si>
  <si>
    <t>d-14799-re</t>
  </si>
  <si>
    <t>Bambang Soeprijono(Operation Head TBBM Bandung Group, Pertamina Marketing Operation Region III)***Neneng(siswa sekolah Dreamable)***Cecep Hidayat(Ketua Yayasan PKBM Hidayah)</t>
  </si>
  <si>
    <t>d-14859-re</t>
  </si>
  <si>
    <t>Heppy Sebayang( Ketua Lembaga Advokasi Perlindungan Penyandang Disabilitas Indonesia )</t>
  </si>
  <si>
    <t>d-14856-re</t>
  </si>
  <si>
    <t>Nyimas Alia(Asisten Deputi Perlindungan Perempuan Kementerian Pemberdayaan Perempuan dan Perlindungan Anak)***Yulian Efi(Ketua Panitia Seleksi Daerah Solok Selatan 2018 )</t>
  </si>
  <si>
    <t>d-15317-ok</t>
  </si>
  <si>
    <t>d-15813-tr</t>
  </si>
  <si>
    <t>d-15830-de</t>
  </si>
  <si>
    <t>Fitriah(Korban Begal Payudara)***Shinta(Korban Begal Payudara)</t>
  </si>
  <si>
    <t>d-15850-su</t>
  </si>
  <si>
    <t>Widjianto(pengerajin besek)</t>
  </si>
  <si>
    <t>d-15958-re</t>
  </si>
  <si>
    <t>AKP Muharam Wibisono(Kasar Reskrim Polres Tangerang Selatan)</t>
  </si>
  <si>
    <t>d-16124-tr</t>
  </si>
  <si>
    <t>Wendy Kusumowidagdo(Direktur Eksekutif Yayasan Helping Funds)***Willy Suwandi Dharma(Salah satu pendiri Yayasan Helping Funds)</t>
  </si>
  <si>
    <t>Kombes (Pol) Donny Charles Go(Kabid Humas Polda Kalimantan Barat)</t>
  </si>
  <si>
    <t>gangguan jiwa***kalau sudah penyakitnya kambuh lagi yang bersangkutan berulah kembali</t>
  </si>
  <si>
    <t>d-16142-de</t>
  </si>
  <si>
    <t>15/08/2019</t>
  </si>
  <si>
    <t>Sugeng Sulistiyono(Kanit Laka Satlantas Polresta Sidoarjo)</t>
  </si>
  <si>
    <t>d-16711-ko</t>
  </si>
  <si>
    <t>Dian Sastro(artis)</t>
  </si>
  <si>
    <t>d-16798-tr</t>
  </si>
  <si>
    <t>d-15952-ok</t>
  </si>
  <si>
    <t xml:space="preserve"> Fitri Utaminingrum(dosen Universitas Brawijaya)</t>
  </si>
  <si>
    <t>d-17011-ok</t>
  </si>
  <si>
    <t>d-17033-ti</t>
  </si>
  <si>
    <t>Hari Nugroho(Kepala Dinas Bina Marga DKI Jakarta)</t>
  </si>
  <si>
    <t>d-17328-ko</t>
  </si>
  <si>
    <t>Taifur(Kapolsek Sukatani)</t>
  </si>
  <si>
    <t>d-17351-te</t>
  </si>
  <si>
    <t>Achsanul Habib(Direktur Hak Asasi Manusia dan Kemanusiaan Kementerian Luar Negeri)***Chelsea Islan(Ketua Youth of Indonesia)</t>
  </si>
  <si>
    <t>d-17435-ti</t>
  </si>
  <si>
    <t>d-17447-cn</t>
  </si>
  <si>
    <t>d-17454-de</t>
  </si>
  <si>
    <t>d-17504-te</t>
  </si>
  <si>
    <t>d-17510-tr</t>
  </si>
  <si>
    <t>d-17016-su</t>
  </si>
  <si>
    <t>Agus Gumilang(Menteri Sosial)</t>
  </si>
  <si>
    <t>d-17581-cn</t>
  </si>
  <si>
    <t>Vini Zulfa(Koordinator Aksi Geulis)***Dina Tanjung(Koordinator Lapangan Emak-emak Militan)</t>
  </si>
  <si>
    <t>d-17662-li</t>
  </si>
  <si>
    <t>Cardi B(Artis)</t>
  </si>
  <si>
    <t>d-17668-re</t>
  </si>
  <si>
    <t>Mustajab(Tukang Pijit)</t>
  </si>
  <si>
    <t>d-17674-te</t>
  </si>
  <si>
    <t>Jason Moser(ilmuwan)</t>
  </si>
  <si>
    <t>Rana Safvi(Sejarawan)***Devdutt Patnaik(Ahli mitologi)***Profesor Mukhia(Ilmuwan)***Keshav Suri(Aktivis LGBT)</t>
  </si>
  <si>
    <t>0***0***0***2</t>
  </si>
  <si>
    <t>Supriyadi(Ketua RT Setempat)***Dhani(Anggota FPI)***Ruli Ramadhani(pemilik rumah)</t>
  </si>
  <si>
    <t>i-224-ok</t>
  </si>
  <si>
    <t>Kaeden(remaja berpenghasilan Rp70jt)</t>
  </si>
  <si>
    <t>i-252-ko</t>
  </si>
  <si>
    <t>i-280-cn</t>
  </si>
  <si>
    <t>Boaz Simajutak(Kepala Divisi Safety SAFEnet)</t>
  </si>
  <si>
    <t>i-299-te</t>
  </si>
  <si>
    <t>i-365-de</t>
  </si>
  <si>
    <t xml:space="preserve"> Imam Nahe'i(Komisioner Komnas Perempuan)***Bambang Soesatyo(Ketua DPR)</t>
  </si>
  <si>
    <t>i-371-su</t>
  </si>
  <si>
    <t>i-510-cn</t>
  </si>
  <si>
    <t>Rudiantara(Menkominfo)</t>
  </si>
  <si>
    <t>i-431-li</t>
  </si>
  <si>
    <t>Argo Yuwono(Divisi humas Polda Metro Jaya)</t>
  </si>
  <si>
    <t>Reva Alexa sebelumnya bernama Yogi Saputra</t>
  </si>
  <si>
    <t>Ilhan Omar(anggota DPR Amerika Serikat)</t>
  </si>
  <si>
    <t>i-616-ko</t>
  </si>
  <si>
    <t>Masnoni(Kapolsek Ilir Barat 1 Palembang)***Andi(Keponakan Korban)</t>
  </si>
  <si>
    <t>i-763-su</t>
  </si>
  <si>
    <t>i-857-te</t>
  </si>
  <si>
    <t>Joko Widodo(Capres)</t>
  </si>
  <si>
    <t>i-871-ko</t>
  </si>
  <si>
    <t>Ace Hasan Syadzily(Jubir TKN)</t>
  </si>
  <si>
    <t>i-892-ko</t>
  </si>
  <si>
    <t>Rotem Sela(presenter TV)***Netanyahu(PM Israel)***Gal Gadot(Artis)</t>
  </si>
  <si>
    <t>i-929-te</t>
  </si>
  <si>
    <t>Gal Gadot(artis)***Rotem Sela(penyiar televisi)***Netanyahu(PM Israel)***Carole Nuriel(Direktur ADL)***Reuven Rivlin(Presiden Israel)</t>
  </si>
  <si>
    <t>0***1***-1***0***0</t>
  </si>
  <si>
    <t>Runtung Sitepu(Rektor USU)***Yael Stefany(Pimpinan Umum Suara USU)</t>
  </si>
  <si>
    <t>i-1046-ti</t>
  </si>
  <si>
    <t>salah seorang sumber***Produser***Fletcher(Sutradara Rocketman)</t>
  </si>
  <si>
    <t>i-1053-li</t>
  </si>
  <si>
    <t>Kumalasari(Sahabat Lucinta Luna)***Lucinta Luna(artis)</t>
  </si>
  <si>
    <t>wanita yang diisukan transgender</t>
  </si>
  <si>
    <t>i-1070-tr</t>
  </si>
  <si>
    <t>Lucinta Luna(artis)</t>
  </si>
  <si>
    <t>i-1095-li</t>
  </si>
  <si>
    <t>Yasonna Laoly(Menkumham)***Bambang Soesatyo(Ketua DPR RI)</t>
  </si>
  <si>
    <t>i-1118-ok</t>
  </si>
  <si>
    <t>Renadly Denada Rachman(Artis)</t>
  </si>
  <si>
    <t>i-1130-de</t>
  </si>
  <si>
    <t>Rhoma Irama(artis)</t>
  </si>
  <si>
    <t>i-1262-su</t>
  </si>
  <si>
    <t>Mutah Napoleon Beale(rapper)***Fariz(netizen Brunei)***Ryan Selviro(aktivis hak LGBT dan HAM)***Phil Robertson (Wakil Direktur untuk Asia Human Rights Watch)***Sultan Hasanal Bolkiah(Sultan Brunei)</t>
  </si>
  <si>
    <t>-1***0***1***1***-1</t>
  </si>
  <si>
    <t>i-1300-ok</t>
  </si>
  <si>
    <t>Cheryl Brown(pengacara)</t>
  </si>
  <si>
    <t xml:space="preserve"> pelaku adalah seorang pria yang telah merubah identitas seksnya menjadi perempuan.</t>
  </si>
  <si>
    <t>i-1303-re</t>
  </si>
  <si>
    <t>Anwar Abbas(Sekretaris Jenderal Majelis Ulama Indonesia (MUI))</t>
  </si>
  <si>
    <t>Menjadi LGBT bukanlah bagian dari hak asasi manusia (HAM)</t>
  </si>
  <si>
    <t>i-1339-tr</t>
  </si>
  <si>
    <t>Dorchester Collection(hotel sultan Brunei)</t>
  </si>
  <si>
    <t>i-1628-cn</t>
  </si>
  <si>
    <t>Ratu Dewa(Sekeretaris Daerah Kota Palembang)***Garin Nugroho(sutradara Kucumbu Tubuh Indahku)</t>
  </si>
  <si>
    <t>i-1195-ti</t>
  </si>
  <si>
    <t>Michelle Bachelet(Pemimpin Badan Hak Asasi Manusia PBB)</t>
  </si>
  <si>
    <t>i-1452-re</t>
  </si>
  <si>
    <t>i-1343-ko</t>
  </si>
  <si>
    <t>Peter Tatchell(Aktivis LGBT)</t>
  </si>
  <si>
    <t>i-1580-su</t>
  </si>
  <si>
    <t>i-1620-ok</t>
  </si>
  <si>
    <t>warganet</t>
  </si>
  <si>
    <t>i-1644-ko</t>
  </si>
  <si>
    <t>Yusuf Supriatman(Ketua RW 014)</t>
  </si>
  <si>
    <t>i-1698-ok</t>
  </si>
  <si>
    <t>netizen***Atta Halilintar(youtuber)***Lucinta Luna(artis)</t>
  </si>
  <si>
    <t>AKBP Dwi Hartono(Kapolres Lubuklinggau)***Kompol Zulkarnain(Wakapolres Lubuklinggau)***Keluarga Wiwik Wulandari</t>
  </si>
  <si>
    <t>i-1828-su</t>
  </si>
  <si>
    <t>Vicente Fernandez(Artis)***Vicente Fernandez Jr(putra artis)</t>
  </si>
  <si>
    <t>i-1787-cn</t>
  </si>
  <si>
    <t>Ariana Grande</t>
  </si>
  <si>
    <t>i-1881-ko</t>
  </si>
  <si>
    <t>Chen Hsue(novelis)***Kristin Huan(blogger)</t>
  </si>
  <si>
    <t>i-1886-te</t>
  </si>
  <si>
    <t>Universitas Oxford</t>
  </si>
  <si>
    <t>i-1891-ti</t>
  </si>
  <si>
    <t>i-1821-cn</t>
  </si>
  <si>
    <t>Dexter Fletcher(sutradara rocketman)***Egerton(Aktor)</t>
  </si>
  <si>
    <t>i-1898-ti</t>
  </si>
  <si>
    <t>i-1899-tr</t>
  </si>
  <si>
    <t>Masnoni(Kapolsek Ilir Barat)***Jagad(pelaku)</t>
  </si>
  <si>
    <t>i-1903-su</t>
  </si>
  <si>
    <t>Heng Yirui(pasangan lgbt)***Lee Hsien Yang(orang tua)***Lee Hsien Long(pm singapura)</t>
  </si>
  <si>
    <t>i-1904-te</t>
  </si>
  <si>
    <t>Ashanty(artis)</t>
  </si>
  <si>
    <t>i-1911-tr</t>
  </si>
  <si>
    <t>Heng Yirui(pasangan lgbt)</t>
  </si>
  <si>
    <t>i-1917-ti</t>
  </si>
  <si>
    <t xml:space="preserve">28/05/2019
</t>
  </si>
  <si>
    <t>i-1935-su</t>
  </si>
  <si>
    <t>Captain Vincent(Youtuber)***Novita Condro(istri Captain Vincent)</t>
  </si>
  <si>
    <t>i-1988-cn</t>
  </si>
  <si>
    <t>Melania Geymonat(korban)***Met(tidak disebutkan, tapi di atasnya ada keterangan polisi)***Theresa May(PM Inggris)</t>
  </si>
  <si>
    <t>i-1950-li</t>
  </si>
  <si>
    <t>i-1955-cn</t>
  </si>
  <si>
    <t>Nofrijal(Sekretaris Utama BKKBN)</t>
  </si>
  <si>
    <t>penyakit yang harus disembuhkan***penyimpangan seksual</t>
  </si>
  <si>
    <t>i-1964-tr</t>
  </si>
  <si>
    <t>i-1993-su</t>
  </si>
  <si>
    <t>Sabrina Chariunnisa(influencer)***Lucinta Luna(artis)***netizen</t>
  </si>
  <si>
    <t>i-2005-su</t>
  </si>
  <si>
    <t>Lucinta Luna(artis)***netizen</t>
  </si>
  <si>
    <t>i-2023-tr</t>
  </si>
  <si>
    <t>Tantan Syurya Santana(Plt Kepala Satpol PP Kota Bandung)</t>
  </si>
  <si>
    <t>i-2028-su</t>
  </si>
  <si>
    <t>13/06/2019</t>
  </si>
  <si>
    <t>i-2045-tr</t>
  </si>
  <si>
    <t>Taylor Swift(artis)***netizen</t>
  </si>
  <si>
    <t>i-2218-re</t>
  </si>
  <si>
    <t>Michael Vogel(penulis dan produser)***Alquran</t>
  </si>
  <si>
    <t>Jika ide kufur mengendap di kepala mungil mereka***Pemikiran rusak selalu mencari celah menyampaikan idenya</t>
  </si>
  <si>
    <t>i-2068-ti</t>
  </si>
  <si>
    <t>i-1985-ko</t>
  </si>
  <si>
    <t>Melania Geymonat(korban)***Andy Cox(Detektif)***Theresa May(PM Inggris)</t>
  </si>
  <si>
    <t>i-2096-li</t>
  </si>
  <si>
    <t>i-2070-de</t>
  </si>
  <si>
    <t>Nicholas Sparks(Penulis)</t>
  </si>
  <si>
    <t>i-1984-te</t>
  </si>
  <si>
    <t>07//06/2019</t>
  </si>
  <si>
    <t>i-2184-ti</t>
  </si>
  <si>
    <t>Elena Linari(timnas sepak bola Italia perempuan)***Milen Bertolini(pelatih timnas italia)***Rose Prealta(mantan pelatih timnas italia)***Felice Belloli(Presiden Asosiasi Sepak Bola Amatir di Italia)***Collovati(mantan anggota timnas Italia 1982)</t>
  </si>
  <si>
    <t>i-2196-ti</t>
  </si>
  <si>
    <t>Megan Rapinoe(pemain timnas perempuan Amerika Serikat)***Ali Krieger(pemain timnas perempuan Amerika Serikat)***Jill Elis(Pelatih Timnas AS)***Donald Trump(presiden AS)***Milena Bertolini(pelatih timnas Italia)***Stefano(penyedia tayangan sepak bola perempuan)</t>
  </si>
  <si>
    <t>2***0***0***0***2***0</t>
  </si>
  <si>
    <t>1***1***1***-1***1***1</t>
  </si>
  <si>
    <t>i-2245-ok</t>
  </si>
  <si>
    <t>Abash(Suami Lucinta Luna)***Lucinta Luna(Artis)***netizen</t>
  </si>
  <si>
    <t>Pria yang dituding merupakan seorang wanita itu***Penyanyi dangdut yang dituding merupakan seorang transgender itu</t>
  </si>
  <si>
    <t>Kathrin Thomas(peneliti Arab Barometer)***Amir Ashour(pendiri IraQueer)</t>
  </si>
  <si>
    <t>Bernhard(Anggota DPRD Kota Depok)***Hamzah(Fraksi Gerindra)***Sahat Farida Berlian(Wakil Ketua Komisi D)</t>
  </si>
  <si>
    <t>i-2295-ok</t>
  </si>
  <si>
    <t xml:space="preserve">i-2314-li
</t>
  </si>
  <si>
    <t>i-2409-tr</t>
  </si>
  <si>
    <t>Rafni Trikoriaty Irianta(Kepala Lapas Perempuan Bandung)***Liberti Sitinjak(Kepala Kanwil Kemenkum HAM)</t>
  </si>
  <si>
    <t>salah satu pasangan yang punya kecenderungan menyimpang</t>
  </si>
  <si>
    <t>i-2438-li</t>
  </si>
  <si>
    <t>Rusli Nasution(Direskrim Polda Jatim)***Roni Subagio(Psikiater Polda Jatim)***Nyoman Rae&amp;Partners(tim pengacara)</t>
  </si>
  <si>
    <t>Bambang Wiyono( Kepala Biro Hubungan Masyarakat, Hukum dan Kerja Sama Kemenkumham)*** Dede Oetomo(Gay Nusantara)</t>
  </si>
  <si>
    <t>disorientasi seksual***fenomena disorientasi seksual***fenomena disorientasi seksual</t>
  </si>
  <si>
    <t>Ade Kusmanto(Kepala Bagian Humas Ditjen PAS Kemenkumham)***Anggara(Institute for Criminal Justice Reform)***Asfinawati(Direktur YLBHI)</t>
  </si>
  <si>
    <t>i-2547-te</t>
  </si>
  <si>
    <t>Roy Pangharapan(Ketua Dewan Kesehatan Rakyat Kota Depok)</t>
  </si>
  <si>
    <t>i-2560-ti</t>
  </si>
  <si>
    <t>Shinta Ratri(Pemimpin Pesantren Alfatah)***Arif Nuh Safri(Ustad Pesantren Al Fatah)</t>
  </si>
  <si>
    <t>i-2622-ko</t>
  </si>
  <si>
    <t>Nining Rodiyah(Komisi KPI Pusat)</t>
  </si>
  <si>
    <t>seorang pria yang memakai busana dan riasan layaknya seorang wanita</t>
  </si>
  <si>
    <t>i-2707-cn</t>
  </si>
  <si>
    <t>twitter Puspen TNI***Komik</t>
  </si>
  <si>
    <t>i-2744-cn</t>
  </si>
  <si>
    <t>Valentina Sampaio(model Victoria Secret)***Ribeirio(model dari Brazil)***Ed Razek(CMO Victoria's Secret)</t>
  </si>
  <si>
    <t>i-2789-te</t>
  </si>
  <si>
    <t>Andreas Harsono(Peneliti Human Rights Watch)***Mohammad Choirul Anam(Komisioner Pengkajian dan Penelitian Komnas HAM)</t>
  </si>
  <si>
    <t>Ery Syahrial(Komisi Perlindungan dan Pengawasan Anak Daerah)***AKP Efendri Ali(Kasat Reskrim Polres Tanjungpinang)***Ucok Lasdin(Kapolres Tanjungpinang)</t>
  </si>
  <si>
    <t>melayani kebutuhan seks menyimpang guru tersebut</t>
  </si>
  <si>
    <t>i-2831-de</t>
  </si>
  <si>
    <t>i-2882-te</t>
  </si>
  <si>
    <t>Lucinta Luna(artis)***Ria Ricis(yotuber)</t>
  </si>
  <si>
    <t>kerap sebagai wanita "jadi-jadian" alias transgender.</t>
  </si>
  <si>
    <t>i-2919-cn</t>
  </si>
  <si>
    <t>i-2927-ok</t>
  </si>
  <si>
    <t>i-2992-ok</t>
  </si>
  <si>
    <t>Joni Darmawan(Kapolsek Koto Tangah)</t>
  </si>
  <si>
    <t>i-2994-cn</t>
  </si>
  <si>
    <t>Greg Neely(ilmuwan)*** Brendan Zietsch(peneliti)</t>
  </si>
  <si>
    <t>i-3035-tr</t>
  </si>
  <si>
    <t>Gebby Vesta(DJ)</t>
  </si>
  <si>
    <t>i-3075-ok</t>
  </si>
  <si>
    <t>p-305-cn</t>
  </si>
  <si>
    <t>p-571-tr</t>
  </si>
  <si>
    <t>p-711-ko</t>
  </si>
  <si>
    <t>p-1209-de</t>
  </si>
  <si>
    <t>Panut Mulyono(rektor UGM)</t>
  </si>
  <si>
    <t>p-50-li</t>
  </si>
  <si>
    <t>Heribertus Hartono(Pengacara Korban)</t>
  </si>
  <si>
    <t>p-1834-li</t>
  </si>
  <si>
    <t>p-2245-ti</t>
  </si>
  <si>
    <t>Sarah Aziza(jurnalis)***Rahaf(aktivis)</t>
  </si>
  <si>
    <t>p-2482-ti</t>
  </si>
  <si>
    <t>Frangky Desima Waruwu(kuasa hukum ES)***Luki Hermawan(Kapolda Jatim)</t>
  </si>
  <si>
    <t>p-3465-tr</t>
  </si>
  <si>
    <t>Frans Barung Mangera(Humas Polda Jatim)***Anwar Fuady(ketua PARSI)</t>
  </si>
  <si>
    <t>p-3528-tr</t>
  </si>
  <si>
    <t>Baca selengkapnya di artikel "Diminta Datangkan Artis VA, Tersangka Muncikari Mengaku Jadi Korban", https://tirto.id/debG</t>
  </si>
  <si>
    <t>p-3918-cn</t>
  </si>
  <si>
    <t>p-1885-ok</t>
  </si>
  <si>
    <t>ES(mucikari)</t>
  </si>
  <si>
    <t>p-145-li</t>
  </si>
  <si>
    <t>Roni Faisal(Kapolres Kediri)</t>
  </si>
  <si>
    <t>Puas melepas hasrat seksualnya</t>
  </si>
  <si>
    <t>p-4113-de</t>
  </si>
  <si>
    <t>Asri(pelaku)</t>
  </si>
  <si>
    <t>p-1363-su</t>
  </si>
  <si>
    <t>Frans Barung Mangera(Kabid Humas Polda Jatim)</t>
  </si>
  <si>
    <t>p-4821-ko</t>
  </si>
  <si>
    <t>p-4890-de</t>
  </si>
  <si>
    <t>Edi Sitepu(Kasat Reksrim Polres Jakarta Barat)</t>
  </si>
  <si>
    <t>p-5734-te</t>
  </si>
  <si>
    <t>Bambang Soesatyo(ketua DPR)***Jazuli Juwaini(fraksi PKS)</t>
  </si>
  <si>
    <t>p-5581-su</t>
  </si>
  <si>
    <t>Maulia Lestari(artis)</t>
  </si>
  <si>
    <t>p-5619-tr</t>
  </si>
  <si>
    <t>Kang Cucun(Fraksi PKB di DPR RI)</t>
  </si>
  <si>
    <t>RA(korban pelecehan seksual)</t>
  </si>
  <si>
    <t>Ade Armando(Kelompok Pembela Korban Kekerasan Seksual)***Haris Azhar(kuasa hukum RA)</t>
  </si>
  <si>
    <t>Steven Greenberg(kuasa hukum R Kelly)</t>
  </si>
  <si>
    <t>p-6633-ok</t>
  </si>
  <si>
    <t>Teguh Susilo Hadi(Humas Polres Semarang)</t>
  </si>
  <si>
    <t>memaksa korban melakukan persetubuhan</t>
  </si>
  <si>
    <t>p-6990-ti</t>
  </si>
  <si>
    <t>HBO***Jackson Estate</t>
  </si>
  <si>
    <t>p-7208-re</t>
  </si>
  <si>
    <t>Emma Watson(artis)***Abril Vilatrollol(mahasiswa)</t>
  </si>
  <si>
    <t>p-7365-tr</t>
  </si>
  <si>
    <t>Mukhlis(warga)***Muhammad Kadarislam Kasim(Kapolres Bone)</t>
  </si>
  <si>
    <t>p-8256-tr</t>
  </si>
  <si>
    <t>Iptu Slamet(Humas Polres Tegal)</t>
  </si>
  <si>
    <t>p-8409-cn</t>
  </si>
  <si>
    <t>Rahmat Santoso(pengacara Vanessa Angel)***Sigit Sutriono(PN Surabaya)</t>
  </si>
  <si>
    <t>p-6952-te</t>
  </si>
  <si>
    <t>p-8685-su</t>
  </si>
  <si>
    <t>p-8687-ti</t>
  </si>
  <si>
    <t>Heribertus Hartojo(Pengacara RA)</t>
  </si>
  <si>
    <t>netizen***Cupi Cupita(artis)</t>
  </si>
  <si>
    <t>p-8810-de</t>
  </si>
  <si>
    <t>Murti Jasmani(Direktur Edelweis)</t>
  </si>
  <si>
    <t>p-8858-cn</t>
  </si>
  <si>
    <t>p-9346-ok</t>
  </si>
  <si>
    <t>Saur Timiur Situmorang(Komisioner Komnas Perempuan)</t>
  </si>
  <si>
    <t>p-8894-su</t>
  </si>
  <si>
    <t>Sandiaga Uno(Calon Wakil Presiden)</t>
  </si>
  <si>
    <t>p-9796-te</t>
  </si>
  <si>
    <t>Edy Kuswoyo(VP Public Relations PT KAI)***Sri Ulina Pinem(Juru Bicara Layanan Umum Transjakarta)***Feri Prasetyo(Komandan Regu Polisi Khusus Kereta Api Stasiun Manggarai)***Eva Chairunnisa(PT KAI Commuter Jabodetabek)***Bambang Edi( Kepala Unit Reserse Kriminal Kepolisian Sektor Jatinegara)***Fitri(Saksi)</t>
  </si>
  <si>
    <t>0***0***0***0***0***2</t>
  </si>
  <si>
    <t>p-9359-cn</t>
  </si>
  <si>
    <t>Perwakilan HBO</t>
  </si>
  <si>
    <t>p-9371-ti</t>
  </si>
  <si>
    <t>Katie Bouman(ilmuwan)***Lee Shetterly(penulis buku)</t>
  </si>
  <si>
    <t>p-9378-tr</t>
  </si>
  <si>
    <t>Siti Viona Aidila(Kasubsi Kerja Rutan Perempuan Kelas II A Surabaya)***Bibi Ardiansyah(famili Vanessa Angela)***Nicky Tirta(artis)</t>
  </si>
  <si>
    <t>p-9577-te</t>
  </si>
  <si>
    <t>Alfianto Domy Aji(Regional Head Gojek Wilayah Jateng, Jatim, Bali dan Nusa Tenggara)***Wiwik Wigati(driver gojek)</t>
  </si>
  <si>
    <t>p-9654-su</t>
  </si>
  <si>
    <t>p-9709-su</t>
  </si>
  <si>
    <t>korban***Sule(komedian)***Olga(komedian)***Muhammad Nuh(Mantan Mendikbud)***Erna Marina Kusuma(psikolog anak dan remaja)***Prijadi Santosa(Kemen PPPA)</t>
  </si>
  <si>
    <t>2***0***0***0***0***0</t>
  </si>
  <si>
    <t>1***0***-1***-1***1***1</t>
  </si>
  <si>
    <t>p-9798-ti</t>
  </si>
  <si>
    <t>Timothy Dolan(kardinal)***Terry McKiernan(kelompok pengawas)***SNAP</t>
  </si>
  <si>
    <t>p-9872-tr</t>
  </si>
  <si>
    <t>Makhfud Hidayat(Kasat Reskrim Polres Balikpapan)</t>
  </si>
  <si>
    <t>Ratman(kakak kandung korban)</t>
  </si>
  <si>
    <t>p-10340-li</t>
  </si>
  <si>
    <t>Marko Simic(striker Persija)</t>
  </si>
  <si>
    <t>p-10136-li</t>
  </si>
  <si>
    <t>p-10779-re</t>
  </si>
  <si>
    <t>Edwin Partogi Pasaribu(wakil ketua LPSK)</t>
  </si>
  <si>
    <t>p-10407-ko</t>
  </si>
  <si>
    <t>Roni Wowor(Kapolsek Pancoran Mas)</t>
  </si>
  <si>
    <t>p-10653-li</t>
  </si>
  <si>
    <t>Yoon Hee-soon(Korea Future Initiative)</t>
  </si>
  <si>
    <t>p-10858-ok</t>
  </si>
  <si>
    <t>Kompol Iskandar(Kapolsek Limo)</t>
  </si>
  <si>
    <t>p-10890-re</t>
  </si>
  <si>
    <t>Ellen DeGeneres(presenter)</t>
  </si>
  <si>
    <t>p-10913-cn</t>
  </si>
  <si>
    <t>Mohammad Iqbal(Biro Investigasi Kepolisian Bangladesh)***Mahmudul Hasan Noman(saudara laki-laki Rafi)</t>
  </si>
  <si>
    <t>p-11498-tr</t>
  </si>
  <si>
    <t>korban***Deddy Wahyudi(Kapolsek Sukoharjo)***Pancarudin(Kapolsek Metro Utara)</t>
  </si>
  <si>
    <t>menyetubuhi***dicabuli</t>
  </si>
  <si>
    <t>p-11253-tr</t>
  </si>
  <si>
    <t>Doddy Sudarajat(Ayah Vanessa Angel)***Abdul Malik(Kuasa hukum Vanessa Angel)***Vanessa Angel(artis)</t>
  </si>
  <si>
    <t>p-11382-de</t>
  </si>
  <si>
    <t>Ferry Fadli(Paus Humas Polres Rohul)</t>
  </si>
  <si>
    <t>p-11388-li</t>
  </si>
  <si>
    <t>Letjen Shams el-Din Kabashi(juru bicara Dewan Militer Transisi)***'khalid'(saksi mata)</t>
  </si>
  <si>
    <t>p-11847-ti</t>
  </si>
  <si>
    <t>Muhammad Misrad(komikus)</t>
  </si>
  <si>
    <t>Milano Lubis(kuasa hukum Vanessa Angel)***Novan Arianto(Jaksa Penuntut umum)</t>
  </si>
  <si>
    <t>p-11697-tr</t>
  </si>
  <si>
    <t>Alexander Yurikho(Kasat Reskrim Polres Tangerang Selatan)</t>
  </si>
  <si>
    <t>p-11713-ko</t>
  </si>
  <si>
    <t>Madam Jung***Yang Hyun Suk(pendiri YG Entertainment)</t>
  </si>
  <si>
    <t>p-11719-li</t>
  </si>
  <si>
    <t>Nang Mwe San(dokter)***David Matheson(analis politik independen)</t>
  </si>
  <si>
    <t>p-11436-ok</t>
  </si>
  <si>
    <t>Sri Rahayu(JPU)</t>
  </si>
  <si>
    <t>p-11793-cn</t>
  </si>
  <si>
    <t>Nova Nur Rafadila(atlit sirkuit jalanan)***Inuk Hestiningrum(Sekretaris Olahraga Sepeda Motor IMI Pusat)***Silvia Ubey(pembalap wanita)</t>
  </si>
  <si>
    <t>p-11811-ko</t>
  </si>
  <si>
    <t>Milano Lubis(kuasa hukum VA)</t>
  </si>
  <si>
    <t>Nia Ramadhani(artis)***Saipul Jamil(artis)</t>
  </si>
  <si>
    <t>p-12182-te</t>
  </si>
  <si>
    <t>p-12197-cn</t>
  </si>
  <si>
    <t>Joko Widodo(Presiden RI)***Andi Samsan Nganro(Juru Bicara MA)</t>
  </si>
  <si>
    <t>Abdul Hajar Fickar(pakar hukum pidana Universitas Trisakti)</t>
  </si>
  <si>
    <t>p-13740-tr</t>
  </si>
  <si>
    <t>p-12785-ok</t>
  </si>
  <si>
    <t>Huayi Brothers Korea</t>
  </si>
  <si>
    <t>p-12877-ko</t>
  </si>
  <si>
    <t>Budi Wahyuni(Wakil Ketua Komisi Nasional Perempuan)</t>
  </si>
  <si>
    <t>p-12929-te</t>
  </si>
  <si>
    <t>Bambang Soesatyo(Ketua DPR)***Yasonna Laoly(Menkumham)</t>
  </si>
  <si>
    <t>p-14539-su</t>
  </si>
  <si>
    <t>AKP Ruth Yuni(Kanit PPA Polrestabes Surabaya)</t>
  </si>
  <si>
    <t>sang suami menyetubuhi darah dagingnya</t>
  </si>
  <si>
    <t>p-13990-ok</t>
  </si>
  <si>
    <t>Arya Sinulingga(jubir TKN)</t>
  </si>
  <si>
    <t>p-12660-li</t>
  </si>
  <si>
    <t>Jusuf Kalla(wakil presiden)</t>
  </si>
  <si>
    <t>Edward Dewaruci(Ketua SCCC)</t>
  </si>
  <si>
    <t>p-14095-de</t>
  </si>
  <si>
    <t xml:space="preserve"> Prasetya Devano(Pelaku)</t>
  </si>
  <si>
    <t>p-14785-su</t>
  </si>
  <si>
    <t>Sara Wijayanto(istri Demian)</t>
  </si>
  <si>
    <t>p-14766-ko</t>
  </si>
  <si>
    <t>Muharam Wibisono(Kasat Reskrim Polres Tangerang Selatan)***Kabar Bintaro***Richie(kerabat korban)</t>
  </si>
  <si>
    <t>p-15440-cn</t>
  </si>
  <si>
    <t>dr Poernomo Boedi(ketua IDI Jatim)***Marwan Dasopang(Wakil ketua Komisi VIII)***Mochammad Choirul Anam(Komisioner Komnas HAM)</t>
  </si>
  <si>
    <t>p-15136-re</t>
  </si>
  <si>
    <t>p-15698-su</t>
  </si>
  <si>
    <t>Choirul Anam(Komnas HAM RI)</t>
  </si>
  <si>
    <t>p-15426-li</t>
  </si>
  <si>
    <t>Kepala Kejari Kabupaten Mojokerto Rudy Hartono***Juru Bicara MA Abdullah***Deputi Perlindungan Anak Kementerian PPPA Nahar***Komisioner KPAI Bidang Anak Berhadapan dengan Hukum Putu Elvina***Ketua Perhimpunan Dokter Spesialis Andrologi Prof dr Wimpie Pangkahila***Androlog dr Aminuddin Aziz</t>
  </si>
  <si>
    <t>0***0***0***0***-1***1</t>
  </si>
  <si>
    <t>p-15431-re</t>
  </si>
  <si>
    <t>p-15435-te</t>
  </si>
  <si>
    <t>Ngeh Koo Ham(Juru Bicara Negara Bagian Perak)</t>
  </si>
  <si>
    <t>p-15534-ti</t>
  </si>
  <si>
    <t>Marwan Dasopang(Wakil Ketua Komisi VIII DPR RI)***Yohana Yembise(Menteri PPPA)</t>
  </si>
  <si>
    <t>p-14930-ko</t>
  </si>
  <si>
    <t>Tri Sukma Anreianno(Head of Public Affairs Grab Indonesia)</t>
  </si>
  <si>
    <t>p-15716-tr</t>
  </si>
  <si>
    <t>Karni Ilyas(pembawa acara ILC)***Sobirin(kakak pelaku pemerkosaan)</t>
  </si>
  <si>
    <t>p-15901-cn</t>
  </si>
  <si>
    <t>Dicky Ario Yustisianto(Kasat Reskrim Polres Metro Tangerang)</t>
  </si>
  <si>
    <t>Retno Listyarti(Komisioner KPAI)</t>
  </si>
  <si>
    <t>p-15931-su</t>
  </si>
  <si>
    <t>Nikita Mirzani(artis)</t>
  </si>
  <si>
    <t>p-15973-ko</t>
  </si>
  <si>
    <t>Rukhmanizar(Kapolsek Kotabumi Utara)</t>
  </si>
  <si>
    <t>p-15986-ok</t>
  </si>
  <si>
    <t>Chia(korban)</t>
  </si>
  <si>
    <t>p-15989-re</t>
  </si>
  <si>
    <t>Edy Sumardi(Humas Polda Banten)</t>
  </si>
  <si>
    <t>p-15997-te</t>
  </si>
  <si>
    <t>Fahmi Bachmid(kuasa hukum Nikita Mirzani)</t>
  </si>
  <si>
    <t>p-16006-tr</t>
  </si>
  <si>
    <t>AKBP AM Dicky(Kapolres Bogor)***M Rifai(Kasatreskrim Polrestabes Bandung)***YS(pelaku)</t>
  </si>
  <si>
    <t>Kondisi Bunga (bukan nama sebenarnya) saat ini</t>
  </si>
  <si>
    <t>p-16045-ok</t>
  </si>
  <si>
    <t>Doddy Sudrajat(ayah Vanessa Angel)</t>
  </si>
  <si>
    <t>p-16072-tr</t>
  </si>
  <si>
    <t>p-16081-cn</t>
  </si>
  <si>
    <t>p-16139-ti</t>
  </si>
  <si>
    <t>Profesor Koentjoro(Psikolog dari UGM)</t>
  </si>
  <si>
    <t>p-16169-ok</t>
  </si>
  <si>
    <t>p-16266-ok</t>
  </si>
  <si>
    <t>Bebby Fey(DJ)***Atta Halilintar(youtuber)</t>
  </si>
  <si>
    <t>Edwan Hadnansyah(Ketua IJTI Sangkuriang)***Sisilia(mahasiswa)***Rini Martini(Wakil Ketua DPRD Cimahi)</t>
  </si>
  <si>
    <t>p-16338-cn</t>
  </si>
  <si>
    <t>a-10-cn</t>
  </si>
  <si>
    <t>Moqtada Sadr(ulama Irak)***Ali Sistani(pemimpin spiritual Syiah)</t>
  </si>
  <si>
    <t>a-13-li</t>
  </si>
  <si>
    <t>a-27-te</t>
  </si>
  <si>
    <t>a-36-tr</t>
  </si>
  <si>
    <t>a-43-tr</t>
  </si>
  <si>
    <t>a-57-cn</t>
  </si>
  <si>
    <t>a-61-tr</t>
  </si>
  <si>
    <t>a-92-cn</t>
  </si>
  <si>
    <t>Helmy Faishal Zeiny (Sekjen Pengurus Besar Nahdlatul Ulama (PBNU))***Muannas Alaidid(Kuasa Hukum Hadad Alwi)</t>
  </si>
  <si>
    <t>a-101-su</t>
  </si>
  <si>
    <t>Luthfi bin Jindan(Ketua FPI Sukabumi)</t>
  </si>
  <si>
    <t>Basim bin Hussein Alhabsyi( sepertinya FPI)***Haddad Alwi(artis)</t>
  </si>
  <si>
    <t>Yusri Yunus(Humas Polda Metro Jaya)***Febi Yonesta(advokat YLBHI)</t>
  </si>
  <si>
    <t>a-115-li</t>
  </si>
  <si>
    <t>Sapri Sale(koordinator kegiatan kunjungan)***Yudhi Widdiantoro(Komunitas Yoga Gembira)***Prem Singh(penghayat Sikh)***Haryanto(Romo)</t>
  </si>
  <si>
    <t>a-124-tr</t>
  </si>
  <si>
    <t>d-52-ok</t>
  </si>
  <si>
    <t>Rosevania(Ibu Korban)***Eduardo Marturano(polisi)</t>
  </si>
  <si>
    <t>d-191-de</t>
  </si>
  <si>
    <t>Dani Hendarto(Sutradara)</t>
  </si>
  <si>
    <t>d-227-tr</t>
  </si>
  <si>
    <t>d-281-cn</t>
  </si>
  <si>
    <t>Agung Frijanto(dokter spesialis kejiwaan dan psikiater)</t>
  </si>
  <si>
    <t>d-354-tr</t>
  </si>
  <si>
    <t>d-363-cn</t>
  </si>
  <si>
    <t>d-367-de</t>
  </si>
  <si>
    <t>National Institute of Health</t>
  </si>
  <si>
    <t>d-416-tr</t>
  </si>
  <si>
    <t>Asturi atau Astuti atau Astusi (teman korban)***Darmanto(Intel Polsek Dukun)***Rozak(tetangga korban)***Tiksnarto Andaru Rahutomo (Kasat Reskrim Polres Gresik)***Kusworo Wibowo(Kapolres Gresik)</t>
  </si>
  <si>
    <t>0***-1***-1***1***0</t>
  </si>
  <si>
    <t>d-500-su</t>
  </si>
  <si>
    <t>pengidap PBA</t>
  </si>
  <si>
    <t>d-555-ko</t>
  </si>
  <si>
    <t>M Iqbal Anas Maruf(humas BPJS kesehatan)***Meidy(perwakilan SEJIWA)</t>
  </si>
  <si>
    <t>d-615-cn</t>
  </si>
  <si>
    <t>Ketua Dwi Purwadi(hakim)***Sabetania Paembonan(JPU)</t>
  </si>
  <si>
    <t>d-726-tr</t>
  </si>
  <si>
    <t>d-834-te</t>
  </si>
  <si>
    <t>d-950-ti</t>
  </si>
  <si>
    <t>Ninik Rahayu(Ombudsman RI)</t>
  </si>
  <si>
    <t>d-952-tr</t>
  </si>
  <si>
    <t>Dian Sastrowardoyo(Artis)</t>
  </si>
  <si>
    <t>d-1045-ok</t>
  </si>
  <si>
    <t>Alvina(Dokter Spesialis Kesehatan Jiwa RS Awal Bros Bekasi Barat)</t>
  </si>
  <si>
    <t>d-1187-li</t>
  </si>
  <si>
    <t>d-1310-li</t>
  </si>
  <si>
    <t>d-1370-cn</t>
  </si>
  <si>
    <t>Ivan Octa Putra(mitra pengemudi GrabCar penyandang tunarungu)</t>
  </si>
  <si>
    <t>d-1411-su</t>
  </si>
  <si>
    <t>Ahmad Juni Toha (Dandim 0823 Situbondo)</t>
  </si>
  <si>
    <t>d-1383-ko</t>
  </si>
  <si>
    <t>Solen Dalsgaard(Psikolog Anak)</t>
  </si>
  <si>
    <t>d-691-ok</t>
  </si>
  <si>
    <t>netizen***netizen***netizen***netizen</t>
  </si>
  <si>
    <t xml:space="preserve"> mengalami keterbatasan fisik</t>
  </si>
  <si>
    <t>d-1553-li</t>
  </si>
  <si>
    <t>26/11/2019</t>
  </si>
  <si>
    <t>d-1563-ok</t>
  </si>
  <si>
    <t>d-1655-ko</t>
  </si>
  <si>
    <t>d-1940-ko</t>
  </si>
  <si>
    <t>Muthohar(Dinsos Kota Semarang)***Abriyani Muharomah(Manager Grab Kota Semarang)***Billy Wensen(driver)</t>
  </si>
  <si>
    <t>d-1969-te</t>
  </si>
  <si>
    <t>Arif Setyo Budi(disabilitas)</t>
  </si>
  <si>
    <t>d-2041-ok</t>
  </si>
  <si>
    <t>d-2160-tr</t>
  </si>
  <si>
    <t>Kapolsek Metro Penjaringan AKBP Imam Rifai</t>
  </si>
  <si>
    <t>d-2187-ko</t>
  </si>
  <si>
    <t>Dian (pegawai disabilitas)***Direktur SDM dan Umum PGN Desima Siahaan</t>
  </si>
  <si>
    <t>d-2256-ko</t>
  </si>
  <si>
    <t>Plt Kepala BKPP Kabupaten Sleman, Suyono</t>
  </si>
  <si>
    <t>d-2462-tr</t>
  </si>
  <si>
    <t>Kepala Desa Pamolaan Kecamatan Camplong, Masfur</t>
  </si>
  <si>
    <t>d-2518-de</t>
  </si>
  <si>
    <t>d-2584-tr</t>
  </si>
  <si>
    <t>d-2597-de</t>
  </si>
  <si>
    <t>i-10-te</t>
  </si>
  <si>
    <t>Stella McCartney(perancang busana)</t>
  </si>
  <si>
    <t>i-33-tr</t>
  </si>
  <si>
    <t>i-172-su</t>
  </si>
  <si>
    <t>23/10/2019</t>
  </si>
  <si>
    <t>Genderspectrum.org</t>
  </si>
  <si>
    <t>i-38-ok</t>
  </si>
  <si>
    <t>Lucinta Luna(artis)***Nafa Urbach(artis)***Feni Rose(artis)</t>
  </si>
  <si>
    <t>i-42-cn</t>
  </si>
  <si>
    <t>Zoe Williams( manajer pengembangan dan pemasaran)***The Eve Appeal(badan amal penelitian kanker)***Florence Schechter(pendiri museum)</t>
  </si>
  <si>
    <t>Juang Andi(Kapolres Cianjur)</t>
  </si>
  <si>
    <t>i-77-ko</t>
  </si>
  <si>
    <t>Panut Mulyono(rektor UGM)***Gama Triono(aktivis perempuan)</t>
  </si>
  <si>
    <t>i-117-de</t>
  </si>
  <si>
    <t>Kania(artis)</t>
  </si>
  <si>
    <t>i-153-ok</t>
  </si>
  <si>
    <t>Tjahjo Kumolo(Menpan RB)</t>
  </si>
  <si>
    <t>i-158-ti</t>
  </si>
  <si>
    <t>Usman Hamid(Direktur Eksekutif Amnesty Internasional)</t>
  </si>
  <si>
    <t>i-161-tr</t>
  </si>
  <si>
    <t>Ahmad Taufan Damanik(Ketua Komnas Ham)***Mukri(Kepala Pusat Penerangan Hukum Kejaksaan Agung)</t>
  </si>
  <si>
    <t>i-175-ti</t>
  </si>
  <si>
    <t>i-201-cn</t>
  </si>
  <si>
    <t>Pengumuman BKN</t>
  </si>
  <si>
    <t>i-244-li</t>
  </si>
  <si>
    <t>13/12/2019</t>
  </si>
  <si>
    <t>i-258-te</t>
  </si>
  <si>
    <t>Andres Manuel Lopez Obrador(Presiden Meksiko)***Emiliano Zapata(pelukis)</t>
  </si>
  <si>
    <t>i-266-ok</t>
  </si>
  <si>
    <t>16/12/2019</t>
  </si>
  <si>
    <t>Karen(yang buat pornografi gay)***Rachel(jurnalis BBC)***Josh(anaknya Karen)</t>
  </si>
  <si>
    <t>i-280-ok</t>
  </si>
  <si>
    <t>Tanqueray(mantan stripper)</t>
  </si>
  <si>
    <t>i-284-de</t>
  </si>
  <si>
    <t>i-288-ko</t>
  </si>
  <si>
    <t>Anung Sugihantoro(Dirjen P2P Kemenkes)</t>
  </si>
  <si>
    <t>i-291-te</t>
  </si>
  <si>
    <t>i-307-de</t>
  </si>
  <si>
    <t>JK Rowling(penulis)***netizen</t>
  </si>
  <si>
    <t>i-326-li</t>
  </si>
  <si>
    <t>Paus Fransiskus(Paus)</t>
  </si>
  <si>
    <t>i-359-ko</t>
  </si>
  <si>
    <t>Niki Ramadani (kasatreskrim polres cianjur)</t>
  </si>
  <si>
    <t>p-66-ok</t>
  </si>
  <si>
    <t>Suradi Warso(Wakapolsek Banyumanik)</t>
  </si>
  <si>
    <t>melampiaskan nafsu bejatnya</t>
  </si>
  <si>
    <t>p-72-ti</t>
  </si>
  <si>
    <t>Ratna Bantara Munti(Koordinator Jaringan Kerja Program Legalisasi Pro Perempuan)***Rieke Diah Pitaloka(anggota badan legislasi)***Marwan Dasopang(Ketua Panitia Kerja RUU PKS)***Mariana Amiruddin(Komnas Anti Kekerasan Terhadap Perempuan)</t>
  </si>
  <si>
    <t>1***0***0***1</t>
  </si>
  <si>
    <t>p-84-te</t>
  </si>
  <si>
    <t>Budi Wahyuni(Wakil Ketua Komnas Perempuan)***Wido Supraha(Komisi Ukhuwah MUI)</t>
  </si>
  <si>
    <t>p-97-li</t>
  </si>
  <si>
    <t>KBRI Kuwait***Tri Thariyat(dubes)</t>
  </si>
  <si>
    <t>Baryono(Paur Subag Humas)***Husni Ramli(Kasat Reskrim Polresta Pontianak)</t>
  </si>
  <si>
    <t>aksi cabul***tindakan asusila</t>
  </si>
  <si>
    <t>p-131-ok</t>
  </si>
  <si>
    <t>wanita yang mengaku diperkosa***Krishna Bahadur Mahara(mantan ketua parlemen Nepal)</t>
  </si>
  <si>
    <t>Tri Haryati(dubes Indonesia untuk Kuwait)</t>
  </si>
  <si>
    <t>p-169-ok</t>
  </si>
  <si>
    <t>Samuel Little(pembunuh berantai)</t>
  </si>
  <si>
    <t>p-248-te</t>
  </si>
  <si>
    <t>Kahar Cahyono(Ketua Departemen Komunikasi dan Media KSPI)***Yohana Yembise(Menteri PPPA)</t>
  </si>
  <si>
    <t>p-276-tr</t>
  </si>
  <si>
    <t>p-728-cn</t>
  </si>
  <si>
    <t>p-518-tr</t>
  </si>
  <si>
    <t>Panji Prastisha(Kasatreskrim Polres Gresik)</t>
  </si>
  <si>
    <t>tiga orang janda</t>
  </si>
  <si>
    <t>p-567-tr</t>
  </si>
  <si>
    <t>Ghufron Falfeli(Kepala Bidang Trantibum Satpol PP)</t>
  </si>
  <si>
    <t>brondong</t>
  </si>
  <si>
    <t>p-571-cn</t>
  </si>
  <si>
    <t>Rateb Jneid(ketua AFIC)***Luke Sywenkyj(inspektur polisi setempat)</t>
  </si>
  <si>
    <t>Ariel Heryanto(Profesor di Monash University)</t>
  </si>
  <si>
    <t>p-79-tr</t>
  </si>
  <si>
    <t>Isa</t>
  </si>
  <si>
    <t>p-605-cn</t>
  </si>
  <si>
    <t>ayah Davin</t>
  </si>
  <si>
    <t>p-625-re</t>
  </si>
  <si>
    <t>Anom Karibianto(Kapolres Tasikmalaya)</t>
  </si>
  <si>
    <t>p-655-tr</t>
  </si>
  <si>
    <t>Barbie Kumlasari(artis)</t>
  </si>
  <si>
    <t>p-769-de</t>
  </si>
  <si>
    <t>Raihaanun(artis)</t>
  </si>
  <si>
    <t>p-790-su</t>
  </si>
  <si>
    <t>Kamboja(nama samaran mantan pramugari)***Roni Eka Mirsa(Vice President Cabin Crew PT Garuda Indonesia)</t>
  </si>
  <si>
    <t>sebut saja Kamboja</t>
  </si>
  <si>
    <t>p-1162-ok</t>
  </si>
  <si>
    <t>AKP Sugeng(Kapolsek VII Koto)</t>
  </si>
  <si>
    <t>hubungan selayaknya suami isteri</t>
  </si>
  <si>
    <t>p-1282-tr</t>
  </si>
  <si>
    <t>Kim Yong Ho(Garo Sero Institute)***Yo Jae Suk(Pembawa acara Garo Sero Institute)</t>
  </si>
  <si>
    <t>p-920-cn</t>
  </si>
  <si>
    <t>Fahri Hamzah(waketum Partai Gelora)</t>
  </si>
  <si>
    <t>p-1011-cn</t>
  </si>
  <si>
    <t>Gevorg(beauty vlogger Rusia)***Sergey Naumov(beauty vlogger Rusia)***Sergey Ostrikov(beauty vlogger Rusia)</t>
  </si>
  <si>
    <t>p-1063-cn</t>
  </si>
  <si>
    <t>Sus Talibur(Kabidpenum Puspen TNI)</t>
  </si>
  <si>
    <t>p-1104-su</t>
  </si>
  <si>
    <t>Turno(humas aliansi mahasiswa UGM)***Panut Mulyono(Rektor UGM)</t>
  </si>
  <si>
    <t>p-1244-ok</t>
  </si>
  <si>
    <t>Yuni Shara(artis)</t>
  </si>
  <si>
    <t>p-1250-re</t>
  </si>
  <si>
    <t>Mayjen Sisriadi(Kapuspen TNI)***Eko Daryanto(Kependam XVII/Cendrawasih)</t>
  </si>
  <si>
    <t>p-1326-ko</t>
  </si>
  <si>
    <t>p-1078-ko</t>
  </si>
  <si>
    <t>Lienda Ratnanurdianny(Kepala Satpol PP Depok)</t>
  </si>
  <si>
    <t>p-1561-ti</t>
  </si>
  <si>
    <t>p-1590-tr</t>
  </si>
  <si>
    <t>p-1619-ti</t>
  </si>
  <si>
    <t>United Voice Bandung(lembaga advokasi)***Bahrul Bangsawan(koordinator hukum dan ham united voice bandung)</t>
  </si>
  <si>
    <t>p-1635-ko</t>
  </si>
  <si>
    <t>a-5-su</t>
  </si>
  <si>
    <t>Komari(Kepala Dusun Jegles)</t>
  </si>
  <si>
    <t>29/11/2019</t>
  </si>
  <si>
    <t>Halili (Direktur Riset Setara Institute)</t>
  </si>
  <si>
    <t>a-12-de</t>
  </si>
  <si>
    <t>07/01//2019</t>
  </si>
  <si>
    <t>a-27-li</t>
  </si>
  <si>
    <t>a-44-li</t>
  </si>
  <si>
    <t>Yusril Ihza Mahendra(Pakar Hukum Tata Negara)***Abu Bakar Baasyir***Dahnil Anzar Simanjuntak(Juru Bicara Badan Pemenangan Nasional)***Joko Widodo(Presiden)</t>
  </si>
  <si>
    <t>Yati (Kordinator KontraS)</t>
  </si>
  <si>
    <t>a-49-de</t>
  </si>
  <si>
    <t xml:space="preserve"> Imam besar Masjid Istiqlal Nasaruddin Umar***calon hakim agung Imron Rosyadi</t>
  </si>
  <si>
    <t>a-56-ok</t>
  </si>
  <si>
    <t>a-88-li</t>
  </si>
  <si>
    <t>Deni Ahmad Haidar (Ketua GP Ansor Jawa Barat)***Yendra Budiana (Jubir Jemaah Ahmadiyah Indonesia)</t>
  </si>
  <si>
    <t>a-130-tr</t>
  </si>
  <si>
    <t>Sumardy(Ketua DPP PSI)</t>
  </si>
  <si>
    <t>a-168-ok</t>
  </si>
  <si>
    <t>Prof. Dr. Zudan Arif Fakrullah( Dirjen Kependudukan dan Pencatatan Sipil Kemendagri)</t>
  </si>
  <si>
    <t>a-175-ko</t>
  </si>
  <si>
    <t>Popong(Kepala Disdukcapil Kota Bandung)</t>
  </si>
  <si>
    <t>a-183-ti</t>
  </si>
  <si>
    <t>Abdul Muqsith Ghozali(Wakil Ketua Bahtsul Masail LBM PBNU)***Gomar Gultom(Sekretaris Umum Persekutuan Gereja-Gereja  di Indonesia PGI)</t>
  </si>
  <si>
    <t>a-205-tr</t>
  </si>
  <si>
    <t>a-217-re</t>
  </si>
  <si>
    <t>Addy Imansyah(Anggota KPU Sampang)</t>
  </si>
  <si>
    <t>a-219-ti</t>
  </si>
  <si>
    <t>a-223-li</t>
  </si>
  <si>
    <t>a-241-te</t>
  </si>
  <si>
    <t>Dewi Kanti(Pendamping Komunitas Adat Karuhun Sunda Wiwiwtan Jawa Barat)***Zudan</t>
  </si>
  <si>
    <t>3***-1</t>
  </si>
  <si>
    <t>a-320-cn</t>
  </si>
  <si>
    <t>a-337-ko</t>
  </si>
  <si>
    <t xml:space="preserve"> Ketua Umum Partai Solidaritas Indonesia (PSI)
</t>
  </si>
  <si>
    <t>a-355-li</t>
  </si>
  <si>
    <t>a-378-tr</t>
  </si>
  <si>
    <t>a-380-ok</t>
  </si>
  <si>
    <t>anon(korban diskriminasi)***Tuti Wakil Ketua Puan Hayati***Indriastuti Chandra Disdukcapil Jawa Barat</t>
  </si>
  <si>
    <t>2***1***1</t>
  </si>
  <si>
    <t>a-410-tr</t>
  </si>
  <si>
    <t>a-428-su</t>
  </si>
  <si>
    <t>Elisheva Dinar Prasasti Wiriaadmadja(Seorang Yahudi)***Monique(Seorang Keturunan Yahudi)</t>
  </si>
  <si>
    <t>a-429-te</t>
  </si>
  <si>
    <t>a-438-li</t>
  </si>
  <si>
    <t>a-446-ti</t>
  </si>
  <si>
    <t>Selamet Jumiarto(Seorang Katolik)***Agnes***Ahmad Edi(Manajer Pemasaran Islam Terpadu Green Tasneem)***Sudargo(Pengiklan Perumahan Darussalam)***Mohamad Iqba Ahnaf(Dosen UGM)***Rama Adyaksa Pradipta(Ketua Dewan REI)</t>
  </si>
  <si>
    <t>2***2***0***0***0***0</t>
  </si>
  <si>
    <t>1***1***0***0***1***0</t>
  </si>
  <si>
    <t>a-454-ti</t>
  </si>
  <si>
    <t>a-476-de</t>
  </si>
  <si>
    <t>Budi Santoso (tokoh komunitas Sedulur Sikep)***Ahmad Sofyan(Plt Kepala DIskukcapil Kudus)</t>
  </si>
  <si>
    <t>a-503-re</t>
  </si>
  <si>
    <t>a-509-ok</t>
  </si>
  <si>
    <t>a-537-ko</t>
  </si>
  <si>
    <t>a-541-su</t>
  </si>
  <si>
    <t>Agus Zainal Mubarok(mewakili muslim Sunni)***Ridwan Buton(Jemaat Ahamadiyah Indonesia)***Miftah Rahmat(Ikatan Jamaah Ahlulbait Indonesia)</t>
  </si>
  <si>
    <t>0***2***2</t>
  </si>
  <si>
    <t>a-552-su</t>
  </si>
  <si>
    <t xml:space="preserve">Najib Burhani(Pengurus Pusat Muhammadiyah sekaligus Peneliti Senior Lembaga Ilmu Pengetahuan Indonesia)***Ruhmadi Ahmad(Ketua Lakpesdam PBNU) </t>
  </si>
  <si>
    <t>a-566-re</t>
  </si>
  <si>
    <t>a-582-te</t>
  </si>
  <si>
    <t>a-597-ti</t>
  </si>
  <si>
    <t>a-612-ko</t>
  </si>
  <si>
    <t>a-621-li</t>
  </si>
  <si>
    <t>a-631-li</t>
  </si>
  <si>
    <t>a-648-ok</t>
  </si>
  <si>
    <t>a-653-ti</t>
  </si>
  <si>
    <t>a-662-li</t>
  </si>
  <si>
    <t>a-664-tr</t>
  </si>
  <si>
    <t>a-695-re</t>
  </si>
  <si>
    <t>a-711-de</t>
  </si>
  <si>
    <t>juru bicara Kementerian Luar Negeri Iran, Abbas Mousavi</t>
  </si>
  <si>
    <t>a-716-li</t>
  </si>
  <si>
    <t>a-729-te</t>
  </si>
  <si>
    <t>a-761-ko</t>
  </si>
  <si>
    <t>Hakim Agung Andrew Tinney</t>
  </si>
  <si>
    <t>a-774-li</t>
  </si>
  <si>
    <t>a-775-su</t>
  </si>
  <si>
    <t>Brigjen Polisi Dedi Prasetyo(Divisi Humas Polri)***Engkus Ruswana(Tokoh Penghayat Kepercayaan di Indonesia)</t>
  </si>
  <si>
    <t>a-786-cn</t>
  </si>
  <si>
    <t>a-798-re</t>
  </si>
  <si>
    <t>a-805-ko</t>
  </si>
  <si>
    <t>a-820-su</t>
  </si>
  <si>
    <t xml:space="preserve">Kapolsek Syiah Kuala Ajun Komisaris Edi Saputra
</t>
  </si>
  <si>
    <t>a-822-cn</t>
  </si>
  <si>
    <t>a-826-su</t>
  </si>
  <si>
    <t>5 (Pengajian tanpa nama kelompok yang dianggap menyimpang)</t>
  </si>
  <si>
    <t>Damanhuri Basyir(Ketua MPU Banda Aceh)***Kapolsek Syiah Kuala, AKP Edi Saputra.</t>
  </si>
  <si>
    <t>Penyimpangan Tauhid</t>
  </si>
  <si>
    <t>a-839-te</t>
  </si>
  <si>
    <t>a-852-li</t>
  </si>
  <si>
    <t>a-856-de</t>
  </si>
  <si>
    <t>Kepala Pusat Penerangan (Kapuspen) Kemendagri, Bahtiar Baharuddin</t>
  </si>
  <si>
    <t>a-884-su</t>
  </si>
  <si>
    <t>a-891-cn</t>
  </si>
  <si>
    <t>d-117-cn</t>
  </si>
  <si>
    <t>d-158-cn</t>
  </si>
  <si>
    <t>d-273-te</t>
  </si>
  <si>
    <t>d-563-ti</t>
  </si>
  <si>
    <t>d-876-li</t>
  </si>
  <si>
    <t xml:space="preserve">Triyono
</t>
  </si>
  <si>
    <t>d-1061-tr</t>
  </si>
  <si>
    <t>d-1247-tr</t>
  </si>
  <si>
    <t>d-1298-li</t>
  </si>
  <si>
    <t>d-1319-te</t>
  </si>
  <si>
    <t>Nur Syarif Ramadhan(Sekretaris PERDIK)***Endah Tri Wayuningsih(Pustakawati Mitra Netra)***Edy Aryawan(Penggagas Smart Netra Library)</t>
  </si>
  <si>
    <t>d-1374-ko</t>
  </si>
  <si>
    <t>Joko Widodo(calon presiden)</t>
  </si>
  <si>
    <t>d-1517-ti</t>
  </si>
  <si>
    <t>d-2132-te</t>
  </si>
  <si>
    <t>29/01/2019</t>
  </si>
  <si>
    <t>Tri Winarsih, Kepala Bagian Umum Yayasan Mitra***ujar Fahri Rosa, penyandang disabilitas lulusan Sastra Jerman Universitas Indonesia***Juwita Maulida(penyandang disabilitas)</t>
  </si>
  <si>
    <t xml:space="preserve">1***2***2
</t>
  </si>
  <si>
    <t>05//02/2019</t>
  </si>
  <si>
    <t>d-2618-cn</t>
  </si>
  <si>
    <t>majelis hakim***Julisman(penasehat hukum)</t>
  </si>
  <si>
    <t>d-2797-su</t>
  </si>
  <si>
    <t>d-2858-ko</t>
  </si>
  <si>
    <t xml:space="preserve">Oskar Riandi
</t>
  </si>
  <si>
    <t>d-3063-de</t>
  </si>
  <si>
    <t>Direktur Pencegahan dan Pengendalian Penyakit Menular Langsung Kementerian Kesehatan, dr Wiendra Waworuntu, MKes</t>
  </si>
  <si>
    <t>d-3298-ti</t>
  </si>
  <si>
    <t xml:space="preserve">Pelaksana Harian PPUA Penyandang Disabilitas, April Syar
</t>
  </si>
  <si>
    <t>d-3399-ok</t>
  </si>
  <si>
    <t>d-3640-cn</t>
  </si>
  <si>
    <t>Vennetia R Danies(Deputi Bidang Hak Perempuan)</t>
  </si>
  <si>
    <t>d-3642-de</t>
  </si>
  <si>
    <t>d-4007-ok</t>
  </si>
  <si>
    <t>Kasat Reskrim Iptu Dian Pornomo</t>
  </si>
  <si>
    <t>d-4304-tr</t>
  </si>
  <si>
    <t xml:space="preserve">
Paula Verhoeven(model)
</t>
  </si>
  <si>
    <t>d-4377-su</t>
  </si>
  <si>
    <t>Anders Peter Hviid, peneliti</t>
  </si>
  <si>
    <t>d-4386-ti</t>
  </si>
  <si>
    <t xml:space="preserve">BUMN***Kepala Biro Umum dan Humas Kementerian BUMN Wahyu Wibowo
</t>
  </si>
  <si>
    <t>d-5136-su</t>
  </si>
  <si>
    <t>ZL(pelaku pembunuhan)</t>
  </si>
  <si>
    <t>d-5197-tr</t>
  </si>
  <si>
    <t>d-5424-su</t>
  </si>
  <si>
    <t xml:space="preserve">Asfan(korban)***Kapolsek Panceng AKP Lukman
</t>
  </si>
  <si>
    <t>d-5905-su</t>
  </si>
  <si>
    <t>d-5941-cn</t>
  </si>
  <si>
    <t>Madeline Stuart(Model)***Rosanne(Pendamping)</t>
  </si>
  <si>
    <t>d-6252-ko</t>
  </si>
  <si>
    <t xml:space="preserve">Direktur Pencegahan dan Pengendalian Penyakit Tular Vektor dan Zoonotik Kementerian Kesehatan ( Kemenkes) Siti Nadia Tarmizi
</t>
  </si>
  <si>
    <t>d-6467-ok</t>
  </si>
  <si>
    <t>d-6511-de</t>
  </si>
  <si>
    <t>Ketua Pengurus Pusat Perhimpunan Dokter Spesialis Telinga Hidung Tenggorok Bedah Kepala Leher (PP Perhati-KL) Indonesia dr Soekirman Soekin Sp THT-KL (K)</t>
  </si>
  <si>
    <t>d-6518-li</t>
  </si>
  <si>
    <t>Dr Erham Wilda MPD(Ketua Prodi PG Paud Unisba)</t>
  </si>
  <si>
    <t>d-6550-te</t>
  </si>
  <si>
    <t>Corporate Secretary Division Head PT MRT Jakarta, Muhammad Kamaluddin</t>
  </si>
  <si>
    <t>d-6795-re</t>
  </si>
  <si>
    <t>d-6809-te</t>
  </si>
  <si>
    <t>Ariani Sukamwo(Ketua Gerakan Aksesibilitas Umum Nasional)***Muslih(Seorang Tunanetra)</t>
  </si>
  <si>
    <t>d-7562-li</t>
  </si>
  <si>
    <t>d-7798-tr</t>
  </si>
  <si>
    <t>d-7869-te</t>
  </si>
  <si>
    <t>Mahreta Maha(akrtis)***Anggia Kharisma(produser)</t>
  </si>
  <si>
    <t>d-8076-ok</t>
  </si>
  <si>
    <t>Sara Hinesley</t>
  </si>
  <si>
    <t>d-8353-cn</t>
  </si>
  <si>
    <t>d-8821-su</t>
  </si>
  <si>
    <t>d-8900-de</t>
  </si>
  <si>
    <t>Website DPR</t>
  </si>
  <si>
    <t>d-9054-tr</t>
  </si>
  <si>
    <t>Selvi Rita(Penari)</t>
  </si>
  <si>
    <t>d-9095-ko</t>
  </si>
  <si>
    <t>Putri Sampaghita Trisnawinny Santoso
(pendiri kopi tuli)</t>
  </si>
  <si>
    <t>d-9285-de</t>
  </si>
  <si>
    <t>d-9430-te</t>
  </si>
  <si>
    <t>Emma Boswel(Penyandang Disabiltas)</t>
  </si>
  <si>
    <t>d-9431-ti</t>
  </si>
  <si>
    <t>Adi(pasien)*** Jiemi Ardian, residen psikiatri di RSUD Dr. Moewardi</t>
  </si>
  <si>
    <t>d-9534-ok</t>
  </si>
  <si>
    <t>d-9723-li</t>
  </si>
  <si>
    <t>d-9775-cn</t>
  </si>
  <si>
    <t>d-10058-ko</t>
  </si>
  <si>
    <t>d-10176-de</t>
  </si>
  <si>
    <t>d-10185-ko</t>
  </si>
  <si>
    <t>dr Lila Nurmayanti, (dokter)
***Herlin Ferliana, direktur Rumah Sakit Jiwa Menur Surabaya</t>
  </si>
  <si>
    <t>d-10220-ti</t>
  </si>
  <si>
    <t>d-10412-ko</t>
  </si>
  <si>
    <t>d-10913-li</t>
  </si>
  <si>
    <t xml:space="preserve">Kapolres Metro Jakarta Selatan Komisaris Besar Indra Jafar
</t>
  </si>
  <si>
    <t>d-11594-re</t>
  </si>
  <si>
    <t>Kasatreskrim Polres Garut AKP Maradona Armin Mappaseng</t>
  </si>
  <si>
    <t>d-11875-re</t>
  </si>
  <si>
    <t>d-11986-cn</t>
  </si>
  <si>
    <t>Kapolres Pandelang AKBP Indra Lutrianto Amstono</t>
  </si>
  <si>
    <t xml:space="preserve"> Erlina(istri korban)***Reskrim Iptu Jhon Digul Manra</t>
  </si>
  <si>
    <t>d-12081-cn</t>
  </si>
  <si>
    <t>d-12231-te</t>
  </si>
  <si>
    <t>25//06/2019</t>
  </si>
  <si>
    <t>Tika(Seorang Tuna Daksa)***Wahyu Mulad Widodo(Seorang Tuna Daksa)</t>
  </si>
  <si>
    <t>d-12397-ti</t>
  </si>
  <si>
    <t>d-12481-te</t>
  </si>
  <si>
    <t>d-12517-ok</t>
  </si>
  <si>
    <t>d-12854-te</t>
  </si>
  <si>
    <t>Zainut Tauhid Sa'adi, Wakil Ketua Umum MUI***Kasubbag Humas Polres Bogor, Ajun Komisaris Ita Puspita Lena</t>
  </si>
  <si>
    <t>d-13224-tr</t>
  </si>
  <si>
    <t xml:space="preserve">Kapolsek Sukanagara, AKP Cahyadi
</t>
  </si>
  <si>
    <t>d-13231-de</t>
  </si>
  <si>
    <t>d-13352-re</t>
  </si>
  <si>
    <t>Yayat Rukhiyat(Penyandang Disabilitas)***Mukhlis Hanafi(Kepala LPMQ)</t>
  </si>
  <si>
    <t>d-13534-te</t>
  </si>
  <si>
    <t>d-13764-li</t>
  </si>
  <si>
    <t>Wakil Ketua Umum DMI Syfruddin***Menteri Pendayagunaan Aparatur Negara dan Reformasi Birokrasi (PAN-RB)</t>
  </si>
  <si>
    <t>d-13807-tr</t>
  </si>
  <si>
    <t xml:space="preserve">Kasatpol PP Kota Denpasar, Dewa Gede Anom Sayoga ngedumel
</t>
  </si>
  <si>
    <t>d-14362-cn</t>
  </si>
  <si>
    <t>Kepala RS Polri Brigadir Jenderal Musyafak</t>
  </si>
  <si>
    <t>d-14490-de</t>
  </si>
  <si>
    <t>d-14862-su</t>
  </si>
  <si>
    <t>Asisten Deputi Pemberdayaan Perempuan dan Anak, Nyimas Aliah***Dokter Romi Sopfya Ismael</t>
  </si>
  <si>
    <t xml:space="preserve">1***1
</t>
  </si>
  <si>
    <t>d-15291-ko</t>
  </si>
  <si>
    <t>d-15339-te</t>
  </si>
  <si>
    <t>Menteri Dalam Negeri (Mendagri) Tjahjo Kumolo***Menteri Pendayagunaan Aparatur Negara dan Reformasi Birokrasi Syafruddin</t>
  </si>
  <si>
    <t>d-15595-re</t>
  </si>
  <si>
    <t>d-15612-te</t>
  </si>
  <si>
    <t>Kepala Dinas Sosial DKI Jakarta Irmansyah</t>
  </si>
  <si>
    <t>d-15892-te</t>
  </si>
  <si>
    <t xml:space="preserve"> Ketua Umum INAF, Yudi Yahya***Tomo(pelatih)</t>
  </si>
  <si>
    <t>d-15988-tr</t>
  </si>
  <si>
    <t>Nancy Boroc(Penyandang Disabilitas)</t>
  </si>
  <si>
    <t>d-16046-te</t>
  </si>
  <si>
    <t>Lee Duck-hee(petenis)</t>
  </si>
  <si>
    <t>d-16101-ok</t>
  </si>
  <si>
    <t>d-16482-cn</t>
  </si>
  <si>
    <t>21/08/2019</t>
  </si>
  <si>
    <t>d-16839-re</t>
  </si>
  <si>
    <t>Kordinator untuk disabilitas, Bahrul Fuad di Masjid Istiqlal Jakarta</t>
  </si>
  <si>
    <t>d-16928-ok</t>
  </si>
  <si>
    <t xml:space="preserve"> Fitri Utaminingrum, dosen Fakultas Ilmu Komputer, Universitas Brawijaya </t>
  </si>
  <si>
    <t>d-16948-te</t>
  </si>
  <si>
    <t>d-17321-cn</t>
  </si>
  <si>
    <t>d-17342-re</t>
  </si>
  <si>
    <t>dr Caessar Pronocitro. S.Pa, M.Sc(Ahli/Dokter)</t>
  </si>
  <si>
    <t>d-17362-tr</t>
  </si>
  <si>
    <t xml:space="preserve">
</t>
  </si>
  <si>
    <t>d-17371-de</t>
  </si>
  <si>
    <t>d-17439-tr</t>
  </si>
  <si>
    <t>d-17490-re</t>
  </si>
  <si>
    <t>d-17530-ok</t>
  </si>
  <si>
    <t>d-17536-re</t>
  </si>
  <si>
    <t>Syafrin Liputo( Kepala Dinas Perhubungan DKI Jakarta)</t>
  </si>
  <si>
    <t>d-17542-te</t>
  </si>
  <si>
    <t xml:space="preserve"> Kepala Dinas Perhubungan DKI Jakarta Syafrin Liputo</t>
  </si>
  <si>
    <t>d-17544-ti</t>
  </si>
  <si>
    <t xml:space="preserve">Laras(Lesbian)***Andros(Homo)***Andreas Harsono(Penulis)***Mahyeldi Ansharullah(Wali Kota Padang)***Tim Jones(Sejarawan Budaya)***Ustaz Abu Albani(Ahli Ruqyah)***Shinta Ratri(Muslim Transpuan, pemimpin Pondok Pesantren Al Fatah)***Niki(Aktivis Kesehetan Padang)***Rahardian(Pendeta Suarbudaya) </t>
  </si>
  <si>
    <t>2***2***0***0***0***0***2***0***0</t>
  </si>
  <si>
    <t>1***1***1***-1***1***-1***1***1***1</t>
  </si>
  <si>
    <t>i-48-ok</t>
  </si>
  <si>
    <t>Manajer Fret, Eduardo Rodriguez</t>
  </si>
  <si>
    <t>i-57-te</t>
  </si>
  <si>
    <t>Mohammad Idris(Wali Kota Depok)</t>
  </si>
  <si>
    <t>i-78-ok</t>
  </si>
  <si>
    <t>El Ramuza tokoh pemuda di Jalan Uka***Ruli Ramadani pemilik rumah sekaligus Pengurus Sekretariat OPSI</t>
  </si>
  <si>
    <t>i-109-su</t>
  </si>
  <si>
    <t>i-110-te</t>
  </si>
  <si>
    <t>Pete Buttigieg, wali kota dari South Bend, Indiana</t>
  </si>
  <si>
    <t>i-122-su</t>
  </si>
  <si>
    <t>Peneliti P2D sekaligus Dosen Sosiologi UNJ, Robertus Robet</t>
  </si>
  <si>
    <t>i-134-ti</t>
  </si>
  <si>
    <t>Benedict Anderson(Peneliti)***Achmad Sunjayadi(Penulis)***Ferdiansyah Thajib(Penulis)</t>
  </si>
  <si>
    <t>i-184-de</t>
  </si>
  <si>
    <t xml:space="preserve">20/01/2019
</t>
  </si>
  <si>
    <t>Noor Tagouri(Wartawan,Aktifis)***Majalah Vogue(majalah)</t>
  </si>
  <si>
    <t>i-239-cn</t>
  </si>
  <si>
    <t>Anna Wintour(Redaksi Vogue)</t>
  </si>
  <si>
    <t>i-254-ti</t>
  </si>
  <si>
    <t>i-262-de</t>
  </si>
  <si>
    <t>28/01/2019</t>
  </si>
  <si>
    <t>i-265-ok</t>
  </si>
  <si>
    <t>Rapinoe(Pesepak Bola, Lesbian)***Sanderson(Pesepak Bola, Lesbian)***Casey Stoney(Lesbian)***Nilla FIscher(Lesbian)***Nadien Angerer(Pesepak Bola, Biseksual)</t>
  </si>
  <si>
    <t>2***2***2***2***2</t>
  </si>
  <si>
    <t>i-273-de</t>
  </si>
  <si>
    <t>Imam Nakhae'ie(Komisioner Komnas Perempuan)</t>
  </si>
  <si>
    <t>i-325-su</t>
  </si>
  <si>
    <t>i-340-tr</t>
  </si>
  <si>
    <t xml:space="preserve">Kasat Reskrim Polrestabes Bandung AKBP M Rifai
</t>
  </si>
  <si>
    <t>i-344-cn</t>
  </si>
  <si>
    <t xml:space="preserve"> </t>
  </si>
  <si>
    <t>Dini Shanti Purwono (Politikus PSI)</t>
  </si>
  <si>
    <t>i-372-ti</t>
  </si>
  <si>
    <t>i-398-ko</t>
  </si>
  <si>
    <t>i-418-cn</t>
  </si>
  <si>
    <t>i-505-ok</t>
  </si>
  <si>
    <t>mami_jemmy(netizen)***johanhikmat(netizen)***shanaz_vani(netizen)</t>
  </si>
  <si>
    <t>i-516-su</t>
  </si>
  <si>
    <t>Lukman Hakim Saifuddin(Menteri Agama)</t>
  </si>
  <si>
    <t>i-520-cn</t>
  </si>
  <si>
    <t>Rami Malek(aktor)***sepupu Rami Malek, Fady Essam</t>
  </si>
  <si>
    <t>i-550-ok</t>
  </si>
  <si>
    <t>Ferdinandus Setu(Plt . Kepala Biro Humas Kementerian Kominfo)</t>
  </si>
  <si>
    <t>i-645-su</t>
  </si>
  <si>
    <t>Lucinta Luna(selebriti)***@bunda_maharafly(netizen)***@amaro3amaro(netizen)***@vairuzvarrin(netizen)</t>
  </si>
  <si>
    <t>i-659-te</t>
  </si>
  <si>
    <t>pengasuh Ponpes Al-Fatah Shinta Ratri</t>
  </si>
  <si>
    <t>i-713-su</t>
  </si>
  <si>
    <t>Kabid Humas Polda Metro Jaya Kombes Argo Yuwono</t>
  </si>
  <si>
    <t>i-802-ok</t>
  </si>
  <si>
    <t>i-840-ko</t>
  </si>
  <si>
    <t xml:space="preserve"> Sultan Brunei Darussalam Hassanal Bolkiah
</t>
  </si>
  <si>
    <t>i-851-re</t>
  </si>
  <si>
    <t>i-890-cn</t>
  </si>
  <si>
    <t>Grace Natalie(Ketua Umum Partai Solidaritas Indonesia)</t>
  </si>
  <si>
    <t>i-900-ti</t>
  </si>
  <si>
    <t>Yohan Misero(Advokat LBH Masyarakat)***Lini Zurlia(Advokat ASEAN SOGIE Caucus)</t>
  </si>
  <si>
    <t>i-913-ok</t>
  </si>
  <si>
    <t>Menteri Riset, Teknologi, dan Pendidikan Tinggi (Menristekdikti) Muhammad Nasir</t>
  </si>
  <si>
    <t>i-928-su</t>
  </si>
  <si>
    <t>i-936-ko</t>
  </si>
  <si>
    <t>Sri Nurherwati(Komisioner Komisi Nasional Antikekerasan Terhadap Perempuan, Komnas Perempuan)</t>
  </si>
  <si>
    <t>i-952-de</t>
  </si>
  <si>
    <t>Karo Penmas Divisi Humas Polri Brigjen Dedi Prasetyo</t>
  </si>
  <si>
    <t>i-963-ok</t>
  </si>
  <si>
    <t>Solena Chaniago</t>
  </si>
  <si>
    <t>i-1001-te</t>
  </si>
  <si>
    <t>Runtung Sitepu(Rektor Universitas Sumatera Utara)***Yael Stefany(Penulis Cerpen)</t>
  </si>
  <si>
    <t>i-1058-su</t>
  </si>
  <si>
    <t>Matthew Woolfe(Pendiri HAM The Brunei Project)***Dede Oetomo(Aktivis LGBT)</t>
  </si>
  <si>
    <t>Matthew Woolfe(Pendiri HAM The Brunei Project)</t>
  </si>
  <si>
    <t>i-1085-ti</t>
  </si>
  <si>
    <t>Lea(biseksual)***Yuli, Ketua Forum Komunikasi Waria Indonesia***Roni(gay)***Hanif(gay)</t>
  </si>
  <si>
    <t>i-1147-de</t>
  </si>
  <si>
    <t>Reuters(media)***George Clooney(Aktor)***Joe Biden(Mantan Wakil Presiden AS)***Ted Cruz(wakil Partai Republik dari Texas)***Penny Mourdaunt(Menteri Pembangunan Inggris)</t>
  </si>
  <si>
    <t>i-1148-ko</t>
  </si>
  <si>
    <t xml:space="preserve">kepala hak asasi PBB, Michelle Bachelet
</t>
  </si>
  <si>
    <t>i-1217-re</t>
  </si>
  <si>
    <t>i-1259-re</t>
  </si>
  <si>
    <t>Ellen Degeneres(Host)</t>
  </si>
  <si>
    <t>i-1362-su</t>
  </si>
  <si>
    <t>Borneo Bulletin(Media)***Faris(Netizen fb)</t>
  </si>
  <si>
    <t>i-1443-re</t>
  </si>
  <si>
    <t>i-1447-te</t>
  </si>
  <si>
    <t>Dato Erywan Pehin Yusof(Menteri Luar Negeri Brunei)</t>
  </si>
  <si>
    <t>i-1477-cn</t>
  </si>
  <si>
    <t xml:space="preserve">
 Khairul(gay)***zain(gay)***Shahiran S. Shahrani(gay)</t>
  </si>
  <si>
    <t>i-1490-te</t>
  </si>
  <si>
    <t>Garin Nugroho(Sutradara)</t>
  </si>
  <si>
    <t>i-1563-su</t>
  </si>
  <si>
    <t xml:space="preserve">23/04/2019
</t>
  </si>
  <si>
    <t>Dinar Candy(Selebriti)</t>
  </si>
  <si>
    <t>i-1581-te</t>
  </si>
  <si>
    <t>24/04/209</t>
  </si>
  <si>
    <t>Sultan Hassanal Bolkiah(raja)***Phil Robertson, wakil direktur Asia di Human Rights Watch</t>
  </si>
  <si>
    <t>Yusuf Supriatman(Ketua RW 014)***Deni Andrean(ketua Karangtaruna)</t>
  </si>
  <si>
    <t>i-1707-ko</t>
  </si>
  <si>
    <t>BBC(media)</t>
  </si>
  <si>
    <t>i-1720-ko</t>
  </si>
  <si>
    <t xml:space="preserve">Walikota Padang Mahyeldi
</t>
  </si>
  <si>
    <t>i-1751-ko</t>
  </si>
  <si>
    <t xml:space="preserve"> Lee Hsien
(ayah Harry lee)</t>
  </si>
  <si>
    <t>i-1826-li</t>
  </si>
  <si>
    <t>ABC Indonesia(media)***Tsai Ing Wen(Presiden Taiwan)***John Wu(Legislator)</t>
  </si>
  <si>
    <t>i-1843-de</t>
  </si>
  <si>
    <t>Pieter (Kabid Trantibum Satpol PP Surabaya)</t>
  </si>
  <si>
    <t>i-1856-li</t>
  </si>
  <si>
    <t>i-1861-cn</t>
  </si>
  <si>
    <t xml:space="preserve">23/05/2019
</t>
  </si>
  <si>
    <t>Ifa Isfansyah(produser)***Garin Nugroho(sutradara)</t>
  </si>
  <si>
    <t>i-2027-ok</t>
  </si>
  <si>
    <t>i-2053-ti</t>
  </si>
  <si>
    <t xml:space="preserve">Kuasa hukum TTP, polisi gay di Kota Semarang, M Afif Abdul Qoim
***Komisioner Komnas HAM Sandrayati Moniaga
</t>
  </si>
  <si>
    <t>i-2091-cn</t>
  </si>
  <si>
    <t>i-2111-te</t>
  </si>
  <si>
    <t>i-2124-ko</t>
  </si>
  <si>
    <t xml:space="preserve">Hein Aung Thu(netizen)***Hla Myat Tun, (wakil direktur organisasi LGBT Colors Rainbow)
</t>
  </si>
  <si>
    <t>i-2126-te</t>
  </si>
  <si>
    <t>Tika(transpuan penyadang disabilitas)***Wahyu***Aska Wijaya Hutapea***Project Officer Program Peduli Yakkun, Rosana Yuditia Ripi***Manajer Program Festival Benang Merah, Noviana</t>
  </si>
  <si>
    <t xml:space="preserve">2***2***2***0***0
</t>
  </si>
  <si>
    <t xml:space="preserve">1***1***1***1***1
</t>
  </si>
  <si>
    <t>i-2180-re</t>
  </si>
  <si>
    <t>i-2190-cn</t>
  </si>
  <si>
    <t>Vladirimir Putin(presiden Rusia)***Elton John(penyanyi)</t>
  </si>
  <si>
    <t>AKP Aldy Sulaiman (Kepala Unit V Subdit 3 Ditreskrimum Polda Jawa Timur)</t>
  </si>
  <si>
    <t>i-2237-de</t>
  </si>
  <si>
    <t xml:space="preserve">Ben Carson (kandidat capres AS)***profesor peradilan pidana dari Universitas Tennessee***Profesor Christopher Hensley dari Universitas Tennesee di Chattanooga***Gregory T Angleo </t>
  </si>
  <si>
    <t>i-2260-re</t>
  </si>
  <si>
    <t>ali Kota Depok, Mohammad Idris***akil Wali Kota Depok, Pradi Supriatna</t>
  </si>
  <si>
    <t>i-2273-li</t>
  </si>
  <si>
    <t>@denarachman(Instagram)</t>
  </si>
  <si>
    <t>i-2316-ok</t>
  </si>
  <si>
    <t>Uskup Gereja Siprus Neophytos Masouras</t>
  </si>
  <si>
    <t>i-2453-ti</t>
  </si>
  <si>
    <t>Tempo(media)***Nico Pelamonia(sutradara)</t>
  </si>
  <si>
    <t>i-2459-tr</t>
  </si>
  <si>
    <t xml:space="preserve">AKP Ardy Yusuf(Kepala Satuan Reserse Kriminal Polres Palopo)
</t>
  </si>
  <si>
    <t>i-2522-cn</t>
  </si>
  <si>
    <t>i-2545-su</t>
  </si>
  <si>
    <t>Rembulan(pekerja seks)***Anggur(waria)</t>
  </si>
  <si>
    <t xml:space="preserve">
Roy Pangharapan(Ketua Dewan Kesehatan Rakyat Kota Depok)</t>
  </si>
  <si>
    <t>i-2647-ko</t>
  </si>
  <si>
    <t>i-2656-te</t>
  </si>
  <si>
    <t>i-2672-ti</t>
  </si>
  <si>
    <t xml:space="preserve">Megan Rapinoe
(pesepak bola)***Donald Trump(presiden Amerika)*** Jill Ellis, pelatih Amerika Serikat
</t>
  </si>
  <si>
    <t>i-2699-su</t>
  </si>
  <si>
    <t xml:space="preserve">Millendaru(artis)
</t>
  </si>
  <si>
    <t>i-2797-ko</t>
  </si>
  <si>
    <t>Kepri Ery Syahrial(Ketua Komisi Perlindungan dan Pengawasan Anak Daerah)***Ucok Lasdin(Kapolres Tanjungpinang)</t>
  </si>
  <si>
    <t>i-2806-tr</t>
  </si>
  <si>
    <t>i-2819-tr</t>
  </si>
  <si>
    <t>i-2915-de</t>
  </si>
  <si>
    <t>Adriana Venny(Komnas Perempuan)***Sobri Lubis(Ketum FPI)</t>
  </si>
  <si>
    <t>i-2922-ok</t>
  </si>
  <si>
    <t>i-2925-li</t>
  </si>
  <si>
    <t>The British Library, bl.uk</t>
  </si>
  <si>
    <t>i-2930-ti</t>
  </si>
  <si>
    <t>i-2948-ko</t>
  </si>
  <si>
    <t>Dwi Hartono(Kapolres Lubuklinggau AKBP)</t>
  </si>
  <si>
    <t>i-2965-te</t>
  </si>
  <si>
    <t>Science Magazine(media)***Profesor Greg Neely(University of Sydney)***(Penulis studi genetika)</t>
  </si>
  <si>
    <t>i-2999-ok</t>
  </si>
  <si>
    <t>i-3008-su</t>
  </si>
  <si>
    <t>Riki Saputra(Rektor UMSB)</t>
  </si>
  <si>
    <t>i-3009-ti</t>
  </si>
  <si>
    <t>Laras(Lesbian)***Andreas Harsono (peneliti Human Right Watch)***Mahyeldi Ansharullah(Wali Kota Padang)***Genius Umar(Wali Kota Pariaman)***Tim Jones(sejarawan budaya di La Trobe University)***Abu Albani(Ustaz)***Ratri(seorang transpuan)***Niki(aktivis kesehatan di Padang)</t>
  </si>
  <si>
    <t>2***0***0***0***0***2***0***1</t>
  </si>
  <si>
    <t>1***1***-1***-1***1***-1***1***1</t>
  </si>
  <si>
    <t>i-3018-su</t>
  </si>
  <si>
    <t>23/09/2019</t>
  </si>
  <si>
    <t>Iptu Marjoni Usman</t>
  </si>
  <si>
    <t>Lucinta Luna(selebritis)***Iweddw(netizen)***Sriandini Sriandinilah(netizen)***Marvil Dwi Saputra(netizen)</t>
  </si>
  <si>
    <t>1***-1***-1***-1</t>
  </si>
  <si>
    <t>p-371-ok</t>
  </si>
  <si>
    <t>p-906-su</t>
  </si>
  <si>
    <t>p-1493-tr</t>
  </si>
  <si>
    <t>RA(korban perkosaan)</t>
  </si>
  <si>
    <t>p-2014-tr</t>
  </si>
  <si>
    <t>p-2904-ok</t>
  </si>
  <si>
    <t>15/01/2091</t>
  </si>
  <si>
    <t>Kiko Mizuhara(korban pelecehan seksual)</t>
  </si>
  <si>
    <t>p-2946-te</t>
  </si>
  <si>
    <t>p-3375-cn</t>
  </si>
  <si>
    <t>p-4014-de</t>
  </si>
  <si>
    <t>*Ketua Dewan Pengawas (Dewas) BPJS Ketenagakerjaan Guntur Witjaksono***Syafri Adnan Baharuddin(terduga pelaku pelecehan seksual)</t>
  </si>
  <si>
    <t xml:space="preserve">0***0
</t>
  </si>
  <si>
    <t>p-4198-cn</t>
  </si>
  <si>
    <t>p-4502-tr</t>
  </si>
  <si>
    <t>p-4591-te</t>
  </si>
  <si>
    <t>p-4769-de</t>
  </si>
  <si>
    <t>AFP(meida)***Thierry Moser(pengacara sang pastor)</t>
  </si>
  <si>
    <t>p-5184-de</t>
  </si>
  <si>
    <t xml:space="preserve">Ivan Colev(pelatih sepak bola)
</t>
  </si>
  <si>
    <t>p-5261-su</t>
  </si>
  <si>
    <t>p-5933-ok</t>
  </si>
  <si>
    <t xml:space="preserve">Welhelmus Poek(Ketua Himpunan Pelajar Indonesia di Canberra)***kepolisian ACT(kepolisian)***Universitas Canberra***Universitas Nasional Australia </t>
  </si>
  <si>
    <t>p-6201-ti</t>
  </si>
  <si>
    <t>16/02/1029</t>
  </si>
  <si>
    <t>p-6412-tr</t>
  </si>
  <si>
    <t xml:space="preserve">21/02/2019
</t>
  </si>
  <si>
    <t xml:space="preserve">Jasson Berry(jurnalis)***atasan pastor***BBC(media)***Uskup Agung Mark Coleridge***Ampleforth(gereja/sekolah)***Downside(gereja/sekolah)***Paus Fransiskus
</t>
  </si>
  <si>
    <t>1***1***1***1***1***1***1</t>
  </si>
  <si>
    <t>p-6526-su</t>
  </si>
  <si>
    <t>p-6561-de</t>
  </si>
  <si>
    <t xml:space="preserve">AKP Edi Qorinas(Kasat Reskrim Polres Tanggamus)***Tanggamus Ipda Primadona Laila(Kanit Perlindungan Perempuan dan Anak (PPA) Satreskrim Polres) </t>
  </si>
  <si>
    <t>p-6723-ti</t>
  </si>
  <si>
    <t>BBC(media)***Avenatti(pengacara)***Steve Greenberg(pengacara)</t>
  </si>
  <si>
    <t xml:space="preserve"> Iptu Fathur Rohman(Kapolsek Semboro)</t>
  </si>
  <si>
    <t>p-6842-te</t>
  </si>
  <si>
    <t>p-6942-ti</t>
  </si>
  <si>
    <t xml:space="preserve">Saras Dewi(Dosen)***Ace Hasan Syadzily(Wakil Ketua Komisi VIII DPR RI)***Ratna Batara Munti(Pengacara Publik dari LBH APIK)
</t>
  </si>
  <si>
    <t>p-7030-re</t>
  </si>
  <si>
    <t>Hakim Li J(Konsulat Jenderal RI di Hong Kong)***Tri Tharyat (Konsul Jenderal RI untuk Hong Kong)</t>
  </si>
  <si>
    <t>The Wall Streets Journal***Google</t>
  </si>
  <si>
    <t>p-7727-te</t>
  </si>
  <si>
    <t>Sarkawi Datuak Mongguang Kayo(Dinas Pemberdayaan Perempuan dan Perlindungan Anak Kota Pekanbaru)</t>
  </si>
  <si>
    <t>p-7797-ti</t>
  </si>
  <si>
    <t xml:space="preserve"> Inquirer, MBC News Desk (media)***Jang Yun-mi(juru bicara Asosiasi Pengacara Wanita Korea)***Han Sol( aktivis Flaming Feminist Action)*** KBS News(media)</t>
  </si>
  <si>
    <t>0***
0***1***0</t>
  </si>
  <si>
    <t>p-7853-cn</t>
  </si>
  <si>
    <t>p-8002-te</t>
  </si>
  <si>
    <t>Mayorga(karywan klub)</t>
  </si>
  <si>
    <t>p-8062-de</t>
  </si>
  <si>
    <t>Bamsoet(ketua DPR RI)</t>
  </si>
  <si>
    <t>p-8220-su</t>
  </si>
  <si>
    <t>p-8467-su</t>
  </si>
  <si>
    <t>Ketua Himpunan Wanita Disabilitas Indonesia (HWDI), Maulani Rotinsulu
***Rahayu Saraswati
(pimpinan sidang)</t>
  </si>
  <si>
    <t>p-8869-de</t>
  </si>
  <si>
    <t>DeGeneres(host tv)***Billie Jean King(atlet)***George Clooney(selebriti)</t>
  </si>
  <si>
    <t>p-8892-re</t>
  </si>
  <si>
    <t>Kasubag Humas Polres p.Ambon dan PP Lease Ipda Julkisno Kaisupy</t>
  </si>
  <si>
    <t>p-8919-ko</t>
  </si>
  <si>
    <t>p-9028-de</t>
  </si>
  <si>
    <t>pengacara Stephen Kamlish QC</t>
  </si>
  <si>
    <t>p-9317-ti</t>
  </si>
  <si>
    <t>p-9341-li</t>
  </si>
  <si>
    <t>p-9395-li</t>
  </si>
  <si>
    <t xml:space="preserve">15/04/2019
</t>
  </si>
  <si>
    <t>p-9430-cn</t>
  </si>
  <si>
    <t>p-9510-ko</t>
  </si>
  <si>
    <t>Simone Pound(Kepala Kesetaraan di PFA)***Smalling(pesepak bola)</t>
  </si>
  <si>
    <t>p-9602-te</t>
  </si>
  <si>
    <t>p-9698-li</t>
  </si>
  <si>
    <t xml:space="preserve">Kapolres Musirawas AKBP Suhendro***Iptu Denhar (ahmad farozi)
</t>
  </si>
  <si>
    <t>p-10243-su</t>
  </si>
  <si>
    <t>p-10310-te</t>
  </si>
  <si>
    <t>p-10378-su</t>
  </si>
  <si>
    <t>p-10591-cn</t>
  </si>
  <si>
    <t>Usman Hamid(Direktur Amnesty Internasional Indonesia)***Dedi Prasetyo(Karo Penmas Polri Brigjen)***Ma'ruh Bajammal(Kuasa hukum Brigadir TT)</t>
  </si>
  <si>
    <t>p-10681-de</t>
  </si>
  <si>
    <t>Benny(Polisi)</t>
  </si>
  <si>
    <t>p-10810-cn</t>
  </si>
  <si>
    <t>p-10951-li</t>
  </si>
  <si>
    <t>The Verge(media)</t>
  </si>
  <si>
    <t>p-10991-te</t>
  </si>
  <si>
    <t>Fox Sports(media)</t>
  </si>
  <si>
    <t>p-11227-li</t>
  </si>
  <si>
    <t>p-11250-te</t>
  </si>
  <si>
    <t>p-11292-su</t>
  </si>
  <si>
    <t>p-11411-cn</t>
  </si>
  <si>
    <t>Kasat Reskrim Polres Pinrang, AKP Dharma Negara***Wakapolres Pinrang, Kompol Nugraha Pamungkas</t>
  </si>
  <si>
    <t xml:space="preserve">0***1
</t>
  </si>
  <si>
    <t>p-11579-ok</t>
  </si>
  <si>
    <t>LBH Manado(lsm)***Kabid Humas Polda Sulut Kombes Pol Ibrahim Tompo(Polisi)</t>
  </si>
  <si>
    <t>p-11667-ko</t>
  </si>
  <si>
    <t>p-11737-tr</t>
  </si>
  <si>
    <t xml:space="preserve">Seorang backpacker Inggris, Frances Fairs***Chelsey(korban)***Eleanor Juby(korban)***Emily(backpaker)***Rosie Ayliffe(orang tua korban)***agen migrasi Mark Glazbrook
</t>
  </si>
  <si>
    <t>2***2***2***0***0***0</t>
  </si>
  <si>
    <t>p-11750-de</t>
  </si>
  <si>
    <t>Trump (presiden Amerika Serikat)</t>
  </si>
  <si>
    <t>p-11763-ok</t>
  </si>
  <si>
    <t>p-11801-de</t>
  </si>
  <si>
    <t>Kapolsekta Tulangan AKP Gatot Setyo Budi kepada wartawan</t>
  </si>
  <si>
    <t>p-11892-te</t>
  </si>
  <si>
    <t>Reza Parastesh</t>
  </si>
  <si>
    <t>p-11949-de</t>
  </si>
  <si>
    <t>p-11964-re</t>
  </si>
  <si>
    <t>p-12011-su</t>
  </si>
  <si>
    <t>p-12153-ko</t>
  </si>
  <si>
    <t xml:space="preserve">Hidayat (pelaku)***Kasubdit III Jatanras Direskrimum Polda Jatim AKBP Leonard Sinambela
</t>
  </si>
  <si>
    <t>p-12366-su</t>
  </si>
  <si>
    <t xml:space="preserve">S (orang tua korban)***Kanit Reskrim Polsek Kresek Ipda Maskuri
</t>
  </si>
  <si>
    <t>p-12475-te</t>
  </si>
  <si>
    <t>Wakil Ketua Komnas Perempuan Budi Wahyuni***Jokowi (presiden RI)</t>
  </si>
  <si>
    <t>p-13016-li</t>
  </si>
  <si>
    <t>Wakil Perdana Menteri Datuk Seri Dr Wan Azizah Wan Ismail</t>
  </si>
  <si>
    <t>p-13106-su</t>
  </si>
  <si>
    <t xml:space="preserve"> Uya Kuya(artis)</t>
  </si>
  <si>
    <t>p-13199-ok</t>
  </si>
  <si>
    <t>Daily Mail (media)</t>
  </si>
  <si>
    <t>p-13345-cn</t>
  </si>
  <si>
    <t>Kepolisian Metro Seoul</t>
  </si>
  <si>
    <t>p-13523-re</t>
  </si>
  <si>
    <t>Komisioner Perlindungan Anak Indonesia (KPAI) Retno Listyarti***Kabag Humas Direktorat Jenderal Permasyarakatan Ade Kusmato</t>
  </si>
  <si>
    <t>p-13936-tr</t>
  </si>
  <si>
    <t xml:space="preserve">Kapolres Lampung Selatan, AKBP M Syarhan
***tersangka***Direskrimum Polda Lampung Kombes M Barly Ramadhany
***Kasubdit III Jatanras Dit Reskrimum Polda Lampung, Kompol Yustam Dwi Heno
</t>
  </si>
  <si>
    <t xml:space="preserve">0***0***0***0
</t>
  </si>
  <si>
    <t>1***-1***0***1</t>
  </si>
  <si>
    <t>p-14079-te</t>
  </si>
  <si>
    <t>The Daily Record(media)***Catherine(korban kekerasan)</t>
  </si>
  <si>
    <t>p-14530-re</t>
  </si>
  <si>
    <t>p-14593-re</t>
  </si>
  <si>
    <t>Wakil Ketua LPSK Antonius PS Wibowo*** Ketua LPSK Hasto Atmojo Suroyo</t>
  </si>
  <si>
    <t>p-14704-ok</t>
  </si>
  <si>
    <r>
      <t xml:space="preserve">Inri(korban </t>
    </r>
    <r>
      <rPr>
        <i/>
        <sz val="10"/>
        <rFont val="Arial"/>
      </rPr>
      <t>body shaming)</t>
    </r>
  </si>
  <si>
    <t>p-14890-tr</t>
  </si>
  <si>
    <t xml:space="preserve">Kanit Jatanras Satreskrim Polrestabes Surabaya, Iptu Giadi Nugraha
***Kanit Reskrim Polrestabes Surabaya, AKBP Sudamiran***Fatchul(pelaku pelecehan)
</t>
  </si>
  <si>
    <t>p-15027-de</t>
  </si>
  <si>
    <t>Gunala(paman korban)***Polwan</t>
  </si>
  <si>
    <t>p-15223-ok</t>
  </si>
  <si>
    <t>Phil Neville(mantan atlet sepak bola)</t>
  </si>
  <si>
    <t>p-15300-ok</t>
  </si>
  <si>
    <t xml:space="preserve">
29/08/2019</t>
  </si>
  <si>
    <t>Sekda Jeneponto, Syafruddin***Kasat Reskrim Polres Jeneponto, AKP Boby Rachman</t>
  </si>
  <si>
    <t>p-15530-te</t>
  </si>
  <si>
    <t>Yonhap (media)</t>
  </si>
  <si>
    <t xml:space="preserve">Kasi Intel Kejaksaan Negeri (Kejari) Kabupaten Mojokerto, Nugroho Wisnu
</t>
  </si>
  <si>
    <t>p-15667-de</t>
  </si>
  <si>
    <t>Syafruddin(Sekretaris Daerah (Sekda) Jeneponto, Sulsel)***Kapolres Jeneponto, Sulsel, AKBP Hery Susanto</t>
  </si>
  <si>
    <t>p-15738-de</t>
  </si>
  <si>
    <t>Kapolsek Gunung Putri AKP Andriyanto</t>
  </si>
  <si>
    <t>p-15836-ko</t>
  </si>
  <si>
    <t xml:space="preserve">Ketua Komnas Perempuan Azriana Manalu
</t>
  </si>
  <si>
    <t>USA Today(media)</t>
  </si>
  <si>
    <t>p-16041-li</t>
  </si>
  <si>
    <t>Elza Syarief(pengacara)</t>
  </si>
  <si>
    <t>p-16150-tr</t>
  </si>
  <si>
    <t>Neneng Goenadi(Managing Director Grab Indonesia)
***Hasto(LPSK)</t>
  </si>
  <si>
    <t>Kasatreskrim Polres Serang Kota, AKP Ivan Adhittira</t>
  </si>
  <si>
    <t>p-16301-ti</t>
  </si>
  <si>
    <t>p-16330-su</t>
  </si>
  <si>
    <t>p-16344-li</t>
  </si>
  <si>
    <t>p-16348-ok</t>
  </si>
  <si>
    <t>p-16350-re</t>
  </si>
  <si>
    <t>Ibnu(pelaku pelecehan seksual)*** AKP Ruth Yeni(Kanit PPA Polrestabes Surabaya</t>
  </si>
  <si>
    <t>p-16370-tr</t>
  </si>
  <si>
    <t>SR(pelaku)***Kapolres Sukabumi AKBP Nasriadi
***R(pelaku)***RG(pelaku)</t>
  </si>
  <si>
    <t>-1***1***-1***-1</t>
  </si>
  <si>
    <t>p-16373-li</t>
  </si>
  <si>
    <t>a-6-de</t>
  </si>
  <si>
    <t xml:space="preserve">Ulama Syiah terkemuka di Irak, Ayatollah Ali Sistani </t>
  </si>
  <si>
    <t>a-9-te</t>
  </si>
  <si>
    <t>a-21-su</t>
  </si>
  <si>
    <t>14/11/2019</t>
  </si>
  <si>
    <t>Aris Eko Nugroho(Kepala Dinas Kebudayaan DIY)</t>
  </si>
  <si>
    <t>a-28-de</t>
  </si>
  <si>
    <t xml:space="preserve">
Sivana Khamdi Syukria alumnus Fakultas Dakwah dan Komunikasi UIN Sunan Kalijaga Yogyakarta</t>
  </si>
  <si>
    <t>a-30-ok</t>
  </si>
  <si>
    <t>a-32-re</t>
  </si>
  <si>
    <t>a-35-te</t>
  </si>
  <si>
    <t>a-38-re</t>
  </si>
  <si>
    <t xml:space="preserve"> Ikhwanul Kiram Mashuri(penulis)</t>
  </si>
  <si>
    <t>a-45-de</t>
  </si>
  <si>
    <t>Profesor Ariel Heryanto***Duta Besar Australia untuk Indonesia, Gary Quinlan</t>
  </si>
  <si>
    <t>a-52-re</t>
  </si>
  <si>
    <t xml:space="preserve">Kementerian Luar Negeri di Islamabad
</t>
  </si>
  <si>
    <t>a-116-su</t>
  </si>
  <si>
    <t>a-120-su</t>
  </si>
  <si>
    <t>26/12/2019</t>
  </si>
  <si>
    <t>Ma'ruf di Kantor Wakil Presiden</t>
  </si>
  <si>
    <t>a-127-li</t>
  </si>
  <si>
    <t>Ketua Panitia Acara Haul Gus Dur Ke-10, Inaya Wahid</t>
  </si>
  <si>
    <t>Jonathan Hoffman, kepala juru bicara Pentagon</t>
  </si>
  <si>
    <t>a-143-su</t>
  </si>
  <si>
    <t>Romo Hariyanto***Sudarto (Badan Pengawas Pusat Studi Antar Komunitas, PUSAKA)***Parindrati W Ardhini(umat kristiani)</t>
  </si>
  <si>
    <t>d-12-cn</t>
  </si>
  <si>
    <t>d-120-de</t>
  </si>
  <si>
    <t>d-133-li</t>
  </si>
  <si>
    <t>Kepala Program Kesehatan Jiwa Puskesmas Gitik, Eko Budi Cahyono menerangkan</t>
  </si>
  <si>
    <t>d-139-ok</t>
  </si>
  <si>
    <t>Dosen ilmu politik Universitas Paramadina, Djayadi Hanan***Ketua DPP bidang Komunikasi dan informasi publik Willy Aditya</t>
  </si>
  <si>
    <t>d-216-ti</t>
  </si>
  <si>
    <t>d-251-ok</t>
  </si>
  <si>
    <t>Ajit Narayanan, Accessibility Software Engineer Google</t>
  </si>
  <si>
    <t>d-301-ko</t>
  </si>
  <si>
    <t xml:space="preserve">Kepala Humas BPJS Kesehatan M. Iqbal Anas Ma'ruf
</t>
  </si>
  <si>
    <t>penyakit</t>
  </si>
  <si>
    <t>d-464-ko</t>
  </si>
  <si>
    <t>Kapolres Brebes AKBP Aris Supriyono</t>
  </si>
  <si>
    <t>d-483-li</t>
  </si>
  <si>
    <t>Ketua PP Persatuan Dokter Spesialis Mata Indonesia Siddik</t>
  </si>
  <si>
    <t>d-515-te</t>
  </si>
  <si>
    <t xml:space="preserve">Dokter Spesialis Kejiwaan dari RS Cipto Mangunkusumo dr Sylvia Detri Elvira Sp.KJ(K) </t>
  </si>
  <si>
    <t>d-578-ti</t>
  </si>
  <si>
    <t>d-770-de</t>
  </si>
  <si>
    <t>Kabid Humas Polda Sumut Kombes Tatan Dirsan Atmaja di RS Bhayangkara Medan</t>
  </si>
  <si>
    <t>d-904-li</t>
  </si>
  <si>
    <t>Budi Karya(menteri)***Direktur Operasional dan Pemeliharaan PT MRT Jakarta Muhammad Effendi</t>
  </si>
  <si>
    <t>d-1012-ko</t>
  </si>
  <si>
    <t>Sophia(ibu dari Anindhita)</t>
  </si>
  <si>
    <t>d-1031-li</t>
  </si>
  <si>
    <t>d-1086-te</t>
  </si>
  <si>
    <t>Joko Widodo(presiden RI)***Angkie(penyandang disabilitas)</t>
  </si>
  <si>
    <t>d-1100-ti</t>
  </si>
  <si>
    <t xml:space="preserve"> Menteri Pendayagunaan Aparatur Negara dan Reformasi Birokrasi (PANRB) Tjahjo Kumolo
</t>
  </si>
  <si>
    <t>d-1206-re</t>
  </si>
  <si>
    <t>Karisma Evi(atlet)</t>
  </si>
  <si>
    <t>d-1232-te</t>
  </si>
  <si>
    <t>d-1368-tr</t>
  </si>
  <si>
    <t>d-1405-re</t>
  </si>
  <si>
    <t>d-1420-ti</t>
  </si>
  <si>
    <t>d-1641-cn</t>
  </si>
  <si>
    <t>d-1741-su</t>
  </si>
  <si>
    <t>d-1780-li</t>
  </si>
  <si>
    <t>kepala petugas sains di Autism Science Foundation di New York, Amerika Serikat, Alycia Halladay, PhD</t>
  </si>
  <si>
    <t>d-1927-de</t>
  </si>
  <si>
    <t>Ketua Nasional Paralympic Committes Indonesia (NPCI) Kabupaten Cianjur, Abes.</t>
  </si>
  <si>
    <t>d-2047-re</t>
  </si>
  <si>
    <t>Ketua RT 7 RW 4 Desa Suro, Tasrin***Koordinator Tagana Banyumas Ady Candra</t>
  </si>
  <si>
    <t>sakit***gangguan kejiwaan</t>
  </si>
  <si>
    <t>d-2169-cn</t>
  </si>
  <si>
    <t>Zozibini Tunzi(Miss Universe 2019)</t>
  </si>
  <si>
    <t>Kepala Satuan Reserse dan Kriminal (Kasat Reskrim) Polres Tasikmalaya Kota, AKP Dadang Sudiantoro***Endra Nawari (Psikolog)***Wakil Wali Kota Tasikmalaya, Muhammad Yusuf</t>
  </si>
  <si>
    <t>d-2250-cn</t>
  </si>
  <si>
    <t>Sesmenpora, Gatot S Dewa Broto***Ketua NPC Filipina, Michael Barredo</t>
  </si>
  <si>
    <t>d-2314-li</t>
  </si>
  <si>
    <t>d-2498-su</t>
  </si>
  <si>
    <t>Rosaritas Niken Widiastuti(Direktur Jenderal Informasi dan Komunikasi Publik, Kementerian Komunikasi dan Informatika)</t>
  </si>
  <si>
    <t>i-3-de</t>
  </si>
  <si>
    <t xml:space="preserve">Chris Cassidy (kekasih korban) </t>
  </si>
  <si>
    <t>i-7-ok</t>
  </si>
  <si>
    <t>Susanti(pelaku)***humas RSUD A Wahab Syahrani, Arysina Andhina</t>
  </si>
  <si>
    <t>i-11-ti</t>
  </si>
  <si>
    <t xml:space="preserve">Sastrawan Okky Madasari
</t>
  </si>
  <si>
    <t>i-34-de</t>
  </si>
  <si>
    <t>i-49-li</t>
  </si>
  <si>
    <t>i-57-li</t>
  </si>
  <si>
    <t>Samuel Little(pelaku)</t>
  </si>
  <si>
    <t>i-72-su</t>
  </si>
  <si>
    <t>i-74-tr</t>
  </si>
  <si>
    <t>(seorang PSK)***Kapolres Cianjur, AKBP Juang Andi Priyanto</t>
  </si>
  <si>
    <t>16/11/2019</t>
  </si>
  <si>
    <t>Sonja Jones(mantan ibu asuh korban)***Veronica(ibu korban)</t>
  </si>
  <si>
    <t>i-86-re</t>
  </si>
  <si>
    <t>i-121-ko</t>
  </si>
  <si>
    <t>Mondo Gascaro(penata musik)</t>
  </si>
  <si>
    <t>i-123-re</t>
  </si>
  <si>
    <t>Gianni Infantino(presiden FIFA)</t>
  </si>
  <si>
    <t>i-134-cn</t>
  </si>
  <si>
    <t>mengidap</t>
  </si>
  <si>
    <t xml:space="preserve">Sekjen PDI-P Hasto Kristiyanto
***Menteri Pemberdayaan Aparatur Negara dan Reformasi Birokrasi Tjahjo Kumolo
</t>
  </si>
  <si>
    <t>i-193-ok</t>
  </si>
  <si>
    <t xml:space="preserve">
Sekretaris Fraksi PPP DPR RI Achmad Baidowi</t>
  </si>
  <si>
    <t>i-213-te</t>
  </si>
  <si>
    <t>i-226-tr</t>
  </si>
  <si>
    <t xml:space="preserve">Kasubbag Humas Polres Binjai, Iptu Siswanto Ginting
</t>
  </si>
  <si>
    <t>i-243-ko</t>
  </si>
  <si>
    <t>Dwi Estiningsih(Kader Partai Keadilan Sejahtera (PKS)***Eugene Walls***Sadiq (peneliti)</t>
  </si>
  <si>
    <t>i-247-te</t>
  </si>
  <si>
    <t>Nora Alexandra(model)</t>
  </si>
  <si>
    <t>i-274-cn</t>
  </si>
  <si>
    <t>Uskup Pernambuco, Henrique Soares da Costa.</t>
  </si>
  <si>
    <t>i-290-ok</t>
  </si>
  <si>
    <t>i-324-te</t>
  </si>
  <si>
    <t>i-329-li</t>
  </si>
  <si>
    <t>Presiden Brasil Jair Bolsonaro</t>
  </si>
  <si>
    <t>i-330-ok</t>
  </si>
  <si>
    <t>Porta Dos Fundos(grup komedi)</t>
  </si>
  <si>
    <t>i-332-te</t>
  </si>
  <si>
    <t xml:space="preserve"> Beijing Gender(NG))</t>
  </si>
  <si>
    <t xml:space="preserve"> Sekretaris P2TP2A Kabupaten Garut, Rahmat Wibawa
***AKP Maradona(polisi)</t>
  </si>
  <si>
    <t>p-62-li</t>
  </si>
  <si>
    <t>L(korban)***ANF(korban)***Ketua KWN Fatimah Azzahra, Nuraeni***Manager CSR &amp; Communication Pertamina MOR VII, Hatim Ilwan</t>
  </si>
  <si>
    <t>p-71-te</t>
  </si>
  <si>
    <t>p-126-ko</t>
  </si>
  <si>
    <t xml:space="preserve">Kepala Satuan Reserse Kriminal Polres Aceh Utara AKP Adhitya***epala Kejaksaan Negeri Lhoksukon Rukhsal M Assegaf***Herliana, pengacara dari tersangka J
</t>
  </si>
  <si>
    <t>p-130-li</t>
  </si>
  <si>
    <t>p-142-te</t>
  </si>
  <si>
    <t>Duta Besar Tri Tharyat</t>
  </si>
  <si>
    <t>p-143-tr</t>
  </si>
  <si>
    <t xml:space="preserve">Kasubag Humas Polres Metro Tangerang Kota, Kompol Abdul Rachim
</t>
  </si>
  <si>
    <t>Aktivis perempuan dan Sekretaris PKBI DIY Gama Triono
***Dosen psikologi dari Universitas Gadjah Mada (UGM), Profesor Koentjoro</t>
  </si>
  <si>
    <t>p-391-de</t>
  </si>
  <si>
    <t>Kasmadi, pembina di Gambilangu Kendak</t>
  </si>
  <si>
    <t xml:space="preserve">Kepala Imigrasi Kelas I Khusus Bandara Soekarno-Hatta, Safar Muhammad Godam
</t>
  </si>
  <si>
    <t>p-473-cn</t>
  </si>
  <si>
    <t>jaksa penuntut umum Swedia, Eve-Marie Persson***kuasa hukum korban, Elisabeth Massi Fritz</t>
  </si>
  <si>
    <t xml:space="preserve">Kasatreskrim Polres Gresik, AKP Panji Prastistha Wijaya***Bambang dan Ana (pasutri)
</t>
  </si>
  <si>
    <t>lelaki hidung belang</t>
  </si>
  <si>
    <t>p-526-de</t>
  </si>
  <si>
    <t>p-546-li</t>
  </si>
  <si>
    <t>Sekretaris Kementrian Pemberdayaan Perempuan dan Perlindungan Anak Pribudiarta Nur Sitepu</t>
  </si>
  <si>
    <t>p-613-de</t>
  </si>
  <si>
    <t>Kasat Reskrim Polres Brebes, AKP Triagung Suryomicho</t>
  </si>
  <si>
    <t>Wanita bertato</t>
  </si>
  <si>
    <t>p-616-ko</t>
  </si>
  <si>
    <t xml:space="preserve">Kasat Reskrim Polres Tangerang Selatan AKP Muharram Wibisono
</t>
  </si>
  <si>
    <t>p-626-te</t>
  </si>
  <si>
    <t xml:space="preserve">Iptu Ismail </t>
  </si>
  <si>
    <t>p-793-su</t>
  </si>
  <si>
    <t>Dokter forensik RSUD dr Doris Sylvanus Palangka Raya Ricka***Kepala Bidang Humas Polda Kalteng Kombes Hendra Rochmawan</t>
  </si>
  <si>
    <t>p-827-li</t>
  </si>
  <si>
    <t>Erick Thohir(menteri BUMN)</t>
  </si>
  <si>
    <t>p-1015-de</t>
  </si>
  <si>
    <t>p-1093-ok</t>
  </si>
  <si>
    <t>Kepala Dinas Pariwisata dan Kebudayaan DKI Jakarta, Alberto Ali***Sekretaris Daerah (Sekda) DKI Jakarta, Saefullah</t>
  </si>
  <si>
    <t>p-1121-te</t>
  </si>
  <si>
    <t>Shiori Ito(wartawan, korban)</t>
  </si>
  <si>
    <t>p-1151-ko</t>
  </si>
  <si>
    <t xml:space="preserve"> Bripka Isyana Reni Antasari alias Reni
</t>
  </si>
  <si>
    <t>p-1237-li</t>
  </si>
  <si>
    <t>p-1292-ko</t>
  </si>
  <si>
    <t xml:space="preserve">Kanit PPA Polres Probolinggo Bripka Isyana Reni Antasari
***Nur(istri korban)***Dokter Andri, spesialis kedokteran jiwa OMNI Hospital Alam Sutera Tanggerang
</t>
  </si>
  <si>
    <t>gangguan kejwaan</t>
  </si>
  <si>
    <t>p-1429-tr</t>
  </si>
  <si>
    <t xml:space="preserve">Kapolres Ngawi, AKBP Dicky Ario Yustisianto
</t>
  </si>
  <si>
    <t>kumpul kebo</t>
  </si>
  <si>
    <t>p-1436-li</t>
  </si>
  <si>
    <t>Profesor Leah Sheppard, penulis studi pertama di WSU</t>
  </si>
  <si>
    <t>p-1462-tr</t>
  </si>
  <si>
    <t>p-1571-tr</t>
  </si>
  <si>
    <t xml:space="preserve">Kasat Reskrim Polres Ngawi, AKP Khoirul Hidayat
</t>
  </si>
  <si>
    <t>p-1583-te</t>
  </si>
  <si>
    <t>Megawati Soekarnoputri</t>
  </si>
  <si>
    <t>p-1649-ti</t>
  </si>
  <si>
    <t xml:space="preserve">Komisioner KPAI Bidang Pendidikan Retno Listyarti
</t>
  </si>
  <si>
    <t>a-3-li</t>
  </si>
  <si>
    <t>Gak ada data pengganti</t>
  </si>
  <si>
    <t>a-266-su</t>
  </si>
  <si>
    <t>a-270-de</t>
  </si>
  <si>
    <t>a-456-su</t>
  </si>
  <si>
    <t>a-533-li</t>
  </si>
  <si>
    <t>a-539-ok</t>
  </si>
  <si>
    <t>gak ada data pengganti</t>
  </si>
  <si>
    <t>a-607-tr</t>
  </si>
  <si>
    <t>a-675-te</t>
  </si>
  <si>
    <t>a-680-de</t>
  </si>
  <si>
    <t>a-846-cn</t>
  </si>
  <si>
    <t>d-425-te</t>
  </si>
  <si>
    <t>d-799-ok</t>
  </si>
  <si>
    <t>d-1351-cn</t>
  </si>
  <si>
    <t>a-50-te</t>
  </si>
  <si>
    <t>a-315-de</t>
  </si>
  <si>
    <t>a-482-de</t>
  </si>
  <si>
    <t>a-632-ok</t>
  </si>
  <si>
    <t>a-700-su</t>
  </si>
  <si>
    <t>a-63-ko</t>
  </si>
  <si>
    <t>a-255-su</t>
  </si>
  <si>
    <t xml:space="preserve">a-109-tr
</t>
  </si>
  <si>
    <t>d-2387-cn</t>
  </si>
  <si>
    <t>d-2452-li</t>
  </si>
  <si>
    <t>d-853-de</t>
  </si>
  <si>
    <t>d-1152-su</t>
  </si>
  <si>
    <t>d-1174-tr</t>
  </si>
  <si>
    <t>d-1821-tr</t>
  </si>
  <si>
    <t>a-85-te</t>
  </si>
  <si>
    <t>a-96-ok</t>
  </si>
  <si>
    <t>a-117-ko</t>
  </si>
  <si>
    <t>a-342-cn</t>
  </si>
  <si>
    <t>a-391-re</t>
  </si>
  <si>
    <t>d-2329-su</t>
  </si>
  <si>
    <t>d-2351-li</t>
  </si>
  <si>
    <t>d-2554-ko</t>
  </si>
  <si>
    <t>d-3126-te</t>
  </si>
  <si>
    <t>d-3570-ti</t>
  </si>
  <si>
    <t>d-5432-tr</t>
  </si>
  <si>
    <t>d-5540-de</t>
  </si>
  <si>
    <t>d-6104-ok</t>
  </si>
  <si>
    <t>d-6123-su</t>
  </si>
  <si>
    <t>d-7402-li</t>
  </si>
  <si>
    <t>d-8297-li</t>
  </si>
  <si>
    <t>d-8419-cn</t>
  </si>
  <si>
    <t>d-419-su</t>
  </si>
  <si>
    <t>d-514-de</t>
  </si>
  <si>
    <t>d-1477-cn</t>
  </si>
  <si>
    <t>d-1893-ko</t>
  </si>
  <si>
    <t>d-2228-ko</t>
  </si>
  <si>
    <t>d-2835-te</t>
  </si>
  <si>
    <t>d-3304-tr</t>
  </si>
  <si>
    <t>d-3436-de</t>
  </si>
  <si>
    <t>d-3593-ko</t>
  </si>
  <si>
    <t>d-3800-su</t>
  </si>
  <si>
    <t>d-3883-su</t>
  </si>
  <si>
    <t>d-4061-ko</t>
  </si>
  <si>
    <t>d-4257-li</t>
  </si>
  <si>
    <t>d-4445-ok</t>
  </si>
  <si>
    <t>d-5328-ko</t>
  </si>
  <si>
    <t>d-5430-ti</t>
  </si>
  <si>
    <t>d-6054-te</t>
  </si>
  <si>
    <t>d-6316-tr</t>
  </si>
  <si>
    <t>a-12-we</t>
  </si>
  <si>
    <t>a-7-de</t>
  </si>
  <si>
    <t>Artikel hilang</t>
  </si>
  <si>
    <t>a-379-ok</t>
  </si>
  <si>
    <t>a-240-su</t>
  </si>
  <si>
    <t>a-319-te</t>
  </si>
  <si>
    <t>a-170-su</t>
  </si>
  <si>
    <t>gak ada pengganti</t>
  </si>
  <si>
    <t>a-589-de</t>
  </si>
  <si>
    <t>a-618-ko</t>
  </si>
  <si>
    <t>a-644-re</t>
  </si>
  <si>
    <t>a-671-de</t>
  </si>
  <si>
    <t>Gak ada penggantinya</t>
  </si>
  <si>
    <t>a-788-de</t>
  </si>
  <si>
    <t>d-7832-li</t>
  </si>
  <si>
    <t>d-8229-tr</t>
  </si>
  <si>
    <t>d-8466-ok</t>
  </si>
  <si>
    <t>d-5722-ti</t>
  </si>
  <si>
    <t>d-6828-de</t>
  </si>
  <si>
    <t>d-7336-re</t>
  </si>
  <si>
    <t>d-8889-ti</t>
  </si>
  <si>
    <t>d-3693-te</t>
  </si>
  <si>
    <t>d-3722-ko</t>
  </si>
  <si>
    <t>d-4708-su</t>
  </si>
  <si>
    <t>d-4824-te</t>
  </si>
  <si>
    <t>d-4938-re</t>
  </si>
  <si>
    <t>a-790-de</t>
  </si>
  <si>
    <t>d-450-ko</t>
  </si>
  <si>
    <t>d-1029-te</t>
  </si>
  <si>
    <t>d-486-su</t>
  </si>
  <si>
    <t>d-560-te</t>
  </si>
  <si>
    <t>d-3689-su</t>
  </si>
  <si>
    <t>d-3319-ko</t>
  </si>
  <si>
    <t>d-2619-de</t>
  </si>
  <si>
    <t>d-3648-de</t>
  </si>
  <si>
    <t>d-6151-tr</t>
  </si>
  <si>
    <t>d-4376-su</t>
  </si>
  <si>
    <t>d-5423-su</t>
  </si>
  <si>
    <t>d-5644-ko</t>
  </si>
  <si>
    <t>d-9597-ok</t>
  </si>
  <si>
    <t>d-9826-tr</t>
  </si>
  <si>
    <t>d-10111-de</t>
  </si>
  <si>
    <t>d-11292-re</t>
  </si>
  <si>
    <t>d-11455-ko</t>
  </si>
  <si>
    <t>d-12093-de</t>
  </si>
  <si>
    <t>d-12646-su</t>
  </si>
  <si>
    <t>d-11371-te</t>
  </si>
  <si>
    <t>d-14179-su</t>
  </si>
  <si>
    <t>d-14195-cn</t>
  </si>
  <si>
    <t>d-15515-ko</t>
  </si>
  <si>
    <t>d-16479-tr</t>
  </si>
  <si>
    <t>gak ada penggantinya</t>
  </si>
  <si>
    <t>d-17331-li</t>
  </si>
  <si>
    <t>d-17469-ko</t>
  </si>
  <si>
    <t>d-17669-su</t>
  </si>
  <si>
    <t>d-17695-ok</t>
  </si>
  <si>
    <t>d-5947-de</t>
  </si>
  <si>
    <t>d-7352-te</t>
  </si>
  <si>
    <t>d-8675-ok</t>
  </si>
  <si>
    <t>d-9515-ko</t>
  </si>
  <si>
    <t>d-9446-ko</t>
  </si>
  <si>
    <t>d-12085-cn</t>
  </si>
  <si>
    <t>d-14193-tr</t>
  </si>
  <si>
    <t>d-14200-de</t>
  </si>
  <si>
    <t>d-13815-tr</t>
  </si>
  <si>
    <t>d-12683-cn</t>
  </si>
  <si>
    <t>d-17106-te</t>
  </si>
  <si>
    <t>d-15478-te</t>
  </si>
  <si>
    <t>d-16467-te</t>
  </si>
  <si>
    <t>d-15882-re</t>
  </si>
  <si>
    <t>d-2391-li</t>
  </si>
  <si>
    <t>d-2750-ti</t>
  </si>
  <si>
    <t>d-17541-te</t>
  </si>
  <si>
    <t>i-116-ok</t>
  </si>
  <si>
    <t>i-142-ok</t>
  </si>
  <si>
    <t>i-171-su</t>
  </si>
  <si>
    <t>i-249-te</t>
  </si>
  <si>
    <t>i-187-su</t>
  </si>
  <si>
    <t>i-192-de</t>
  </si>
  <si>
    <t>i-742-cn</t>
  </si>
  <si>
    <t>i-694-cn</t>
  </si>
  <si>
    <t>i-237-tr</t>
  </si>
  <si>
    <t>d-4504-ok</t>
  </si>
  <si>
    <t>d-9127-tr</t>
  </si>
  <si>
    <t>d-9618-su</t>
  </si>
  <si>
    <t>d-10708-ko</t>
  </si>
  <si>
    <t>d-10852-tr</t>
  </si>
  <si>
    <t>d-11304-te</t>
  </si>
  <si>
    <t>ga ada pengganti</t>
  </si>
  <si>
    <t>d-12163-te</t>
  </si>
  <si>
    <t>d-13941-ok</t>
  </si>
  <si>
    <t>d-14145-cn</t>
  </si>
  <si>
    <t>d-14679-ti</t>
  </si>
  <si>
    <t>d-14699-de</t>
  </si>
  <si>
    <t>d-14808-te</t>
  </si>
  <si>
    <t>d-16040-re</t>
  </si>
  <si>
    <t>d-16354-su</t>
  </si>
  <si>
    <t>d-16390-li</t>
  </si>
  <si>
    <t>d-16820-li</t>
  </si>
  <si>
    <t>d-17317-ti</t>
  </si>
  <si>
    <t>d-7012-cn</t>
  </si>
  <si>
    <t>i-738-ti</t>
  </si>
  <si>
    <t>d-4636-ti</t>
  </si>
  <si>
    <t>d-4717-tr</t>
  </si>
  <si>
    <t>d-5133-re</t>
  </si>
  <si>
    <t>i-317-ok</t>
  </si>
  <si>
    <t>i-355-su</t>
  </si>
  <si>
    <t>i-512-de</t>
  </si>
  <si>
    <t>i-375-te</t>
  </si>
  <si>
    <t>i-798-ok</t>
  </si>
  <si>
    <t>i-1079-ok</t>
  </si>
  <si>
    <t>i-1802-de</t>
  </si>
  <si>
    <t>i-1141-ok</t>
  </si>
  <si>
    <t>i-1150-ko</t>
  </si>
  <si>
    <t>i-1173-cn</t>
  </si>
  <si>
    <t>d-8727-de</t>
  </si>
  <si>
    <t>d-8766-su</t>
  </si>
  <si>
    <t>i-1721-ko</t>
  </si>
  <si>
    <t>i-1895-ko</t>
  </si>
  <si>
    <t>i-1656-cn</t>
  </si>
  <si>
    <t>i-1838-ti</t>
  </si>
  <si>
    <t>i-2188-cn</t>
  </si>
  <si>
    <t>i-2593-re</t>
  </si>
  <si>
    <t>i-2634-ok</t>
  </si>
  <si>
    <t>i-2457-ko</t>
  </si>
  <si>
    <t>i-2342-te</t>
  </si>
  <si>
    <t>i-2375-ti</t>
  </si>
  <si>
    <t>Gak ada pengganti</t>
  </si>
  <si>
    <t>d-7680-de</t>
  </si>
  <si>
    <t>d-8293-ko</t>
  </si>
  <si>
    <t>d-9080-tr</t>
  </si>
  <si>
    <t>d-9198-ti</t>
  </si>
  <si>
    <t>d-9459-li</t>
  </si>
  <si>
    <t>d-9729-ok</t>
  </si>
  <si>
    <t>d-11523-re</t>
  </si>
  <si>
    <t>d-12132-ok</t>
  </si>
  <si>
    <t>d-12212-li</t>
  </si>
  <si>
    <t>d-12383-su</t>
  </si>
  <si>
    <t>d-12620-ok</t>
  </si>
  <si>
    <t>d-13138-ko</t>
  </si>
  <si>
    <t>d-13296-ti</t>
  </si>
  <si>
    <t>d-13475-de</t>
  </si>
  <si>
    <t>d-13953-su</t>
  </si>
  <si>
    <t>d-14858-re</t>
  </si>
  <si>
    <t>d-14941-re</t>
  </si>
  <si>
    <t>d-15851-su</t>
  </si>
  <si>
    <t>d-16543-de</t>
  </si>
  <si>
    <t>d-17029-ti</t>
  </si>
  <si>
    <t>d-17326-ko</t>
  </si>
  <si>
    <t>d-17566-su</t>
  </si>
  <si>
    <t>d-17673-te</t>
  </si>
  <si>
    <t>i-83-li</t>
  </si>
  <si>
    <t>d-9254-re</t>
  </si>
  <si>
    <t>d-9878-tr</t>
  </si>
  <si>
    <t>d-10556-ok</t>
  </si>
  <si>
    <t>d-11700-su</t>
  </si>
  <si>
    <t>i-582-su</t>
  </si>
  <si>
    <t>i-611-ti</t>
  </si>
  <si>
    <t>i-635-tr</t>
  </si>
  <si>
    <t>i-740-tr</t>
  </si>
  <si>
    <t>i-1239-de</t>
  </si>
  <si>
    <t>i-1421-de</t>
  </si>
  <si>
    <t>i-1453-ti</t>
  </si>
  <si>
    <t>i-1472-re</t>
  </si>
  <si>
    <t>i-1684-su</t>
  </si>
  <si>
    <t>i-2157-tr</t>
  </si>
  <si>
    <t>i-2286-te</t>
  </si>
  <si>
    <t>i-2360-ko</t>
  </si>
  <si>
    <t>i-2427-ti</t>
  </si>
  <si>
    <t>i-2727-te</t>
  </si>
  <si>
    <t>i-3028-de</t>
  </si>
  <si>
    <t>p-5-ko</t>
  </si>
  <si>
    <t>p-13467-ti</t>
  </si>
  <si>
    <t>p-14141-re</t>
  </si>
  <si>
    <t>p-14822-cn</t>
  </si>
  <si>
    <t>p-14878-te</t>
  </si>
  <si>
    <t>p-15707-ti</t>
  </si>
  <si>
    <t>p-15908-de</t>
  </si>
  <si>
    <t>p-16051-re</t>
  </si>
  <si>
    <t>p-16125-re</t>
  </si>
  <si>
    <t>i-376-cn</t>
  </si>
  <si>
    <t>i-524-ko</t>
  </si>
  <si>
    <t>i-1338-tr</t>
  </si>
  <si>
    <t>i-1390-ti</t>
  </si>
  <si>
    <t>i-1873-cn</t>
  </si>
  <si>
    <t>i-1892-cn</t>
  </si>
  <si>
    <t>p-2392-ko</t>
  </si>
  <si>
    <t>p-866-su</t>
  </si>
  <si>
    <t>p-2016-tr</t>
  </si>
  <si>
    <t>p-21-te</t>
  </si>
  <si>
    <t>p-3044-ko</t>
  </si>
  <si>
    <t>p-11072-cn</t>
  </si>
  <si>
    <t>p-2071-de</t>
  </si>
  <si>
    <t>p-635-cn</t>
  </si>
  <si>
    <t>p-5899-de</t>
  </si>
  <si>
    <t>p-5273-su</t>
  </si>
  <si>
    <t>i-1740-ti</t>
  </si>
  <si>
    <t>i-1748-su</t>
  </si>
  <si>
    <t>p-5660-ti</t>
  </si>
  <si>
    <t>i-1948-cn</t>
  </si>
  <si>
    <t>i-2052-re</t>
  </si>
  <si>
    <t>i-2095-ko</t>
  </si>
  <si>
    <t>i-2132-de</t>
  </si>
  <si>
    <t>i-2183-te</t>
  </si>
  <si>
    <t>i-1384-ko</t>
  </si>
  <si>
    <t>i-1922-cn</t>
  </si>
  <si>
    <t>i-2090-ti</t>
  </si>
  <si>
    <t>i-2551-de</t>
  </si>
  <si>
    <t>i-2981-li</t>
  </si>
  <si>
    <t>d-13170-ti</t>
  </si>
  <si>
    <t>d-14774-de</t>
  </si>
  <si>
    <t>d-15871-ko</t>
  </si>
  <si>
    <t>d-15992-cn</t>
  </si>
  <si>
    <t>d-14142-tr</t>
  </si>
  <si>
    <t>d-16591-su</t>
  </si>
  <si>
    <t>i-18-li</t>
  </si>
  <si>
    <t>i-67-su</t>
  </si>
  <si>
    <t>i-226-su</t>
  </si>
  <si>
    <t>i-507-su</t>
  </si>
  <si>
    <t>i-664-ko</t>
  </si>
  <si>
    <t>i-689-tr</t>
  </si>
  <si>
    <t>i-1113-de</t>
  </si>
  <si>
    <t>i-1422-ko</t>
  </si>
  <si>
    <t>i-1531-su</t>
  </si>
  <si>
    <t>i-1679-ok</t>
  </si>
  <si>
    <t>i-1701-re</t>
  </si>
  <si>
    <t>i-1741-tr</t>
  </si>
  <si>
    <t>i-1768-su</t>
  </si>
  <si>
    <t>i-1925-re</t>
  </si>
  <si>
    <t>i-2019-ti</t>
  </si>
  <si>
    <t>i-2121-de</t>
  </si>
  <si>
    <t>i-2136-ko</t>
  </si>
  <si>
    <t>i-2176-ok</t>
  </si>
  <si>
    <t>p-15960-cn</t>
  </si>
  <si>
    <t>i-2252-tr</t>
  </si>
  <si>
    <t>i-2373-te</t>
  </si>
  <si>
    <t>i-2408-ti</t>
  </si>
  <si>
    <t>i-2557-su</t>
  </si>
  <si>
    <t>i-2653-ok</t>
  </si>
  <si>
    <t>i-2718-ok</t>
  </si>
  <si>
    <t>i-2719-cn</t>
  </si>
  <si>
    <t>i-2850-ti</t>
  </si>
  <si>
    <t>i-2896-de</t>
  </si>
  <si>
    <t>p-2372-cn</t>
  </si>
  <si>
    <t>p-4355-cn</t>
  </si>
  <si>
    <t>p-6421-cn</t>
  </si>
  <si>
    <t>p-6889-ok</t>
  </si>
  <si>
    <t>p-7620-su</t>
  </si>
  <si>
    <t>p-8480-ti</t>
  </si>
  <si>
    <t>p-8787-re</t>
  </si>
  <si>
    <t>p-9286-ok</t>
  </si>
  <si>
    <t>p-9404-ok</t>
  </si>
  <si>
    <t>p-9718-ti</t>
  </si>
  <si>
    <t>p-9940-su</t>
  </si>
  <si>
    <t>i-1011-ok</t>
  </si>
  <si>
    <t>i-1350-te</t>
  </si>
  <si>
    <t>i-1387-re</t>
  </si>
  <si>
    <t>i-1764-cn</t>
  </si>
  <si>
    <t>i-1859-te</t>
  </si>
  <si>
    <t>i-1949-ko</t>
  </si>
  <si>
    <t>i-1951-re</t>
  </si>
  <si>
    <t>i-2185-tr</t>
  </si>
  <si>
    <t>i-2257-de</t>
  </si>
  <si>
    <t>i-2363-li</t>
  </si>
  <si>
    <t>i-2445-te</t>
  </si>
  <si>
    <t>i-2603-de</t>
  </si>
  <si>
    <t>i-2952-su</t>
  </si>
  <si>
    <t>p-9657-te</t>
  </si>
  <si>
    <t>p-10596-re</t>
  </si>
  <si>
    <t>p-11438-re</t>
  </si>
  <si>
    <t>p-11768-re</t>
  </si>
  <si>
    <t>p-12032-ko</t>
  </si>
  <si>
    <t>p-13155-de</t>
  </si>
  <si>
    <t>p-16193-su</t>
  </si>
  <si>
    <t>i-2708-cn</t>
  </si>
  <si>
    <t>i-2745-cn</t>
  </si>
  <si>
    <t>p-6904-te</t>
  </si>
  <si>
    <t>p-10031-ko</t>
  </si>
  <si>
    <t>p-10073-ko</t>
  </si>
  <si>
    <t>p-10824-re</t>
  </si>
  <si>
    <t>p-10830-te</t>
  </si>
  <si>
    <t>p-10846-de</t>
  </si>
  <si>
    <t>p-11088-ok</t>
  </si>
  <si>
    <t>p-14734-tr</t>
  </si>
  <si>
    <t>p-15581-de</t>
  </si>
  <si>
    <t>p-15884-ti</t>
  </si>
  <si>
    <t>p-7852-cn</t>
  </si>
  <si>
    <t>p-7764-de</t>
  </si>
  <si>
    <t>p-7432-su</t>
  </si>
  <si>
    <t>p-7216-su</t>
  </si>
  <si>
    <t>p-7282-tr</t>
  </si>
  <si>
    <t>p-8814-ko</t>
  </si>
  <si>
    <t>p-8661-de</t>
  </si>
  <si>
    <t>p-9204-ok</t>
  </si>
  <si>
    <t>p-9314-ti</t>
  </si>
  <si>
    <t>p-9878-cn</t>
  </si>
  <si>
    <t>p-9600-te</t>
  </si>
  <si>
    <t>p-10247-su</t>
  </si>
  <si>
    <t>p-10057-te</t>
  </si>
  <si>
    <t>p-10376-su</t>
  </si>
  <si>
    <t>p-10807-cn</t>
  </si>
  <si>
    <t>p-5025-ti</t>
  </si>
  <si>
    <t>p-6164-cn</t>
  </si>
  <si>
    <t>p-8203-li</t>
  </si>
  <si>
    <t>p-10203-ti</t>
  </si>
  <si>
    <t>p-10547-li</t>
  </si>
  <si>
    <t>p-715-ko</t>
  </si>
  <si>
    <t>p-836-ok</t>
  </si>
  <si>
    <t>p-1182-de</t>
  </si>
  <si>
    <t>p-1583-li</t>
  </si>
  <si>
    <t>gak ada datapengganti</t>
  </si>
  <si>
    <t>p-11039-li</t>
  </si>
  <si>
    <t>p-11705-de</t>
  </si>
  <si>
    <t>p-10986-ko</t>
  </si>
  <si>
    <t>p-11459-tr</t>
  </si>
  <si>
    <t>p-11476-ok</t>
  </si>
  <si>
    <t>p-11215-de</t>
  </si>
  <si>
    <t>p-11690-su</t>
  </si>
  <si>
    <t>p-14616-de</t>
  </si>
  <si>
    <t>p-16120-ok</t>
  </si>
  <si>
    <t>p-16343-li</t>
  </si>
  <si>
    <t>p-16345-ok</t>
  </si>
  <si>
    <t>p-10752-re</t>
  </si>
  <si>
    <t>p-14258-de</t>
  </si>
  <si>
    <t>p-16173-te</t>
  </si>
  <si>
    <t>p-16087-de</t>
  </si>
  <si>
    <t>d-2350-ko</t>
  </si>
  <si>
    <t>d-10640-ti</t>
  </si>
  <si>
    <t>d-14656-re</t>
  </si>
  <si>
    <t>d-13520-re</t>
  </si>
  <si>
    <t>d-15231-te</t>
  </si>
  <si>
    <t>d-15673-li</t>
  </si>
  <si>
    <t>i-147-tr</t>
  </si>
  <si>
    <t>i-2418-ko</t>
  </si>
  <si>
    <t>p-3951-ok</t>
  </si>
  <si>
    <t>p-4031-li</t>
  </si>
  <si>
    <t>p-4318-su</t>
  </si>
  <si>
    <t>p-5023-te</t>
  </si>
  <si>
    <t>p-11916-ko</t>
  </si>
  <si>
    <t>p-11643-cn</t>
  </si>
  <si>
    <t>p-16282-re</t>
  </si>
  <si>
    <t>nggak ada pengganti</t>
  </si>
  <si>
    <t xml:space="preserve">p-6637-ok
</t>
  </si>
  <si>
    <t>p-8176-tr</t>
  </si>
  <si>
    <t>p-8573-te</t>
  </si>
  <si>
    <t>p-8888-ok</t>
  </si>
  <si>
    <t>p-8898-te</t>
  </si>
  <si>
    <t>p-16270-ok</t>
  </si>
  <si>
    <t>p-15776-ok</t>
  </si>
  <si>
    <t>p-7788-de</t>
  </si>
  <si>
    <t>p-9059-tr</t>
  </si>
  <si>
    <t>d-191-ok</t>
  </si>
  <si>
    <t>p-15064-re</t>
  </si>
  <si>
    <t>p-13087-ok</t>
  </si>
  <si>
    <t>d-467-ok</t>
  </si>
  <si>
    <t>d-1652-de</t>
  </si>
  <si>
    <t>d-6173-ko</t>
  </si>
  <si>
    <t>d-8504-su</t>
  </si>
  <si>
    <t>d-8622-cn</t>
  </si>
  <si>
    <t>d-9944-li</t>
  </si>
  <si>
    <t>d-10443-de</t>
  </si>
  <si>
    <t>d-10686-te</t>
  </si>
  <si>
    <t>d-11286-li</t>
  </si>
  <si>
    <t>d-11546-tr</t>
  </si>
  <si>
    <t>gal ada pengganti</t>
  </si>
  <si>
    <t>d-13852-li</t>
  </si>
  <si>
    <t>d-14460-tr</t>
  </si>
  <si>
    <t>d-15184-li</t>
  </si>
  <si>
    <t>d-15604-su</t>
  </si>
  <si>
    <t>d-15999-de</t>
  </si>
  <si>
    <t>d-16193-tr</t>
  </si>
  <si>
    <t>d-16766-te</t>
  </si>
  <si>
    <t>d-17526-ko</t>
  </si>
  <si>
    <t>p-9713-su</t>
  </si>
  <si>
    <t>p-10077-li</t>
  </si>
  <si>
    <t>p-10341-re</t>
  </si>
  <si>
    <t>p-10652-li</t>
  </si>
  <si>
    <t>p-10857-ok</t>
  </si>
  <si>
    <t>p-11031-tr</t>
  </si>
  <si>
    <t>p-11548-ti</t>
  </si>
  <si>
    <t>p-11722-ok</t>
  </si>
  <si>
    <t>p-12607-tr</t>
  </si>
  <si>
    <t>p-13316-su</t>
  </si>
  <si>
    <t>p-13453-ok</t>
  </si>
  <si>
    <t xml:space="preserve">p-13792-li
</t>
  </si>
  <si>
    <t>p-14462-su</t>
  </si>
  <si>
    <t>p-15110-cn</t>
  </si>
  <si>
    <t>p-15218-li</t>
  </si>
  <si>
    <t>p-15428-li</t>
  </si>
  <si>
    <t>p-15673-ko</t>
  </si>
  <si>
    <t>p-15971-ko</t>
  </si>
  <si>
    <t>d-16741-ok</t>
  </si>
  <si>
    <t>i-1-te</t>
  </si>
  <si>
    <t>i-43-cn</t>
  </si>
  <si>
    <t>i-522-de</t>
  </si>
  <si>
    <t>i-538-cn</t>
  </si>
  <si>
    <t>i-596-de</t>
  </si>
  <si>
    <t>i-622-te</t>
  </si>
  <si>
    <t>i-1401-ti</t>
  </si>
  <si>
    <t>i-1995-ko</t>
  </si>
  <si>
    <t>i-2631-tr</t>
  </si>
  <si>
    <t>i-2652-li</t>
  </si>
  <si>
    <t>i-2738-de</t>
  </si>
  <si>
    <t>i-2853-de</t>
  </si>
  <si>
    <t>i-3029-ok</t>
  </si>
  <si>
    <t>p-7289-li</t>
  </si>
  <si>
    <t>p-9780-ko</t>
  </si>
  <si>
    <t>p-9953-tr</t>
  </si>
  <si>
    <t>p-11090-re</t>
  </si>
  <si>
    <t>p-13181-ko</t>
  </si>
  <si>
    <t>p-13295-ok</t>
  </si>
  <si>
    <t>p-13492-re</t>
  </si>
  <si>
    <t>p-14712-ti</t>
  </si>
  <si>
    <t>p-15918-li</t>
  </si>
  <si>
    <t>a-20-su</t>
  </si>
  <si>
    <t>a-118-tr</t>
  </si>
  <si>
    <t>d-129-li</t>
  </si>
  <si>
    <t>d-263-te</t>
  </si>
  <si>
    <t>d-512-te</t>
  </si>
  <si>
    <t>d-1103-ti</t>
  </si>
  <si>
    <t>d-1354-tr</t>
  </si>
  <si>
    <t>p-608-de</t>
  </si>
  <si>
    <t>p-691-ok</t>
  </si>
  <si>
    <t>p-1428-tr</t>
  </si>
  <si>
    <t>p-1338-te</t>
  </si>
  <si>
    <t>d-2273-li</t>
  </si>
  <si>
    <t>d-1926-de</t>
  </si>
  <si>
    <t>d-2448-re</t>
  </si>
  <si>
    <t>d-2134-su</t>
  </si>
  <si>
    <t>i-5-ok</t>
  </si>
  <si>
    <t>i-120-ko</t>
  </si>
  <si>
    <t>i-100-tr</t>
  </si>
  <si>
    <t>p-474-cn</t>
  </si>
  <si>
    <t>d-1054-ok</t>
  </si>
  <si>
    <t>d-1372-cn</t>
  </si>
  <si>
    <t>d-1449-ko</t>
  </si>
  <si>
    <t>d-2128-re</t>
  </si>
  <si>
    <t>d-2183-ko</t>
  </si>
  <si>
    <t>d-271-tr</t>
  </si>
  <si>
    <t>d-343-te</t>
  </si>
  <si>
    <t>d-437-cn</t>
  </si>
  <si>
    <t>d-562-su</t>
  </si>
  <si>
    <t>d-2101-de</t>
  </si>
  <si>
    <t>d-2111-li</t>
  </si>
  <si>
    <t>d-2318-ok</t>
  </si>
  <si>
    <t>d-2529-li</t>
  </si>
  <si>
    <t>d-2603-ko</t>
  </si>
  <si>
    <t>i-12-tr</t>
  </si>
  <si>
    <t>p-490-ok</t>
  </si>
  <si>
    <t>p-1296-li</t>
  </si>
  <si>
    <t>p-1646-te</t>
  </si>
  <si>
    <t>a-140-li</t>
  </si>
  <si>
    <t>d-234-de</t>
  </si>
  <si>
    <t>d-346-ti</t>
  </si>
  <si>
    <t>d-397-su</t>
  </si>
  <si>
    <t>d-453-de</t>
  </si>
  <si>
    <t>d-1118-tr</t>
  </si>
  <si>
    <t>d-2569-ok</t>
  </si>
  <si>
    <t>d-1479-ok</t>
  </si>
  <si>
    <t>i-36-su</t>
  </si>
  <si>
    <t>i-163-tr</t>
  </si>
  <si>
    <t>p-109-tr</t>
  </si>
  <si>
    <t>p-136-su</t>
  </si>
  <si>
    <t>p-386-cn</t>
  </si>
  <si>
    <t>p-603-tr</t>
  </si>
  <si>
    <t>p-604-cn</t>
  </si>
  <si>
    <t>p-834-ok</t>
  </si>
  <si>
    <t>p-916-tr</t>
  </si>
  <si>
    <t>p-1064-cn</t>
  </si>
  <si>
    <t>p-1432-ko</t>
  </si>
  <si>
    <t>p-1587-tr</t>
  </si>
  <si>
    <t>i-104-de</t>
  </si>
  <si>
    <t>i-108-re</t>
  </si>
  <si>
    <t>i-168-cn</t>
  </si>
  <si>
    <t>i-181-cn</t>
  </si>
  <si>
    <t>i-206-ko</t>
  </si>
  <si>
    <t>i-325-tr</t>
  </si>
  <si>
    <t>p-89-tr</t>
  </si>
  <si>
    <t>p-242-su</t>
  </si>
  <si>
    <t>p-363-te</t>
  </si>
  <si>
    <t>p-499-re</t>
  </si>
  <si>
    <t>p-574-de</t>
  </si>
  <si>
    <t>p-646-ko</t>
  </si>
  <si>
    <t>p-1186-te</t>
  </si>
  <si>
    <t>p-1364-ok</t>
  </si>
  <si>
    <t>p-1551-su</t>
  </si>
  <si>
    <t>d-214-te</t>
  </si>
  <si>
    <t>d-543-de</t>
  </si>
  <si>
    <t>d-1745-te</t>
  </si>
  <si>
    <t>d-2016-ko</t>
  </si>
  <si>
    <t>d-2626-tr</t>
  </si>
  <si>
    <t>p-9186-de</t>
  </si>
  <si>
    <t>i-198-tr</t>
  </si>
  <si>
    <t>i-239-ti</t>
  </si>
  <si>
    <t>p-16-de</t>
  </si>
  <si>
    <t>p-61-ko</t>
  </si>
  <si>
    <t>a-122-cn</t>
  </si>
  <si>
    <t>a-132-ko</t>
  </si>
  <si>
    <t>d-248-li</t>
  </si>
  <si>
    <t>d-383-li</t>
  </si>
  <si>
    <t>d-1064-re</t>
  </si>
  <si>
    <t>d-1570-re</t>
  </si>
  <si>
    <t>d-2501-te</t>
  </si>
  <si>
    <t>i-1-cn</t>
  </si>
  <si>
    <t>i-94-ko</t>
  </si>
  <si>
    <t>i-127-tr</t>
  </si>
  <si>
    <t>i-217-tr</t>
  </si>
  <si>
    <t>p-68-su</t>
  </si>
  <si>
    <t>p-182-te</t>
  </si>
  <si>
    <t>p-325-ko</t>
  </si>
  <si>
    <t>p-539-ko</t>
  </si>
  <si>
    <t>p-620-ok</t>
  </si>
  <si>
    <t>p-1361-li</t>
  </si>
  <si>
    <t>p-1502-ko</t>
  </si>
  <si>
    <t>p-1617-te</t>
  </si>
  <si>
    <t>d-404-te</t>
  </si>
  <si>
    <t>d-862-tr</t>
  </si>
  <si>
    <t>d-969-cn</t>
  </si>
  <si>
    <t>d-2063-te</t>
  </si>
  <si>
    <t>p-111-cn</t>
  </si>
  <si>
    <t>d-702-su</t>
  </si>
  <si>
    <t>d-1155-ko</t>
  </si>
  <si>
    <t>p-96-li</t>
  </si>
  <si>
    <t>d-2252-cn</t>
  </si>
  <si>
    <t>tidak ada pengganti</t>
  </si>
  <si>
    <t>d-2615-re</t>
  </si>
  <si>
    <t>p-752-ok</t>
  </si>
  <si>
    <t>d-373-ko</t>
  </si>
  <si>
    <t>d-2064-te</t>
  </si>
  <si>
    <t>i-1574-li</t>
  </si>
  <si>
    <t>i-1605-cn</t>
  </si>
  <si>
    <t>p-438-re</t>
  </si>
  <si>
    <t>p-624-re</t>
  </si>
  <si>
    <t>d-8143-ti</t>
  </si>
  <si>
    <t>d-11214-de</t>
  </si>
  <si>
    <t>d-15087-te</t>
  </si>
  <si>
    <t>d-13706-su</t>
  </si>
  <si>
    <t>d-15340-te</t>
  </si>
  <si>
    <t>i-2348-de</t>
  </si>
  <si>
    <t>a-128-ti</t>
  </si>
  <si>
    <t>a-153-ti</t>
  </si>
  <si>
    <t>a-155-tr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</si>
</sst>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yy"/>
    <numFmt numFmtId="165" formatCode="yyyy\-mm\-dd"/>
    <numFmt numFmtId="166" formatCode="mm\-dd\-yyyy"/>
    <numFmt numFmtId="167" formatCode="dd&quot;/&quot;mm&quot;/&quot;yyyy"/>
    <numFmt numFmtId="168" formatCode="m\,\ d"/>
    <numFmt numFmtId="169" formatCode="&quot;$&quot;#,##0.00"/>
  </numFmts>
  <fonts count="51">
    <font>
      <sz val="10"/>
      <color rgb="FF000000"/>
      <name val="Arial"/>
    </font>
    <font>
      <sz val="10"/>
      <name val="Arial"/>
    </font>
    <font>
      <sz val="11"/>
      <color rgb="FF000000"/>
      <name val="Calibri"/>
    </font>
    <font>
      <u/>
      <sz val="10"/>
      <color rgb="FF0000FF"/>
      <name val="Arial"/>
    </font>
    <font>
      <u/>
      <sz val="10"/>
      <color rgb="FF0000FF"/>
      <name val="Arial"/>
    </font>
    <font>
      <u/>
      <sz val="10"/>
      <color rgb="FF0000FF"/>
      <name val="Arial"/>
    </font>
    <font>
      <u/>
      <sz val="10"/>
      <color rgb="FF0000FF"/>
      <name val="Arial"/>
    </font>
    <font>
      <sz val="10"/>
      <color rgb="FF222222"/>
      <name val="Arial"/>
    </font>
    <font>
      <sz val="11"/>
      <name val="Calibri"/>
    </font>
    <font>
      <sz val="10"/>
      <color rgb="FF000000"/>
      <name val="Arial"/>
    </font>
    <font>
      <u/>
      <sz val="10"/>
      <color rgb="FF0000FF"/>
      <name val="Arial"/>
    </font>
    <font>
      <sz val="10"/>
      <name val="Arial"/>
    </font>
    <font>
      <sz val="10"/>
      <color rgb="FF333333"/>
      <name val="Arial"/>
    </font>
    <font>
      <u/>
      <sz val="10"/>
      <color rgb="FF0000FF"/>
      <name val="Arial"/>
    </font>
    <font>
      <u/>
      <sz val="10"/>
      <color rgb="FF0563C1"/>
      <name val="Arial"/>
    </font>
    <font>
      <u/>
      <sz val="10"/>
      <color rgb="FF0000FF"/>
      <name val="Arial"/>
    </font>
    <font>
      <u/>
      <sz val="10"/>
      <color rgb="FF0000FF"/>
      <name val="Arial"/>
    </font>
    <font>
      <sz val="11"/>
      <color rgb="FF000000"/>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color rgb="FF333333"/>
      <name val="Arial"/>
    </font>
    <font>
      <sz val="10"/>
      <color rgb="FF000000"/>
      <name val="Arial"/>
    </font>
    <font>
      <u/>
      <sz val="10"/>
      <color rgb="FF0000FF"/>
      <name val="Arial"/>
    </font>
    <font>
      <sz val="11"/>
      <color rgb="FF434343"/>
      <name val="Arial"/>
    </font>
    <font>
      <u/>
      <sz val="10"/>
      <color rgb="FF0000FF"/>
      <name val="Arial"/>
    </font>
    <font>
      <sz val="11"/>
      <color rgb="FF333333"/>
      <name val="CNNSansW04-Regular"/>
    </font>
    <font>
      <sz val="10"/>
      <color rgb="FF191919"/>
      <name val="Arial"/>
    </font>
    <font>
      <sz val="10"/>
      <color rgb="FF575757"/>
      <name val="Arial"/>
    </font>
    <font>
      <sz val="10"/>
      <color rgb="FF575757"/>
      <name val="Arial"/>
    </font>
    <font>
      <sz val="10"/>
      <color rgb="FF000000"/>
      <name val="Roboto"/>
    </font>
    <font>
      <u/>
      <sz val="10"/>
      <color rgb="FF0000FF"/>
      <name val="Arial"/>
    </font>
    <font>
      <u/>
      <sz val="10"/>
      <color rgb="FF0000FF"/>
      <name val="Arial"/>
    </font>
    <font>
      <u/>
      <sz val="10"/>
      <color rgb="FF0000FF"/>
      <name val="Arial"/>
    </font>
    <font>
      <u/>
      <sz val="10"/>
      <color rgb="FF1155CC"/>
      <name val="Arial"/>
    </font>
    <font>
      <sz val="10"/>
      <name val="Arial"/>
    </font>
    <font>
      <u/>
      <sz val="10"/>
      <color rgb="FF1155CC"/>
      <name val="Arial"/>
    </font>
    <font>
      <sz val="10"/>
      <color rgb="FF000000"/>
      <name val="Calibri"/>
    </font>
    <font>
      <u/>
      <sz val="10"/>
      <color rgb="FF0000FF"/>
      <name val="Arial"/>
    </font>
    <font>
      <u/>
      <sz val="10"/>
      <color rgb="FF0000FF"/>
      <name val="Arial"/>
    </font>
    <font>
      <u/>
      <sz val="10"/>
      <color rgb="FF0000FF"/>
      <name val="Arial"/>
    </font>
    <font>
      <u/>
      <sz val="10"/>
      <color rgb="FF0000FF"/>
      <name val="Arial"/>
    </font>
    <font>
      <sz val="11"/>
      <color rgb="FF000000"/>
      <name val="Docs-Calibri"/>
    </font>
    <font>
      <u/>
      <sz val="10"/>
      <color rgb="FF0000FF"/>
      <name val="Arial"/>
    </font>
    <font>
      <u/>
      <sz val="10"/>
      <color rgb="FF000000"/>
      <name val="Arial"/>
    </font>
    <font>
      <i/>
      <sz val="10"/>
      <name val="Arial"/>
    </font>
  </fonts>
  <fills count="11">
    <fill>
      <patternFill patternType="none"/>
    </fill>
    <fill>
      <patternFill patternType="gray125"/>
    </fill>
    <fill>
      <patternFill patternType="solid">
        <fgColor rgb="FF9900FF"/>
        <bgColor rgb="FF9900FF"/>
      </patternFill>
    </fill>
    <fill>
      <patternFill patternType="solid">
        <fgColor rgb="FF0000FF"/>
        <bgColor rgb="FF0000FF"/>
      </patternFill>
    </fill>
    <fill>
      <patternFill patternType="solid">
        <fgColor rgb="FFFFFF00"/>
        <bgColor rgb="FFFFFF00"/>
      </patternFill>
    </fill>
    <fill>
      <patternFill patternType="solid">
        <fgColor rgb="FFFFFFFF"/>
        <bgColor rgb="FFFFFFFF"/>
      </patternFill>
    </fill>
    <fill>
      <patternFill patternType="solid">
        <fgColor rgb="FFB4A7D6"/>
        <bgColor rgb="FFB4A7D6"/>
      </patternFill>
    </fill>
    <fill>
      <patternFill patternType="solid">
        <fgColor rgb="FFFF00FF"/>
        <bgColor rgb="FFFF00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s>
  <borders count="10">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top/>
      <bottom/>
      <diagonal/>
    </border>
    <border>
      <left/>
      <right/>
      <top/>
      <bottom/>
      <diagonal/>
    </border>
    <border>
      <left/>
      <right/>
      <top/>
      <bottom/>
      <diagonal/>
    </border>
  </borders>
  <cellStyleXfs count="1">
    <xf numFmtId="0" fontId="0" fillId="0" borderId="0"/>
  </cellStyleXfs>
  <cellXfs count="417">
    <xf numFmtId="0" fontId="0" fillId="0" borderId="0" xfId="0" applyFont="1" applyAlignment="1"/>
    <xf numFmtId="0" fontId="1" fillId="0" borderId="0" xfId="0" applyFont="1" applyAlignment="1">
      <alignment horizontal="center" vertical="center"/>
    </xf>
    <xf numFmtId="0" fontId="2"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xf>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164" fontId="1"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 fillId="3" borderId="0" xfId="0" applyFont="1" applyFill="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3" borderId="0" xfId="0" applyFont="1" applyFill="1" applyAlignment="1">
      <alignment horizontal="center" vertical="center"/>
    </xf>
    <xf numFmtId="0" fontId="1" fillId="0" borderId="0" xfId="0" applyFont="1" applyAlignment="1">
      <alignment horizontal="center" vertical="center"/>
    </xf>
    <xf numFmtId="164" fontId="1" fillId="3" borderId="3" xfId="0" applyNumberFormat="1" applyFont="1" applyFill="1" applyBorder="1" applyAlignment="1">
      <alignment horizontal="center" vertical="center" wrapText="1"/>
    </xf>
    <xf numFmtId="0" fontId="0" fillId="2" borderId="0" xfId="0" applyFont="1" applyFill="1" applyAlignment="1">
      <alignment vertical="center" wrapText="1"/>
    </xf>
    <xf numFmtId="0" fontId="1" fillId="2" borderId="3" xfId="0" applyFont="1" applyFill="1" applyBorder="1" applyAlignment="1">
      <alignment horizontal="center" vertical="center"/>
    </xf>
    <xf numFmtId="0" fontId="1" fillId="3" borderId="0" xfId="0" applyFont="1" applyFill="1" applyAlignment="1">
      <alignment horizontal="center" vertical="center" wrapText="1"/>
    </xf>
    <xf numFmtId="0" fontId="1" fillId="0" borderId="3"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0" fontId="6"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3" xfId="0" applyFont="1" applyFill="1" applyBorder="1" applyAlignment="1">
      <alignment horizontal="center" vertical="center"/>
    </xf>
    <xf numFmtId="0" fontId="7" fillId="5" borderId="0" xfId="0" applyFont="1" applyFill="1" applyAlignment="1">
      <alignment horizontal="left"/>
    </xf>
    <xf numFmtId="0" fontId="1" fillId="5" borderId="3" xfId="0" applyFont="1" applyFill="1" applyBorder="1" applyAlignment="1">
      <alignment horizontal="center" vertical="center" wrapText="1"/>
    </xf>
    <xf numFmtId="0" fontId="0" fillId="5" borderId="0" xfId="0" applyFont="1" applyFill="1" applyAlignment="1">
      <alignment horizontal="center" vertical="center" wrapText="1"/>
    </xf>
    <xf numFmtId="0" fontId="8" fillId="2" borderId="3" xfId="0" applyFont="1" applyFill="1" applyBorder="1" applyAlignment="1">
      <alignment horizontal="center"/>
    </xf>
    <xf numFmtId="0" fontId="8" fillId="2" borderId="0" xfId="0" applyFont="1" applyFill="1" applyAlignment="1"/>
    <xf numFmtId="0" fontId="9" fillId="5" borderId="0" xfId="0" applyFont="1" applyFill="1" applyAlignment="1">
      <alignment horizontal="center" vertical="center" wrapText="1"/>
    </xf>
    <xf numFmtId="0" fontId="8" fillId="3" borderId="3" xfId="0" applyFont="1" applyFill="1" applyBorder="1" applyAlignment="1"/>
    <xf numFmtId="0" fontId="8" fillId="3" borderId="3" xfId="0" applyFont="1" applyFill="1" applyBorder="1" applyAlignment="1">
      <alignment horizontal="center" vertical="center"/>
    </xf>
    <xf numFmtId="0" fontId="8" fillId="5" borderId="3" xfId="0" applyFont="1" applyFill="1" applyBorder="1" applyAlignment="1">
      <alignment horizontal="center"/>
    </xf>
    <xf numFmtId="0" fontId="8" fillId="5" borderId="3" xfId="0" applyFont="1" applyFill="1" applyBorder="1" applyAlignment="1"/>
    <xf numFmtId="14" fontId="1" fillId="5" borderId="3" xfId="0" applyNumberFormat="1" applyFont="1" applyFill="1" applyBorder="1" applyAlignment="1">
      <alignment horizontal="center" vertical="center" wrapText="1"/>
    </xf>
    <xf numFmtId="0" fontId="8" fillId="5" borderId="3" xfId="0" applyFont="1" applyFill="1" applyBorder="1" applyAlignment="1">
      <alignment horizontal="center" vertical="center"/>
    </xf>
    <xf numFmtId="0" fontId="8" fillId="0" borderId="3" xfId="0" applyFont="1" applyBorder="1" applyAlignment="1">
      <alignment horizontal="center" vertical="center"/>
    </xf>
    <xf numFmtId="0" fontId="8" fillId="2" borderId="3" xfId="0" applyFont="1" applyFill="1" applyBorder="1" applyAlignment="1"/>
    <xf numFmtId="0" fontId="8" fillId="2" borderId="3" xfId="0" applyFont="1" applyFill="1" applyBorder="1" applyAlignment="1">
      <alignment horizontal="center" vertical="center"/>
    </xf>
    <xf numFmtId="0" fontId="1" fillId="5" borderId="3" xfId="0" applyFont="1" applyFill="1" applyBorder="1" applyAlignment="1">
      <alignment horizontal="center" vertical="center"/>
    </xf>
    <xf numFmtId="0" fontId="10" fillId="0" borderId="0" xfId="0" applyFont="1" applyAlignment="1">
      <alignment vertical="center"/>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0" fillId="0" borderId="0" xfId="0" applyFont="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165" fontId="0"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left" vertical="center" wrapText="1"/>
    </xf>
    <xf numFmtId="0" fontId="0" fillId="0" borderId="0" xfId="0" applyFont="1" applyAlignment="1">
      <alignment horizontal="center" vertical="center"/>
    </xf>
    <xf numFmtId="0" fontId="1" fillId="0" borderId="3" xfId="0" applyFont="1" applyBorder="1" applyAlignment="1">
      <alignment horizontal="left" vertical="center" wrapText="1"/>
    </xf>
    <xf numFmtId="0" fontId="11" fillId="0" borderId="3" xfId="0" applyFont="1" applyBorder="1" applyAlignment="1">
      <alignment horizontal="center" vertical="center"/>
    </xf>
    <xf numFmtId="0" fontId="1" fillId="0" borderId="3" xfId="0" applyFont="1" applyBorder="1" applyAlignment="1">
      <alignment vertical="center" wrapText="1"/>
    </xf>
    <xf numFmtId="0" fontId="0" fillId="3" borderId="0" xfId="0" applyFont="1" applyFill="1" applyAlignment="1">
      <alignment horizontal="center" vertical="center"/>
    </xf>
    <xf numFmtId="0" fontId="0" fillId="3" borderId="3" xfId="0" applyFont="1" applyFill="1" applyBorder="1" applyAlignment="1">
      <alignment horizontal="center" vertical="center"/>
    </xf>
    <xf numFmtId="0" fontId="0" fillId="3" borderId="3" xfId="0" applyFont="1" applyFill="1" applyBorder="1" applyAlignment="1">
      <alignment horizontal="center" vertical="center" wrapText="1"/>
    </xf>
    <xf numFmtId="165" fontId="0" fillId="3" borderId="3" xfId="0" applyNumberFormat="1" applyFont="1" applyFill="1" applyBorder="1" applyAlignment="1">
      <alignment horizontal="center" vertical="center" wrapText="1"/>
    </xf>
    <xf numFmtId="0" fontId="11" fillId="3" borderId="3" xfId="0" applyFont="1" applyFill="1" applyBorder="1" applyAlignment="1">
      <alignment horizontal="center" vertical="center" wrapText="1"/>
    </xf>
    <xf numFmtId="0" fontId="1" fillId="3" borderId="3" xfId="0" applyFont="1" applyFill="1" applyBorder="1" applyAlignment="1">
      <alignment horizontal="left" vertical="center" wrapText="1"/>
    </xf>
    <xf numFmtId="0" fontId="9" fillId="3" borderId="3" xfId="0" applyFont="1" applyFill="1" applyBorder="1" applyAlignment="1">
      <alignment horizontal="center" vertical="center"/>
    </xf>
    <xf numFmtId="0" fontId="0" fillId="6" borderId="0" xfId="0" applyFont="1" applyFill="1" applyAlignment="1">
      <alignment horizontal="center" vertical="center"/>
    </xf>
    <xf numFmtId="0" fontId="0"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165" fontId="0" fillId="6" borderId="3"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 fillId="6" borderId="3"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9" fillId="6" borderId="3" xfId="0" applyFont="1" applyFill="1" applyBorder="1" applyAlignment="1">
      <alignment horizontal="center" vertical="center"/>
    </xf>
    <xf numFmtId="0" fontId="1" fillId="6" borderId="3"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 fillId="3" borderId="3" xfId="0" applyFont="1" applyFill="1" applyBorder="1" applyAlignment="1">
      <alignment horizontal="left" vertical="center" wrapText="1"/>
    </xf>
    <xf numFmtId="0" fontId="0" fillId="6" borderId="3" xfId="0" applyFont="1" applyFill="1" applyBorder="1" applyAlignment="1">
      <alignment horizontal="center" vertical="center"/>
    </xf>
    <xf numFmtId="165" fontId="0" fillId="6" borderId="3"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3" borderId="3" xfId="0" applyFont="1" applyFill="1" applyBorder="1" applyAlignment="1">
      <alignment horizontal="center" vertical="center" wrapText="1"/>
    </xf>
    <xf numFmtId="0" fontId="14" fillId="3" borderId="3" xfId="0" applyFont="1" applyFill="1" applyBorder="1" applyAlignment="1"/>
    <xf numFmtId="0" fontId="0" fillId="0" borderId="3" xfId="0" applyFont="1" applyBorder="1" applyAlignment="1">
      <alignment horizontal="center" vertical="center" wrapText="1"/>
    </xf>
    <xf numFmtId="0" fontId="0" fillId="0" borderId="3" xfId="0" applyFont="1" applyBorder="1" applyAlignment="1">
      <alignment horizontal="center" vertical="center"/>
    </xf>
    <xf numFmtId="0" fontId="0" fillId="3" borderId="3" xfId="0" applyFont="1" applyFill="1" applyBorder="1" applyAlignment="1">
      <alignment horizontal="center" vertical="center"/>
    </xf>
    <xf numFmtId="0" fontId="0" fillId="6" borderId="3" xfId="0" applyFont="1" applyFill="1" applyBorder="1" applyAlignment="1">
      <alignment horizontal="center" vertical="center"/>
    </xf>
    <xf numFmtId="0" fontId="0" fillId="0" borderId="3" xfId="0" applyFont="1" applyBorder="1" applyAlignment="1">
      <alignment horizontal="center" vertical="center"/>
    </xf>
    <xf numFmtId="0" fontId="0" fillId="6" borderId="3" xfId="0" applyFont="1" applyFill="1" applyBorder="1" applyAlignment="1">
      <alignment horizontal="center" vertical="center"/>
    </xf>
    <xf numFmtId="0" fontId="1" fillId="6" borderId="3" xfId="0" applyFont="1" applyFill="1" applyBorder="1" applyAlignment="1">
      <alignment horizontal="left" vertical="center" wrapText="1"/>
    </xf>
    <xf numFmtId="0" fontId="0" fillId="0" borderId="3" xfId="0" applyFont="1" applyBorder="1" applyAlignment="1">
      <alignment horizontal="center" vertical="center"/>
    </xf>
    <xf numFmtId="0" fontId="1" fillId="0" borderId="3" xfId="0" applyFont="1" applyBorder="1" applyAlignment="1">
      <alignment horizontal="left" vertical="center" wrapText="1"/>
    </xf>
    <xf numFmtId="0" fontId="1" fillId="4" borderId="3" xfId="0" applyFont="1" applyFill="1" applyBorder="1" applyAlignment="1">
      <alignment horizontal="center" vertical="center" wrapText="1"/>
    </xf>
    <xf numFmtId="0" fontId="2" fillId="3" borderId="0" xfId="0" applyFont="1" applyFill="1" applyAlignment="1">
      <alignment horizontal="center"/>
    </xf>
    <xf numFmtId="0" fontId="2" fillId="3" borderId="3" xfId="0" applyFont="1" applyFill="1" applyBorder="1" applyAlignment="1"/>
    <xf numFmtId="0" fontId="2" fillId="3" borderId="3" xfId="0" applyFont="1" applyFill="1" applyBorder="1" applyAlignment="1">
      <alignment horizontal="right"/>
    </xf>
    <xf numFmtId="164" fontId="2" fillId="3" borderId="3" xfId="0" applyNumberFormat="1" applyFont="1" applyFill="1" applyBorder="1" applyAlignment="1">
      <alignment horizontal="right"/>
    </xf>
    <xf numFmtId="0" fontId="15"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0" xfId="0" applyFont="1" applyAlignment="1">
      <alignment horizontal="center"/>
    </xf>
    <xf numFmtId="0" fontId="2" fillId="0" borderId="3" xfId="0" applyFont="1" applyBorder="1" applyAlignment="1"/>
    <xf numFmtId="0" fontId="2" fillId="0" borderId="3" xfId="0" applyFont="1" applyBorder="1" applyAlignment="1">
      <alignment horizontal="right"/>
    </xf>
    <xf numFmtId="164" fontId="2" fillId="0" borderId="3" xfId="0" applyNumberFormat="1" applyFont="1" applyBorder="1" applyAlignment="1">
      <alignment horizontal="right"/>
    </xf>
    <xf numFmtId="0" fontId="16" fillId="0" borderId="3" xfId="0" applyFont="1" applyBorder="1" applyAlignment="1">
      <alignment horizontal="center" vertical="center"/>
    </xf>
    <xf numFmtId="0" fontId="17" fillId="0" borderId="3" xfId="0" applyFont="1" applyBorder="1" applyAlignment="1">
      <alignment horizontal="right"/>
    </xf>
    <xf numFmtId="0" fontId="1" fillId="0" borderId="3" xfId="0" applyFont="1" applyBorder="1" applyAlignment="1">
      <alignment horizontal="center" vertical="center"/>
    </xf>
    <xf numFmtId="0" fontId="1" fillId="3" borderId="3" xfId="0" applyFont="1" applyFill="1" applyBorder="1" applyAlignment="1">
      <alignment horizontal="center" vertical="center"/>
    </xf>
    <xf numFmtId="0" fontId="1" fillId="0" borderId="3" xfId="0" applyFont="1" applyBorder="1" applyAlignment="1">
      <alignment horizontal="center" vertical="center"/>
    </xf>
    <xf numFmtId="0" fontId="2" fillId="2" borderId="0" xfId="0" applyFont="1" applyFill="1" applyAlignment="1">
      <alignment horizontal="center"/>
    </xf>
    <xf numFmtId="0" fontId="2" fillId="2" borderId="3" xfId="0" applyFont="1" applyFill="1" applyBorder="1" applyAlignment="1"/>
    <xf numFmtId="0" fontId="2" fillId="2" borderId="3" xfId="0" applyFont="1" applyFill="1" applyBorder="1" applyAlignment="1">
      <alignment horizontal="right"/>
    </xf>
    <xf numFmtId="164" fontId="2" fillId="2" borderId="3" xfId="0" applyNumberFormat="1" applyFont="1" applyFill="1" applyBorder="1" applyAlignment="1">
      <alignment horizontal="right"/>
    </xf>
    <xf numFmtId="0" fontId="18"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xf>
    <xf numFmtId="0" fontId="2" fillId="7" borderId="0" xfId="0" applyFont="1" applyFill="1" applyAlignment="1">
      <alignment horizontal="center"/>
    </xf>
    <xf numFmtId="0" fontId="2" fillId="7" borderId="3" xfId="0" applyFont="1" applyFill="1" applyBorder="1" applyAlignment="1"/>
    <xf numFmtId="0" fontId="1" fillId="7" borderId="3" xfId="0" applyFont="1" applyFill="1" applyBorder="1" applyAlignment="1">
      <alignment horizontal="center" vertical="center"/>
    </xf>
    <xf numFmtId="0" fontId="2" fillId="7" borderId="3" xfId="0" applyFont="1" applyFill="1" applyBorder="1" applyAlignment="1">
      <alignment horizontal="right"/>
    </xf>
    <xf numFmtId="0" fontId="19" fillId="7"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0" xfId="0" applyFont="1" applyFill="1" applyAlignment="1">
      <alignment horizontal="center" vertical="center"/>
    </xf>
    <xf numFmtId="0" fontId="1" fillId="7" borderId="0" xfId="0" applyFont="1" applyFill="1" applyAlignment="1">
      <alignment horizontal="center" vertical="center"/>
    </xf>
    <xf numFmtId="0" fontId="9" fillId="5" borderId="0" xfId="0" applyFont="1" applyFill="1" applyAlignment="1">
      <alignment horizontal="center"/>
    </xf>
    <xf numFmtId="0" fontId="1" fillId="4" borderId="3" xfId="0" applyFont="1" applyFill="1" applyBorder="1" applyAlignment="1">
      <alignment horizontal="center" vertical="center"/>
    </xf>
    <xf numFmtId="0" fontId="8" fillId="2" borderId="0" xfId="0" applyFont="1" applyFill="1" applyAlignment="1">
      <alignment horizontal="center"/>
    </xf>
    <xf numFmtId="0" fontId="8" fillId="2" borderId="0" xfId="0" applyFont="1" applyFill="1" applyAlignment="1"/>
    <xf numFmtId="0" fontId="1" fillId="5" borderId="3" xfId="0" applyFont="1" applyFill="1" applyBorder="1" applyAlignment="1">
      <alignment horizontal="center" vertical="center"/>
    </xf>
    <xf numFmtId="0" fontId="1" fillId="3" borderId="3" xfId="0" applyFont="1" applyFill="1" applyBorder="1" applyAlignment="1">
      <alignment horizontal="center" vertical="center"/>
    </xf>
    <xf numFmtId="0" fontId="9" fillId="5" borderId="0" xfId="0" applyFont="1" applyFill="1" applyAlignment="1"/>
    <xf numFmtId="0" fontId="20" fillId="2" borderId="3" xfId="0" applyFont="1" applyFill="1" applyBorder="1" applyAlignment="1">
      <alignment horizontal="center" vertical="center"/>
    </xf>
    <xf numFmtId="164" fontId="2" fillId="7" borderId="3" xfId="0" applyNumberFormat="1" applyFont="1" applyFill="1" applyBorder="1" applyAlignment="1">
      <alignment horizontal="right"/>
    </xf>
    <xf numFmtId="0" fontId="8" fillId="7" borderId="0" xfId="0" applyFont="1" applyFill="1" applyAlignment="1"/>
    <xf numFmtId="0" fontId="17" fillId="3" borderId="3" xfId="0" applyFont="1" applyFill="1" applyBorder="1" applyAlignment="1"/>
    <xf numFmtId="0" fontId="8" fillId="8" borderId="0" xfId="0" applyFont="1" applyFill="1" applyAlignment="1">
      <alignment horizontal="center"/>
    </xf>
    <xf numFmtId="0" fontId="8" fillId="8" borderId="0" xfId="0" applyFont="1" applyFill="1" applyAlignment="1"/>
    <xf numFmtId="0" fontId="1" fillId="8" borderId="3" xfId="0" applyFont="1" applyFill="1" applyBorder="1" applyAlignment="1">
      <alignment horizontal="center" vertical="center"/>
    </xf>
    <xf numFmtId="0" fontId="2" fillId="8" borderId="3" xfId="0" applyFont="1" applyFill="1" applyBorder="1" applyAlignment="1">
      <alignment horizontal="right"/>
    </xf>
    <xf numFmtId="0" fontId="21" fillId="8" borderId="3" xfId="0" applyFont="1" applyFill="1" applyBorder="1" applyAlignment="1">
      <alignment horizontal="center" vertical="center"/>
    </xf>
    <xf numFmtId="0" fontId="2" fillId="8" borderId="3" xfId="0" applyFont="1" applyFill="1" applyBorder="1" applyAlignment="1"/>
    <xf numFmtId="0" fontId="1" fillId="8"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3" xfId="0" applyFont="1" applyFill="1" applyBorder="1" applyAlignment="1">
      <alignment horizontal="center" vertical="center"/>
    </xf>
    <xf numFmtId="0" fontId="22" fillId="2" borderId="3" xfId="0" applyFont="1" applyFill="1" applyBorder="1" applyAlignment="1">
      <alignment horizontal="center" vertical="center"/>
    </xf>
    <xf numFmtId="0" fontId="8" fillId="0" borderId="0" xfId="0" applyFont="1" applyAlignment="1">
      <alignment horizontal="center"/>
    </xf>
    <xf numFmtId="0" fontId="8" fillId="0" borderId="0" xfId="0" applyFont="1" applyAlignment="1"/>
    <xf numFmtId="164" fontId="2" fillId="5" borderId="3" xfId="0" applyNumberFormat="1" applyFont="1" applyFill="1" applyBorder="1" applyAlignment="1">
      <alignment horizontal="right"/>
    </xf>
    <xf numFmtId="0" fontId="8" fillId="3" borderId="0" xfId="0" applyFont="1" applyFill="1" applyAlignment="1">
      <alignment horizontal="center"/>
    </xf>
    <xf numFmtId="0" fontId="8" fillId="3" borderId="0" xfId="0" applyFont="1" applyFill="1" applyAlignment="1"/>
    <xf numFmtId="0" fontId="1" fillId="7" borderId="0" xfId="0" applyFont="1" applyFill="1" applyAlignment="1"/>
    <xf numFmtId="14" fontId="1" fillId="7" borderId="0" xfId="0" applyNumberFormat="1" applyFont="1" applyFill="1" applyAlignment="1"/>
    <xf numFmtId="0" fontId="23" fillId="7" borderId="0" xfId="0" applyFont="1" applyFill="1" applyAlignment="1">
      <alignment horizontal="center" vertical="center"/>
    </xf>
    <xf numFmtId="0" fontId="1" fillId="7" borderId="0" xfId="0" applyFont="1" applyFill="1" applyAlignment="1">
      <alignment horizontal="center" vertical="center"/>
    </xf>
    <xf numFmtId="0" fontId="1" fillId="7" borderId="0" xfId="0" applyFont="1" applyFill="1" applyAlignment="1">
      <alignment horizontal="center" vertical="center"/>
    </xf>
    <xf numFmtId="0" fontId="1" fillId="7" borderId="0" xfId="0" applyFont="1" applyFill="1" applyAlignment="1">
      <alignment horizontal="center" vertical="center"/>
    </xf>
    <xf numFmtId="0" fontId="1" fillId="3" borderId="0" xfId="0" applyFont="1" applyFill="1" applyAlignment="1">
      <alignment horizontal="center"/>
    </xf>
    <xf numFmtId="0" fontId="1" fillId="3" borderId="0" xfId="0" applyFont="1" applyFill="1" applyAlignment="1"/>
    <xf numFmtId="14" fontId="1" fillId="3" borderId="0" xfId="0" applyNumberFormat="1" applyFont="1" applyFill="1" applyAlignment="1"/>
    <xf numFmtId="0" fontId="24" fillId="3"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xf>
    <xf numFmtId="0" fontId="1" fillId="0" borderId="0" xfId="0" applyFont="1" applyAlignment="1"/>
    <xf numFmtId="0" fontId="25" fillId="0" borderId="0" xfId="0" applyFont="1" applyAlignment="1">
      <alignment horizontal="center" vertical="center"/>
    </xf>
    <xf numFmtId="0" fontId="26" fillId="5" borderId="0" xfId="0" applyFont="1" applyFill="1" applyAlignment="1"/>
    <xf numFmtId="0" fontId="1" fillId="0" borderId="0" xfId="0" applyFont="1" applyAlignment="1">
      <alignment horizontal="center" vertical="center"/>
    </xf>
    <xf numFmtId="0" fontId="1" fillId="0" borderId="0" xfId="0" applyFont="1" applyAlignment="1">
      <alignment horizontal="center" vertical="center"/>
    </xf>
    <xf numFmtId="165" fontId="1" fillId="3" borderId="0" xfId="0" applyNumberFormat="1" applyFont="1" applyFill="1" applyAlignment="1"/>
    <xf numFmtId="0" fontId="27" fillId="3" borderId="0" xfId="0" applyFont="1" applyFill="1" applyAlignment="1"/>
    <xf numFmtId="0" fontId="28" fillId="3" borderId="0" xfId="0" applyFont="1" applyFill="1" applyAlignment="1"/>
    <xf numFmtId="0" fontId="29" fillId="3" borderId="0" xfId="0" applyFont="1" applyFill="1" applyAlignment="1"/>
    <xf numFmtId="0" fontId="8" fillId="7" borderId="0" xfId="0" applyFont="1" applyFill="1" applyAlignment="1"/>
    <xf numFmtId="165" fontId="1" fillId="7" borderId="0" xfId="0" applyNumberFormat="1" applyFont="1" applyFill="1" applyAlignment="1"/>
    <xf numFmtId="0" fontId="27" fillId="7" borderId="0" xfId="0" applyFont="1" applyFill="1" applyAlignment="1"/>
    <xf numFmtId="0" fontId="8" fillId="7" borderId="0" xfId="0" applyFont="1" applyFill="1" applyAlignment="1">
      <alignment horizontal="right"/>
    </xf>
    <xf numFmtId="0" fontId="26" fillId="7" borderId="0" xfId="0" applyFont="1" applyFill="1" applyAlignment="1"/>
    <xf numFmtId="165" fontId="1" fillId="0" borderId="0" xfId="0" applyNumberFormat="1" applyFont="1" applyAlignment="1"/>
    <xf numFmtId="0" fontId="27" fillId="0" borderId="0" xfId="0" applyFont="1" applyAlignment="1"/>
    <xf numFmtId="0" fontId="1" fillId="0" borderId="0" xfId="0" applyFont="1" applyAlignment="1">
      <alignment horizontal="center" vertical="center"/>
    </xf>
    <xf numFmtId="0" fontId="8" fillId="2" borderId="0" xfId="0" applyFont="1" applyFill="1" applyAlignment="1"/>
    <xf numFmtId="0" fontId="1" fillId="2" borderId="0" xfId="0" applyFont="1" applyFill="1" applyAlignment="1"/>
    <xf numFmtId="165" fontId="1" fillId="2" borderId="0" xfId="0" applyNumberFormat="1" applyFont="1" applyFill="1" applyAlignment="1"/>
    <xf numFmtId="0" fontId="27" fillId="2" borderId="0" xfId="0" applyFont="1" applyFill="1" applyAlignment="1"/>
    <xf numFmtId="0" fontId="30" fillId="2" borderId="0" xfId="0" applyFont="1" applyFill="1" applyAlignment="1">
      <alignment horizontal="center" vertical="center"/>
    </xf>
    <xf numFmtId="0" fontId="8" fillId="2" borderId="0" xfId="0" applyFont="1" applyFill="1" applyAlignment="1">
      <alignment horizontal="right"/>
    </xf>
    <xf numFmtId="0" fontId="1" fillId="2" borderId="0" xfId="0" applyFont="1" applyFill="1" applyAlignment="1">
      <alignment horizontal="center" vertical="center"/>
    </xf>
    <xf numFmtId="0" fontId="1" fillId="2" borderId="0" xfId="0" applyFont="1" applyFill="1" applyAlignment="1">
      <alignment horizontal="center" vertical="center"/>
    </xf>
    <xf numFmtId="0" fontId="27" fillId="0" borderId="0" xfId="0" applyFont="1" applyAlignment="1"/>
    <xf numFmtId="0" fontId="8" fillId="2" borderId="0" xfId="0" applyFont="1" applyFill="1" applyAlignment="1">
      <alignment horizontal="center"/>
    </xf>
    <xf numFmtId="0" fontId="1" fillId="2" borderId="0" xfId="0" applyFont="1" applyFill="1" applyAlignment="1">
      <alignment horizontal="center" vertical="center"/>
    </xf>
    <xf numFmtId="0" fontId="31" fillId="2" borderId="0" xfId="0" applyFont="1" applyFill="1" applyAlignment="1"/>
    <xf numFmtId="0" fontId="1" fillId="0" borderId="0" xfId="0" applyFont="1" applyAlignment="1">
      <alignment horizontal="center"/>
    </xf>
    <xf numFmtId="0" fontId="12" fillId="0" borderId="0" xfId="0" applyFont="1" applyAlignment="1"/>
    <xf numFmtId="0" fontId="1" fillId="3" borderId="0" xfId="0" applyFont="1" applyFill="1" applyAlignment="1">
      <alignment horizontal="center" vertical="center"/>
    </xf>
    <xf numFmtId="0" fontId="32" fillId="7" borderId="0" xfId="0" applyFont="1" applyFill="1" applyAlignment="1"/>
    <xf numFmtId="0" fontId="33" fillId="5" borderId="0" xfId="0" applyFont="1" applyFill="1" applyAlignment="1">
      <alignment horizontal="left"/>
    </xf>
    <xf numFmtId="0" fontId="34" fillId="5" borderId="0" xfId="0" applyFont="1" applyFill="1" applyAlignment="1">
      <alignment horizontal="left"/>
    </xf>
    <xf numFmtId="0" fontId="32" fillId="5" borderId="0" xfId="0" applyFont="1" applyFill="1" applyAlignment="1"/>
    <xf numFmtId="0" fontId="1" fillId="0" borderId="3" xfId="0" applyFont="1" applyBorder="1"/>
    <xf numFmtId="164" fontId="1" fillId="0" borderId="3" xfId="0" applyNumberFormat="1" applyFont="1" applyBorder="1" applyAlignment="1">
      <alignment horizontal="center" vertical="center"/>
    </xf>
    <xf numFmtId="0" fontId="1" fillId="0" borderId="3" xfId="0" applyFont="1" applyBorder="1" applyAlignment="1">
      <alignment horizontal="center" vertical="center"/>
    </xf>
    <xf numFmtId="0" fontId="35" fillId="5" borderId="3" xfId="0" applyFont="1" applyFill="1" applyBorder="1" applyAlignment="1">
      <alignment horizontal="center"/>
    </xf>
    <xf numFmtId="0" fontId="1" fillId="0" borderId="3" xfId="0" applyFont="1" applyBorder="1" applyAlignment="1"/>
    <xf numFmtId="0" fontId="1" fillId="3" borderId="0" xfId="0" applyFont="1" applyFill="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35" fillId="0" borderId="0" xfId="0" applyFont="1" applyAlignment="1">
      <alignment horizontal="center"/>
    </xf>
    <xf numFmtId="0" fontId="35" fillId="0" borderId="3" xfId="0" applyFont="1" applyBorder="1" applyAlignment="1"/>
    <xf numFmtId="0" fontId="1" fillId="2" borderId="3" xfId="0" applyFont="1" applyFill="1" applyBorder="1" applyAlignment="1">
      <alignment horizontal="center" vertical="center"/>
    </xf>
    <xf numFmtId="0" fontId="1" fillId="2" borderId="3" xfId="0" applyFont="1" applyFill="1" applyBorder="1" applyAlignment="1">
      <alignment horizontal="center"/>
    </xf>
    <xf numFmtId="0" fontId="1" fillId="0" borderId="3" xfId="0" applyFont="1" applyBorder="1" applyAlignment="1">
      <alignment horizontal="center" vertical="center"/>
    </xf>
    <xf numFmtId="164" fontId="1" fillId="3" borderId="3" xfId="0" applyNumberFormat="1" applyFont="1" applyFill="1" applyBorder="1" applyAlignment="1">
      <alignment horizontal="center" vertical="center"/>
    </xf>
    <xf numFmtId="166" fontId="1" fillId="2" borderId="3" xfId="0" applyNumberFormat="1" applyFont="1" applyFill="1" applyBorder="1" applyAlignment="1">
      <alignment horizontal="center" vertical="center"/>
    </xf>
    <xf numFmtId="0" fontId="8" fillId="0" borderId="0" xfId="0" applyFont="1" applyAlignment="1">
      <alignment horizontal="center"/>
    </xf>
    <xf numFmtId="0" fontId="8" fillId="0" borderId="3" xfId="0" applyFont="1" applyBorder="1" applyAlignment="1"/>
    <xf numFmtId="0" fontId="27" fillId="0" borderId="3" xfId="0" applyFont="1" applyBorder="1" applyAlignment="1">
      <alignment horizontal="center" vertical="center"/>
    </xf>
    <xf numFmtId="0" fontId="8" fillId="3" borderId="3" xfId="0" applyFont="1" applyFill="1" applyBorder="1" applyAlignment="1"/>
    <xf numFmtId="0" fontId="35" fillId="5" borderId="0" xfId="0" applyFont="1" applyFill="1" applyAlignment="1"/>
    <xf numFmtId="167" fontId="8" fillId="0" borderId="3" xfId="0" applyNumberFormat="1" applyFont="1" applyBorder="1" applyAlignment="1">
      <alignment horizontal="right"/>
    </xf>
    <xf numFmtId="167" fontId="8" fillId="3" borderId="3" xfId="0" applyNumberFormat="1" applyFont="1" applyFill="1" applyBorder="1" applyAlignment="1">
      <alignment horizontal="right"/>
    </xf>
    <xf numFmtId="167" fontId="8" fillId="2" borderId="3" xfId="0" applyNumberFormat="1" applyFont="1" applyFill="1" applyBorder="1" applyAlignment="1">
      <alignment horizontal="right"/>
    </xf>
    <xf numFmtId="0" fontId="8" fillId="5" borderId="0" xfId="0" applyFont="1" applyFill="1" applyAlignment="1">
      <alignment horizontal="center"/>
    </xf>
    <xf numFmtId="0" fontId="8" fillId="5" borderId="3" xfId="0" applyFont="1" applyFill="1" applyBorder="1" applyAlignment="1"/>
    <xf numFmtId="167" fontId="8" fillId="5" borderId="3" xfId="0" applyNumberFormat="1" applyFont="1" applyFill="1" applyBorder="1" applyAlignment="1">
      <alignment horizontal="right"/>
    </xf>
    <xf numFmtId="0" fontId="36" fillId="5" borderId="3" xfId="0" applyFont="1" applyFill="1" applyBorder="1" applyAlignment="1">
      <alignment horizontal="center" vertical="center"/>
    </xf>
    <xf numFmtId="0" fontId="1" fillId="5" borderId="3" xfId="0" applyFont="1" applyFill="1" applyBorder="1" applyAlignment="1">
      <alignment horizontal="center" vertical="center"/>
    </xf>
    <xf numFmtId="167" fontId="8" fillId="2" borderId="3" xfId="0" applyNumberFormat="1" applyFont="1" applyFill="1" applyBorder="1" applyAlignment="1">
      <alignment horizontal="right"/>
    </xf>
    <xf numFmtId="0" fontId="8" fillId="0" borderId="0" xfId="0" applyFont="1" applyAlignment="1">
      <alignment horizontal="center"/>
    </xf>
    <xf numFmtId="0" fontId="8" fillId="2" borderId="3" xfId="0" applyFont="1" applyFill="1" applyBorder="1" applyAlignment="1">
      <alignment horizontal="right"/>
    </xf>
    <xf numFmtId="0" fontId="8" fillId="2" borderId="5" xfId="0" applyFont="1" applyFill="1" applyBorder="1" applyAlignment="1"/>
    <xf numFmtId="168" fontId="1" fillId="0" borderId="3" xfId="0" applyNumberFormat="1" applyFont="1" applyBorder="1" applyAlignment="1">
      <alignment horizontal="center" vertical="center"/>
    </xf>
    <xf numFmtId="0" fontId="0" fillId="0" borderId="0" xfId="0" applyFont="1" applyAlignment="1"/>
    <xf numFmtId="0" fontId="9" fillId="2" borderId="0" xfId="0" applyFont="1" applyFill="1" applyAlignment="1">
      <alignment horizontal="center"/>
    </xf>
    <xf numFmtId="0" fontId="8" fillId="2" borderId="3" xfId="0" applyFont="1" applyFill="1" applyBorder="1" applyAlignment="1"/>
    <xf numFmtId="0" fontId="37" fillId="2" borderId="0" xfId="0" applyFont="1" applyFill="1" applyAlignment="1"/>
    <xf numFmtId="0" fontId="8" fillId="2" borderId="0" xfId="0" applyFont="1" applyFill="1" applyAlignment="1">
      <alignment horizontal="right"/>
    </xf>
    <xf numFmtId="0" fontId="12" fillId="5" borderId="0" xfId="0" applyFont="1" applyFill="1" applyAlignment="1"/>
    <xf numFmtId="0" fontId="38" fillId="0" borderId="0" xfId="0" applyFont="1" applyAlignment="1"/>
    <xf numFmtId="0" fontId="27" fillId="0" borderId="3" xfId="0" applyFont="1" applyBorder="1" applyAlignment="1">
      <alignment horizontal="center" vertical="center"/>
    </xf>
    <xf numFmtId="0" fontId="39" fillId="3" borderId="3" xfId="0" applyFont="1" applyFill="1" applyBorder="1" applyAlignment="1">
      <alignment horizontal="center" vertical="center"/>
    </xf>
    <xf numFmtId="0" fontId="8" fillId="2" borderId="2" xfId="0" applyFont="1" applyFill="1" applyBorder="1" applyAlignment="1"/>
    <xf numFmtId="0" fontId="40" fillId="2" borderId="2" xfId="0" applyFont="1" applyFill="1" applyBorder="1" applyAlignment="1">
      <alignment horizontal="center"/>
    </xf>
    <xf numFmtId="167" fontId="8" fillId="2" borderId="2" xfId="0" applyNumberFormat="1" applyFont="1" applyFill="1" applyBorder="1" applyAlignment="1">
      <alignment horizontal="right"/>
    </xf>
    <xf numFmtId="0" fontId="41" fillId="2" borderId="2" xfId="0" applyFont="1" applyFill="1" applyBorder="1" applyAlignment="1">
      <alignment horizontal="center"/>
    </xf>
    <xf numFmtId="0" fontId="40" fillId="2" borderId="2" xfId="0" applyFont="1" applyFill="1" applyBorder="1" applyAlignment="1">
      <alignment horizontal="center"/>
    </xf>
    <xf numFmtId="0" fontId="40" fillId="2" borderId="2" xfId="0" applyFont="1" applyFill="1" applyBorder="1" applyAlignment="1"/>
    <xf numFmtId="0" fontId="40" fillId="2" borderId="2" xfId="0" applyFont="1" applyFill="1" applyBorder="1" applyAlignment="1">
      <alignment horizontal="center"/>
    </xf>
    <xf numFmtId="0" fontId="40" fillId="2" borderId="2" xfId="0" applyFont="1" applyFill="1" applyBorder="1"/>
    <xf numFmtId="0" fontId="1" fillId="3" borderId="0" xfId="0" applyFont="1" applyFill="1"/>
    <xf numFmtId="165" fontId="1" fillId="3" borderId="3" xfId="0" applyNumberFormat="1" applyFont="1" applyFill="1" applyBorder="1" applyAlignment="1">
      <alignment horizontal="center" vertical="center"/>
    </xf>
    <xf numFmtId="0" fontId="8" fillId="0" borderId="0" xfId="0" applyFont="1" applyAlignment="1"/>
    <xf numFmtId="165" fontId="8" fillId="0" borderId="0" xfId="0" applyNumberFormat="1" applyFont="1" applyAlignment="1"/>
    <xf numFmtId="0" fontId="8" fillId="3" borderId="0" xfId="0" applyFont="1" applyFill="1" applyAlignment="1"/>
    <xf numFmtId="165" fontId="8" fillId="3" borderId="0" xfId="0" applyNumberFormat="1" applyFont="1" applyFill="1" applyAlignment="1"/>
    <xf numFmtId="165" fontId="8" fillId="2" borderId="0" xfId="0" applyNumberFormat="1" applyFont="1" applyFill="1" applyAlignment="1"/>
    <xf numFmtId="0" fontId="8" fillId="2" borderId="0" xfId="0" applyFont="1" applyFill="1" applyAlignment="1">
      <alignment horizontal="center"/>
    </xf>
    <xf numFmtId="165" fontId="1" fillId="2" borderId="3" xfId="0" applyNumberFormat="1" applyFont="1" applyFill="1" applyBorder="1" applyAlignment="1">
      <alignment horizontal="center" vertical="center"/>
    </xf>
    <xf numFmtId="165" fontId="1" fillId="0" borderId="3" xfId="0" applyNumberFormat="1" applyFont="1" applyBorder="1" applyAlignment="1">
      <alignment horizontal="center" vertical="center"/>
    </xf>
    <xf numFmtId="0" fontId="42" fillId="3" borderId="0" xfId="0" applyFont="1" applyFill="1" applyAlignment="1">
      <alignment horizontal="center"/>
    </xf>
    <xf numFmtId="0" fontId="42" fillId="3" borderId="0" xfId="0" applyFont="1" applyFill="1" applyAlignment="1"/>
    <xf numFmtId="0" fontId="42" fillId="0" borderId="0" xfId="0" applyFont="1" applyAlignment="1">
      <alignment horizontal="center"/>
    </xf>
    <xf numFmtId="0" fontId="42" fillId="0" borderId="0" xfId="0" applyFont="1" applyAlignment="1"/>
    <xf numFmtId="0" fontId="2" fillId="2" borderId="0" xfId="0" applyFont="1" applyFill="1" applyAlignment="1"/>
    <xf numFmtId="3" fontId="1" fillId="3" borderId="0" xfId="0" applyNumberFormat="1" applyFont="1" applyFill="1" applyAlignment="1">
      <alignment horizontal="center" vertical="center"/>
    </xf>
    <xf numFmtId="169" fontId="1" fillId="3" borderId="3" xfId="0" applyNumberFormat="1" applyFont="1" applyFill="1" applyBorder="1" applyAlignment="1">
      <alignment horizontal="center" vertical="center"/>
    </xf>
    <xf numFmtId="164" fontId="1" fillId="2" borderId="3" xfId="0" applyNumberFormat="1" applyFont="1" applyFill="1" applyBorder="1" applyAlignment="1">
      <alignment horizontal="center" vertical="center"/>
    </xf>
    <xf numFmtId="164" fontId="1" fillId="2" borderId="0" xfId="0" applyNumberFormat="1" applyFont="1" applyFill="1" applyAlignment="1"/>
    <xf numFmtId="0" fontId="1" fillId="2" borderId="0" xfId="0" applyFont="1" applyFill="1" applyAlignment="1">
      <alignment horizontal="center"/>
    </xf>
    <xf numFmtId="0" fontId="1" fillId="0" borderId="6" xfId="0" applyFont="1" applyBorder="1" applyAlignment="1"/>
    <xf numFmtId="0" fontId="2" fillId="2" borderId="3" xfId="0" applyFont="1" applyFill="1" applyBorder="1" applyAlignment="1"/>
    <xf numFmtId="0" fontId="1" fillId="3" borderId="3" xfId="0" applyFont="1" applyFill="1" applyBorder="1"/>
    <xf numFmtId="0" fontId="2" fillId="0" borderId="0" xfId="0" applyFont="1" applyAlignment="1"/>
    <xf numFmtId="0" fontId="1" fillId="0" borderId="0" xfId="0" applyFont="1" applyAlignment="1">
      <alignment horizontal="center"/>
    </xf>
    <xf numFmtId="0" fontId="1" fillId="3" borderId="3" xfId="0" applyFont="1" applyFill="1" applyBorder="1" applyAlignment="1"/>
    <xf numFmtId="14" fontId="1" fillId="3" borderId="3" xfId="0" applyNumberFormat="1" applyFont="1" applyFill="1" applyBorder="1" applyAlignment="1">
      <alignment horizontal="center" vertical="center"/>
    </xf>
    <xf numFmtId="14" fontId="1" fillId="0" borderId="3" xfId="0" applyNumberFormat="1" applyFont="1" applyBorder="1" applyAlignment="1">
      <alignment horizontal="center" vertical="center"/>
    </xf>
    <xf numFmtId="0" fontId="1" fillId="0" borderId="3" xfId="0" applyFont="1" applyBorder="1" applyAlignment="1">
      <alignment horizontal="center" vertical="center"/>
    </xf>
    <xf numFmtId="14" fontId="1" fillId="2" borderId="3" xfId="0" applyNumberFormat="1" applyFont="1" applyFill="1" applyBorder="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center"/>
    </xf>
    <xf numFmtId="0" fontId="1" fillId="3" borderId="1" xfId="0" applyFont="1" applyFill="1" applyBorder="1" applyAlignment="1">
      <alignment horizontal="center" vertical="center"/>
    </xf>
    <xf numFmtId="0" fontId="2" fillId="5" borderId="0" xfId="0" applyFont="1" applyFill="1" applyAlignment="1">
      <alignment horizontal="center"/>
    </xf>
    <xf numFmtId="0" fontId="2" fillId="5" borderId="0" xfId="0" applyFont="1" applyFill="1" applyAlignment="1"/>
    <xf numFmtId="164" fontId="1" fillId="5" borderId="3" xfId="0" applyNumberFormat="1" applyFont="1" applyFill="1" applyBorder="1" applyAlignment="1">
      <alignment horizontal="center" vertical="center"/>
    </xf>
    <xf numFmtId="0" fontId="1" fillId="5" borderId="3" xfId="0" applyFont="1" applyFill="1" applyBorder="1" applyAlignment="1">
      <alignment horizontal="center" vertical="center"/>
    </xf>
    <xf numFmtId="0" fontId="2" fillId="3" borderId="0" xfId="0" applyFont="1" applyFill="1" applyAlignment="1"/>
    <xf numFmtId="0" fontId="1" fillId="5" borderId="3" xfId="0" applyFont="1" applyFill="1" applyBorder="1" applyAlignment="1">
      <alignment horizontal="center" vertical="center"/>
    </xf>
    <xf numFmtId="0" fontId="2" fillId="0" borderId="0" xfId="0" applyFont="1" applyAlignment="1">
      <alignment horizontal="center"/>
    </xf>
    <xf numFmtId="3" fontId="2" fillId="3" borderId="0" xfId="0" applyNumberFormat="1" applyFont="1" applyFill="1" applyAlignment="1">
      <alignment horizontal="center"/>
    </xf>
    <xf numFmtId="169" fontId="2" fillId="3" borderId="0" xfId="0" applyNumberFormat="1" applyFont="1" applyFill="1" applyAlignment="1"/>
    <xf numFmtId="169" fontId="1" fillId="3" borderId="3" xfId="0" applyNumberFormat="1" applyFont="1" applyFill="1" applyBorder="1" applyAlignment="1">
      <alignment horizontal="center" vertical="center"/>
    </xf>
    <xf numFmtId="169" fontId="43" fillId="3" borderId="3" xfId="0" applyNumberFormat="1" applyFont="1" applyFill="1" applyBorder="1" applyAlignment="1">
      <alignment horizontal="center" vertical="center"/>
    </xf>
    <xf numFmtId="169" fontId="1" fillId="3" borderId="3" xfId="0" applyNumberFormat="1" applyFont="1" applyFill="1" applyBorder="1" applyAlignment="1">
      <alignment horizontal="center" vertical="center"/>
    </xf>
    <xf numFmtId="0" fontId="2" fillId="3" borderId="0" xfId="0" applyFont="1" applyFill="1" applyAlignment="1">
      <alignment horizontal="center"/>
    </xf>
    <xf numFmtId="0" fontId="2" fillId="3" borderId="0" xfId="0" applyFont="1" applyFill="1" applyAlignment="1"/>
    <xf numFmtId="0" fontId="44" fillId="3" borderId="3" xfId="0" applyFont="1" applyFill="1" applyBorder="1" applyAlignment="1">
      <alignment horizontal="center" vertical="center"/>
    </xf>
    <xf numFmtId="0" fontId="2" fillId="2" borderId="7" xfId="0" applyFont="1" applyFill="1" applyBorder="1" applyAlignment="1"/>
    <xf numFmtId="0" fontId="2" fillId="4" borderId="0" xfId="0" applyFont="1" applyFill="1" applyAlignment="1">
      <alignment horizontal="center"/>
    </xf>
    <xf numFmtId="0" fontId="2" fillId="4" borderId="7" xfId="0" applyFont="1" applyFill="1" applyBorder="1" applyAlignment="1"/>
    <xf numFmtId="0" fontId="2" fillId="0" borderId="0" xfId="0" applyFont="1" applyAlignment="1">
      <alignment horizontal="center"/>
    </xf>
    <xf numFmtId="0" fontId="2" fillId="0" borderId="7" xfId="0" applyFont="1" applyBorder="1" applyAlignment="1"/>
    <xf numFmtId="0" fontId="1" fillId="0" borderId="3" xfId="0" applyFont="1" applyBorder="1" applyAlignment="1">
      <alignment horizontal="center" vertical="center"/>
    </xf>
    <xf numFmtId="0" fontId="45"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2" fillId="3" borderId="7" xfId="0" applyFont="1" applyFill="1" applyBorder="1" applyAlignment="1"/>
    <xf numFmtId="0" fontId="2" fillId="0" borderId="7" xfId="0" applyFont="1" applyBorder="1" applyAlignment="1"/>
    <xf numFmtId="0" fontId="7" fillId="4" borderId="0" xfId="0" applyFont="1" applyFill="1" applyAlignment="1"/>
    <xf numFmtId="0" fontId="46" fillId="4"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3" xfId="0" applyFont="1" applyFill="1" applyBorder="1" applyAlignment="1">
      <alignment horizontal="center" vertical="center"/>
    </xf>
    <xf numFmtId="0" fontId="9" fillId="0" borderId="6" xfId="0" applyFont="1" applyBorder="1" applyAlignment="1"/>
    <xf numFmtId="0" fontId="2" fillId="2" borderId="0" xfId="0" applyFont="1" applyFill="1" applyAlignment="1">
      <alignment horizontal="center"/>
    </xf>
    <xf numFmtId="165" fontId="47" fillId="2" borderId="0" xfId="0" applyNumberFormat="1" applyFont="1" applyFill="1" applyAlignment="1">
      <alignment horizontal="left"/>
    </xf>
    <xf numFmtId="0" fontId="2" fillId="4" borderId="0" xfId="0" applyFont="1" applyFill="1" applyAlignment="1">
      <alignment horizontal="center"/>
    </xf>
    <xf numFmtId="0" fontId="2" fillId="4" borderId="0" xfId="0" applyFont="1" applyFill="1" applyAlignment="1"/>
    <xf numFmtId="0" fontId="9" fillId="0" borderId="0" xfId="0" applyFont="1" applyAlignment="1">
      <alignment horizontal="center"/>
    </xf>
    <xf numFmtId="164" fontId="1" fillId="0" borderId="0" xfId="0" applyNumberFormat="1" applyFont="1" applyAlignment="1">
      <alignment horizontal="center"/>
    </xf>
    <xf numFmtId="0" fontId="1" fillId="5" borderId="0" xfId="0" applyFont="1" applyFill="1" applyAlignment="1">
      <alignment horizontal="center"/>
    </xf>
    <xf numFmtId="0" fontId="1" fillId="5" borderId="0" xfId="0" applyFont="1" applyFill="1" applyAlignment="1">
      <alignment horizontal="left"/>
    </xf>
    <xf numFmtId="0" fontId="1" fillId="5" borderId="3" xfId="0" applyFont="1" applyFill="1" applyBorder="1" applyAlignment="1">
      <alignment horizontal="left"/>
    </xf>
    <xf numFmtId="0" fontId="1" fillId="3" borderId="0" xfId="0" applyFont="1" applyFill="1" applyAlignment="1">
      <alignment horizontal="left"/>
    </xf>
    <xf numFmtId="0" fontId="1" fillId="3" borderId="3" xfId="0" applyFont="1" applyFill="1" applyBorder="1" applyAlignment="1">
      <alignment horizontal="left"/>
    </xf>
    <xf numFmtId="0" fontId="1" fillId="5" borderId="0" xfId="0" applyFont="1" applyFill="1" applyAlignment="1">
      <alignment horizontal="center"/>
    </xf>
    <xf numFmtId="0" fontId="1" fillId="2" borderId="0" xfId="0" applyFont="1" applyFill="1" applyAlignment="1">
      <alignment horizontal="left"/>
    </xf>
    <xf numFmtId="0" fontId="1" fillId="2" borderId="3" xfId="0" applyFont="1" applyFill="1" applyBorder="1" applyAlignment="1">
      <alignment horizontal="left"/>
    </xf>
    <xf numFmtId="0" fontId="1" fillId="9" borderId="0" xfId="0" applyFont="1" applyFill="1" applyAlignment="1">
      <alignment horizontal="center"/>
    </xf>
    <xf numFmtId="0" fontId="1" fillId="9" borderId="0" xfId="0" applyFont="1" applyFill="1" applyAlignment="1">
      <alignment horizontal="left"/>
    </xf>
    <xf numFmtId="0" fontId="1" fillId="9" borderId="3" xfId="0" applyFont="1" applyFill="1" applyBorder="1" applyAlignment="1">
      <alignment horizontal="center" vertical="center"/>
    </xf>
    <xf numFmtId="0" fontId="48" fillId="9" borderId="3" xfId="0" applyFont="1" applyFill="1" applyBorder="1" applyAlignment="1">
      <alignment horizontal="center" vertical="center"/>
    </xf>
    <xf numFmtId="0" fontId="1" fillId="9" borderId="3" xfId="0" applyFont="1" applyFill="1" applyBorder="1" applyAlignment="1">
      <alignment horizontal="left"/>
    </xf>
    <xf numFmtId="0" fontId="1" fillId="9" borderId="3"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3" xfId="0" applyFont="1" applyFill="1" applyBorder="1" applyAlignment="1">
      <alignment horizontal="center" vertical="center"/>
    </xf>
    <xf numFmtId="0" fontId="1" fillId="9" borderId="3" xfId="0" applyFont="1" applyFill="1" applyBorder="1" applyAlignment="1">
      <alignment horizontal="center" vertical="center"/>
    </xf>
    <xf numFmtId="0" fontId="1" fillId="2" borderId="0" xfId="0" applyFont="1" applyFill="1" applyAlignment="1">
      <alignment horizontal="center"/>
    </xf>
    <xf numFmtId="164" fontId="1" fillId="9" borderId="3" xfId="0" applyNumberFormat="1" applyFont="1" applyFill="1" applyBorder="1" applyAlignment="1">
      <alignment horizontal="center" vertical="center"/>
    </xf>
    <xf numFmtId="0" fontId="27" fillId="3" borderId="0" xfId="0" applyFont="1" applyFill="1" applyAlignment="1">
      <alignment horizontal="center"/>
    </xf>
    <xf numFmtId="0" fontId="27" fillId="3" borderId="0" xfId="0" applyFont="1" applyFill="1" applyAlignment="1">
      <alignment horizontal="left"/>
    </xf>
    <xf numFmtId="0" fontId="27" fillId="3" borderId="3" xfId="0" applyFont="1" applyFill="1" applyBorder="1" applyAlignment="1">
      <alignment horizontal="center" vertical="center"/>
    </xf>
    <xf numFmtId="164" fontId="27" fillId="3" borderId="3" xfId="0" applyNumberFormat="1" applyFont="1" applyFill="1" applyBorder="1" applyAlignment="1">
      <alignment horizontal="center" vertical="center"/>
    </xf>
    <xf numFmtId="0" fontId="49" fillId="3" borderId="3" xfId="0" applyFont="1" applyFill="1" applyBorder="1" applyAlignment="1">
      <alignment horizontal="center" vertical="center"/>
    </xf>
    <xf numFmtId="0" fontId="27" fillId="3" borderId="3" xfId="0" applyFont="1" applyFill="1" applyBorder="1" applyAlignment="1">
      <alignment horizontal="left"/>
    </xf>
    <xf numFmtId="0" fontId="27" fillId="3" borderId="3" xfId="0" applyFont="1" applyFill="1" applyBorder="1" applyAlignment="1">
      <alignment horizontal="center" vertical="center"/>
    </xf>
    <xf numFmtId="0" fontId="27" fillId="3" borderId="3" xfId="0" applyFont="1" applyFill="1" applyBorder="1" applyAlignment="1">
      <alignment horizontal="center" vertical="center"/>
    </xf>
    <xf numFmtId="0" fontId="1" fillId="0" borderId="0" xfId="0" applyFont="1" applyAlignment="1">
      <alignment horizontal="left"/>
    </xf>
    <xf numFmtId="0" fontId="1" fillId="0" borderId="3" xfId="0" applyFont="1" applyBorder="1" applyAlignment="1">
      <alignment horizontal="left"/>
    </xf>
    <xf numFmtId="0" fontId="27" fillId="2" borderId="0" xfId="0" applyFont="1" applyFill="1" applyAlignment="1"/>
    <xf numFmtId="0" fontId="1" fillId="0" borderId="1" xfId="0" applyFont="1" applyBorder="1" applyAlignment="1">
      <alignment horizontal="center" vertical="center"/>
    </xf>
    <xf numFmtId="0" fontId="2" fillId="10" borderId="3" xfId="0" applyFont="1" applyFill="1" applyBorder="1" applyAlignment="1">
      <alignment horizontal="left"/>
    </xf>
    <xf numFmtId="0" fontId="2" fillId="10" borderId="3" xfId="0" applyFont="1" applyFill="1" applyBorder="1" applyAlignment="1"/>
    <xf numFmtId="0" fontId="2" fillId="4" borderId="3" xfId="0" applyFont="1" applyFill="1" applyBorder="1" applyAlignment="1"/>
    <xf numFmtId="0" fontId="0" fillId="10" borderId="3" xfId="0" applyFont="1" applyFill="1" applyBorder="1" applyAlignment="1">
      <alignment horizontal="left" vertical="center"/>
    </xf>
    <xf numFmtId="0" fontId="1" fillId="10" borderId="3" xfId="0" applyFont="1" applyFill="1" applyBorder="1" applyAlignment="1">
      <alignment horizontal="left" vertical="center"/>
    </xf>
    <xf numFmtId="0" fontId="1" fillId="10" borderId="3" xfId="0" applyFont="1" applyFill="1" applyBorder="1" applyAlignment="1">
      <alignment horizontal="left" vertical="center"/>
    </xf>
    <xf numFmtId="0" fontId="42" fillId="10" borderId="0" xfId="0" applyFont="1" applyFill="1" applyAlignment="1">
      <alignment horizontal="left"/>
    </xf>
    <xf numFmtId="0" fontId="1" fillId="10" borderId="3" xfId="0" applyFont="1" applyFill="1" applyBorder="1" applyAlignment="1">
      <alignment horizontal="left" vertical="top"/>
    </xf>
    <xf numFmtId="0" fontId="2" fillId="4" borderId="0" xfId="0" applyFont="1" applyFill="1" applyAlignment="1">
      <alignment vertical="top"/>
    </xf>
    <xf numFmtId="0" fontId="1" fillId="10" borderId="3" xfId="0" applyFont="1" applyFill="1" applyBorder="1" applyAlignment="1">
      <alignment horizontal="left" vertical="center"/>
    </xf>
    <xf numFmtId="0" fontId="8" fillId="4" borderId="8" xfId="0" applyFont="1" applyFill="1" applyBorder="1" applyAlignment="1"/>
    <xf numFmtId="0" fontId="8" fillId="4" borderId="8" xfId="0" applyFont="1" applyFill="1" applyBorder="1" applyAlignment="1"/>
    <xf numFmtId="0" fontId="0" fillId="10" borderId="3" xfId="0" applyFont="1" applyFill="1" applyBorder="1" applyAlignment="1">
      <alignment horizontal="center" vertical="center"/>
    </xf>
    <xf numFmtId="0" fontId="8" fillId="4" borderId="0" xfId="0" applyFont="1" applyFill="1" applyAlignment="1"/>
    <xf numFmtId="0" fontId="1" fillId="10" borderId="3" xfId="0" applyFont="1" applyFill="1" applyBorder="1" applyAlignment="1">
      <alignment horizontal="left"/>
    </xf>
    <xf numFmtId="0" fontId="8" fillId="4" borderId="5" xfId="0" applyFont="1" applyFill="1" applyBorder="1" applyAlignment="1"/>
    <xf numFmtId="0" fontId="47" fillId="10" borderId="0" xfId="0" applyFont="1" applyFill="1" applyAlignment="1">
      <alignment horizontal="left"/>
    </xf>
    <xf numFmtId="0" fontId="8" fillId="4" borderId="0" xfId="0" applyFont="1" applyFill="1" applyAlignment="1"/>
    <xf numFmtId="0" fontId="35" fillId="10" borderId="0" xfId="0" applyFont="1" applyFill="1" applyAlignment="1"/>
    <xf numFmtId="0" fontId="8" fillId="4" borderId="9" xfId="0" applyFont="1" applyFill="1" applyBorder="1" applyAlignment="1"/>
    <xf numFmtId="0" fontId="8" fillId="10" borderId="3" xfId="0" applyFont="1" applyFill="1" applyBorder="1" applyAlignment="1"/>
    <xf numFmtId="0" fontId="2" fillId="10" borderId="0" xfId="0" applyFont="1" applyFill="1" applyAlignment="1">
      <alignment horizontal="left"/>
    </xf>
    <xf numFmtId="0" fontId="47" fillId="10" borderId="3" xfId="0" applyFont="1" applyFill="1" applyBorder="1" applyAlignment="1">
      <alignment horizontal="left"/>
    </xf>
    <xf numFmtId="0" fontId="2" fillId="10" borderId="7" xfId="0" applyFont="1" applyFill="1" applyBorder="1" applyAlignment="1"/>
    <xf numFmtId="0" fontId="2" fillId="10" borderId="0" xfId="0" applyFont="1" applyFill="1" applyAlignment="1"/>
    <xf numFmtId="0" fontId="1" fillId="10" borderId="3" xfId="0" applyFont="1" applyFill="1" applyBorder="1" applyAlignment="1">
      <alignment horizontal="center" vertical="center"/>
    </xf>
    <xf numFmtId="0" fontId="9" fillId="10" borderId="0" xfId="0" applyFont="1" applyFill="1" applyAlignment="1">
      <alignment horizontal="center"/>
    </xf>
    <xf numFmtId="0" fontId="1" fillId="10" borderId="0" xfId="0" applyFont="1" applyFill="1" applyAlignment="1"/>
    <xf numFmtId="0" fontId="1" fillId="10" borderId="0" xfId="0" applyFont="1" applyFill="1" applyAlignment="1">
      <alignment horizontal="left"/>
    </xf>
    <xf numFmtId="0" fontId="2" fillId="10" borderId="3" xfId="0" applyFont="1" applyFill="1" applyBorder="1" applyAlignment="1">
      <alignment horizontal="center" wrapText="1"/>
    </xf>
    <xf numFmtId="0" fontId="2" fillId="10" borderId="3" xfId="0" applyFont="1" applyFill="1" applyBorder="1" applyAlignment="1">
      <alignment horizontal="center" vertical="center" wrapText="1"/>
    </xf>
    <xf numFmtId="0" fontId="8" fillId="4" borderId="0" xfId="0" applyFont="1" applyFill="1" applyAlignment="1"/>
    <xf numFmtId="0" fontId="1" fillId="10" borderId="3" xfId="0" applyFont="1" applyFill="1" applyBorder="1" applyAlignment="1">
      <alignment horizontal="center" vertical="center"/>
    </xf>
    <xf numFmtId="0" fontId="1" fillId="10" borderId="3" xfId="0" applyFont="1" applyFill="1" applyBorder="1" applyAlignment="1">
      <alignment horizontal="center" vertical="center"/>
    </xf>
    <xf numFmtId="0" fontId="8" fillId="10" borderId="4" xfId="0" applyFont="1" applyFill="1" applyBorder="1" applyAlignment="1"/>
    <xf numFmtId="0" fontId="9" fillId="10" borderId="0" xfId="0" applyFont="1" applyFill="1" applyAlignment="1">
      <alignment horizontal="left"/>
    </xf>
    <xf numFmtId="0" fontId="40" fillId="10" borderId="3" xfId="0" applyFont="1" applyFill="1" applyBorder="1" applyAlignment="1">
      <alignment horizontal="center"/>
    </xf>
    <xf numFmtId="0" fontId="8" fillId="10" borderId="3" xfId="0" applyFont="1" applyFill="1" applyBorder="1" applyAlignment="1"/>
    <xf numFmtId="0" fontId="1" fillId="10" borderId="0" xfId="0" applyFont="1" applyFill="1"/>
    <xf numFmtId="0" fontId="8" fillId="10" borderId="0" xfId="0" applyFont="1" applyFill="1" applyAlignment="1"/>
    <xf numFmtId="0" fontId="27" fillId="10" borderId="0" xfId="0" applyFont="1" applyFill="1" applyAlignment="1">
      <alignment horizontal="left"/>
    </xf>
  </cellXfs>
  <cellStyles count="1">
    <cellStyle name="Normal" xfId="0" builtinId="0"/>
  </cellStyles>
  <dxfs count="162">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E0F7FA"/>
          <bgColor rgb="FFE0F7FA"/>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EF8E3"/>
          <bgColor rgb="FFFEF8E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s>
  <tableStyles count="54">
    <tableStyle name="Coder 6-style" pivot="0" count="3">
      <tableStyleElement type="headerRow" dxfId="161"/>
      <tableStyleElement type="firstRowStripe" dxfId="160"/>
      <tableStyleElement type="secondRowStripe" dxfId="159"/>
    </tableStyle>
    <tableStyle name="Coder 6-style 2" pivot="0" count="3">
      <tableStyleElement type="headerRow" dxfId="158"/>
      <tableStyleElement type="firstRowStripe" dxfId="157"/>
      <tableStyleElement type="secondRowStripe" dxfId="156"/>
    </tableStyle>
    <tableStyle name="Coder 6-style 3" pivot="0" count="3">
      <tableStyleElement type="headerRow" dxfId="155"/>
      <tableStyleElement type="firstRowStripe" dxfId="154"/>
      <tableStyleElement type="secondRowStripe" dxfId="153"/>
    </tableStyle>
    <tableStyle name="Coder 6-style 4" pivot="0" count="3">
      <tableStyleElement type="headerRow" dxfId="152"/>
      <tableStyleElement type="firstRowStripe" dxfId="151"/>
      <tableStyleElement type="secondRowStripe" dxfId="150"/>
    </tableStyle>
    <tableStyle name="Coder 6-style 5" pivot="0" count="3">
      <tableStyleElement type="headerRow" dxfId="149"/>
      <tableStyleElement type="firstRowStripe" dxfId="148"/>
      <tableStyleElement type="secondRowStripe" dxfId="147"/>
    </tableStyle>
    <tableStyle name="Coder 6-style 6" pivot="0" count="3">
      <tableStyleElement type="headerRow" dxfId="146"/>
      <tableStyleElement type="firstRowStripe" dxfId="145"/>
      <tableStyleElement type="secondRowStripe" dxfId="144"/>
    </tableStyle>
    <tableStyle name="Coder 6-style 7" pivot="0" count="3">
      <tableStyleElement type="headerRow" dxfId="143"/>
      <tableStyleElement type="firstRowStripe" dxfId="142"/>
      <tableStyleElement type="secondRowStripe" dxfId="141"/>
    </tableStyle>
    <tableStyle name="Coder 6-style 8" pivot="0" count="3">
      <tableStyleElement type="headerRow" dxfId="140"/>
      <tableStyleElement type="firstRowStripe" dxfId="139"/>
      <tableStyleElement type="secondRowStripe" dxfId="138"/>
    </tableStyle>
    <tableStyle name="Coder 6-style 9" pivot="0" count="3">
      <tableStyleElement type="headerRow" dxfId="137"/>
      <tableStyleElement type="firstRowStripe" dxfId="136"/>
      <tableStyleElement type="secondRowStripe" dxfId="135"/>
    </tableStyle>
    <tableStyle name="Coder 6-style 10" pivot="0" count="3">
      <tableStyleElement type="headerRow" dxfId="134"/>
      <tableStyleElement type="firstRowStripe" dxfId="133"/>
      <tableStyleElement type="secondRowStripe" dxfId="132"/>
    </tableStyle>
    <tableStyle name="Coder 6-style 11" pivot="0" count="3">
      <tableStyleElement type="headerRow" dxfId="131"/>
      <tableStyleElement type="firstRowStripe" dxfId="130"/>
      <tableStyleElement type="secondRowStripe" dxfId="129"/>
    </tableStyle>
    <tableStyle name="Coder 6-style 12" pivot="0" count="3">
      <tableStyleElement type="headerRow" dxfId="128"/>
      <tableStyleElement type="firstRowStripe" dxfId="127"/>
      <tableStyleElement type="secondRowStripe" dxfId="126"/>
    </tableStyle>
    <tableStyle name="Coder 6-style 13" pivot="0" count="3">
      <tableStyleElement type="headerRow" dxfId="125"/>
      <tableStyleElement type="firstRowStripe" dxfId="124"/>
      <tableStyleElement type="secondRowStripe" dxfId="123"/>
    </tableStyle>
    <tableStyle name="Coder 6-style 14" pivot="0" count="3">
      <tableStyleElement type="headerRow" dxfId="122"/>
      <tableStyleElement type="firstRowStripe" dxfId="121"/>
      <tableStyleElement type="secondRowStripe" dxfId="120"/>
    </tableStyle>
    <tableStyle name="Coder 6-style 15" pivot="0" count="3">
      <tableStyleElement type="headerRow" dxfId="119"/>
      <tableStyleElement type="firstRowStripe" dxfId="118"/>
      <tableStyleElement type="secondRowStripe" dxfId="117"/>
    </tableStyle>
    <tableStyle name="Coder 6-style 16" pivot="0" count="3">
      <tableStyleElement type="headerRow" dxfId="116"/>
      <tableStyleElement type="firstRowStripe" dxfId="115"/>
      <tableStyleElement type="secondRowStripe" dxfId="114"/>
    </tableStyle>
    <tableStyle name="Coder 6-style 17" pivot="0" count="3">
      <tableStyleElement type="headerRow" dxfId="113"/>
      <tableStyleElement type="firstRowStripe" dxfId="112"/>
      <tableStyleElement type="secondRowStripe" dxfId="111"/>
    </tableStyle>
    <tableStyle name="Coder 6-style 18" pivot="0" count="3">
      <tableStyleElement type="headerRow" dxfId="110"/>
      <tableStyleElement type="firstRowStripe" dxfId="109"/>
      <tableStyleElement type="secondRowStripe" dxfId="108"/>
    </tableStyle>
    <tableStyle name="Coder 6-style 19" pivot="0" count="3">
      <tableStyleElement type="headerRow" dxfId="107"/>
      <tableStyleElement type="firstRowStripe" dxfId="106"/>
      <tableStyleElement type="secondRowStripe" dxfId="105"/>
    </tableStyle>
    <tableStyle name="Coder 6-style 20" pivot="0" count="3">
      <tableStyleElement type="headerRow" dxfId="104"/>
      <tableStyleElement type="firstRowStripe" dxfId="103"/>
      <tableStyleElement type="secondRowStripe" dxfId="102"/>
    </tableStyle>
    <tableStyle name="Coder 6-style 21" pivot="0" count="3">
      <tableStyleElement type="headerRow" dxfId="101"/>
      <tableStyleElement type="firstRowStripe" dxfId="100"/>
      <tableStyleElement type="secondRowStripe" dxfId="99"/>
    </tableStyle>
    <tableStyle name="Coder 6-style 22" pivot="0" count="3">
      <tableStyleElement type="headerRow" dxfId="98"/>
      <tableStyleElement type="firstRowStripe" dxfId="97"/>
      <tableStyleElement type="secondRowStripe" dxfId="96"/>
    </tableStyle>
    <tableStyle name="Coder 6-style 23" pivot="0" count="3">
      <tableStyleElement type="headerRow" dxfId="95"/>
      <tableStyleElement type="firstRowStripe" dxfId="94"/>
      <tableStyleElement type="secondRowStripe" dxfId="93"/>
    </tableStyle>
    <tableStyle name="Coder 6-style 24" pivot="0" count="3">
      <tableStyleElement type="headerRow" dxfId="92"/>
      <tableStyleElement type="firstRowStripe" dxfId="91"/>
      <tableStyleElement type="secondRowStripe" dxfId="90"/>
    </tableStyle>
    <tableStyle name="Coder 6-style 25" pivot="0" count="3">
      <tableStyleElement type="headerRow" dxfId="89"/>
      <tableStyleElement type="firstRowStripe" dxfId="88"/>
      <tableStyleElement type="secondRowStripe" dxfId="87"/>
    </tableStyle>
    <tableStyle name="Coder 6-style 26" pivot="0" count="3">
      <tableStyleElement type="headerRow" dxfId="86"/>
      <tableStyleElement type="firstRowStripe" dxfId="85"/>
      <tableStyleElement type="secondRowStripe" dxfId="84"/>
    </tableStyle>
    <tableStyle name="Coder 6-style 27" pivot="0" count="3">
      <tableStyleElement type="headerRow" dxfId="83"/>
      <tableStyleElement type="firstRowStripe" dxfId="82"/>
      <tableStyleElement type="secondRowStripe" dxfId="81"/>
    </tableStyle>
    <tableStyle name="Coder 6-style 28" pivot="0" count="3">
      <tableStyleElement type="headerRow" dxfId="80"/>
      <tableStyleElement type="firstRowStripe" dxfId="79"/>
      <tableStyleElement type="secondRowStripe" dxfId="78"/>
    </tableStyle>
    <tableStyle name="Coder 6-style 29" pivot="0" count="3">
      <tableStyleElement type="headerRow" dxfId="77"/>
      <tableStyleElement type="firstRowStripe" dxfId="76"/>
      <tableStyleElement type="secondRowStripe" dxfId="75"/>
    </tableStyle>
    <tableStyle name="Coder 6-style 30" pivot="0" count="3">
      <tableStyleElement type="headerRow" dxfId="74"/>
      <tableStyleElement type="firstRowStripe" dxfId="73"/>
      <tableStyleElement type="secondRowStripe" dxfId="72"/>
    </tableStyle>
    <tableStyle name="Coder 6-style 31" pivot="0" count="3">
      <tableStyleElement type="headerRow" dxfId="71"/>
      <tableStyleElement type="firstRowStripe" dxfId="70"/>
      <tableStyleElement type="secondRowStripe" dxfId="69"/>
    </tableStyle>
    <tableStyle name="Coder 6-style 32" pivot="0" count="3">
      <tableStyleElement type="headerRow" dxfId="68"/>
      <tableStyleElement type="firstRowStripe" dxfId="67"/>
      <tableStyleElement type="secondRowStripe" dxfId="66"/>
    </tableStyle>
    <tableStyle name="Coder 6-style 33" pivot="0" count="3">
      <tableStyleElement type="headerRow" dxfId="65"/>
      <tableStyleElement type="firstRowStripe" dxfId="64"/>
      <tableStyleElement type="secondRowStripe" dxfId="63"/>
    </tableStyle>
    <tableStyle name="Coder 6-style 34" pivot="0" count="3">
      <tableStyleElement type="headerRow" dxfId="62"/>
      <tableStyleElement type="firstRowStripe" dxfId="61"/>
      <tableStyleElement type="secondRowStripe" dxfId="60"/>
    </tableStyle>
    <tableStyle name="Coder 6-style 35" pivot="0" count="3">
      <tableStyleElement type="headerRow" dxfId="59"/>
      <tableStyleElement type="firstRowStripe" dxfId="58"/>
      <tableStyleElement type="secondRowStripe" dxfId="57"/>
    </tableStyle>
    <tableStyle name="Coder 6-style 36" pivot="0" count="3">
      <tableStyleElement type="headerRow" dxfId="56"/>
      <tableStyleElement type="firstRowStripe" dxfId="55"/>
      <tableStyleElement type="secondRowStripe" dxfId="54"/>
    </tableStyle>
    <tableStyle name="Coder 6-style 37" pivot="0" count="3">
      <tableStyleElement type="headerRow" dxfId="53"/>
      <tableStyleElement type="firstRowStripe" dxfId="52"/>
      <tableStyleElement type="secondRowStripe" dxfId="51"/>
    </tableStyle>
    <tableStyle name="Coder 6-style 38" pivot="0" count="3">
      <tableStyleElement type="headerRow" dxfId="50"/>
      <tableStyleElement type="firstRowStripe" dxfId="49"/>
      <tableStyleElement type="secondRowStripe" dxfId="48"/>
    </tableStyle>
    <tableStyle name="Coder 6-style 39" pivot="0" count="3">
      <tableStyleElement type="headerRow" dxfId="47"/>
      <tableStyleElement type="firstRowStripe" dxfId="46"/>
      <tableStyleElement type="secondRowStripe" dxfId="45"/>
    </tableStyle>
    <tableStyle name="Coder 6-style 40" pivot="0" count="3">
      <tableStyleElement type="headerRow" dxfId="44"/>
      <tableStyleElement type="firstRowStripe" dxfId="43"/>
      <tableStyleElement type="secondRowStripe" dxfId="42"/>
    </tableStyle>
    <tableStyle name="Coder 6-style 41" pivot="0" count="3">
      <tableStyleElement type="headerRow" dxfId="41"/>
      <tableStyleElement type="firstRowStripe" dxfId="40"/>
      <tableStyleElement type="secondRowStripe" dxfId="39"/>
    </tableStyle>
    <tableStyle name="Coder 6-style 42" pivot="0" count="3">
      <tableStyleElement type="headerRow" dxfId="38"/>
      <tableStyleElement type="firstRowStripe" dxfId="37"/>
      <tableStyleElement type="secondRowStripe" dxfId="36"/>
    </tableStyle>
    <tableStyle name="Coder 6-style 43" pivot="0" count="3">
      <tableStyleElement type="headerRow" dxfId="35"/>
      <tableStyleElement type="firstRowStripe" dxfId="34"/>
      <tableStyleElement type="secondRowStripe" dxfId="33"/>
    </tableStyle>
    <tableStyle name="Coder 6-style 44" pivot="0" count="3">
      <tableStyleElement type="headerRow" dxfId="32"/>
      <tableStyleElement type="firstRowStripe" dxfId="31"/>
      <tableStyleElement type="secondRowStripe" dxfId="30"/>
    </tableStyle>
    <tableStyle name="Coder 6-style 45" pivot="0" count="3">
      <tableStyleElement type="headerRow" dxfId="29"/>
      <tableStyleElement type="firstRowStripe" dxfId="28"/>
      <tableStyleElement type="secondRowStripe" dxfId="27"/>
    </tableStyle>
    <tableStyle name="Coder 6-style 46" pivot="0" count="3">
      <tableStyleElement type="headerRow" dxfId="26"/>
      <tableStyleElement type="firstRowStripe" dxfId="25"/>
      <tableStyleElement type="secondRowStripe" dxfId="24"/>
    </tableStyle>
    <tableStyle name="Coder 6-style 47" pivot="0" count="3">
      <tableStyleElement type="headerRow" dxfId="23"/>
      <tableStyleElement type="firstRowStripe" dxfId="22"/>
      <tableStyleElement type="secondRowStripe" dxfId="21"/>
    </tableStyle>
    <tableStyle name="Coder 6-style 48" pivot="0" count="3">
      <tableStyleElement type="headerRow" dxfId="20"/>
      <tableStyleElement type="firstRowStripe" dxfId="19"/>
      <tableStyleElement type="secondRowStripe" dxfId="18"/>
    </tableStyle>
    <tableStyle name="Coder 6-style 49" pivot="0" count="3">
      <tableStyleElement type="headerRow" dxfId="17"/>
      <tableStyleElement type="firstRowStripe" dxfId="16"/>
      <tableStyleElement type="secondRowStripe" dxfId="15"/>
    </tableStyle>
    <tableStyle name="Coder 6-style 50" pivot="0" count="3">
      <tableStyleElement type="headerRow" dxfId="14"/>
      <tableStyleElement type="firstRowStripe" dxfId="13"/>
      <tableStyleElement type="secondRowStripe" dxfId="12"/>
    </tableStyle>
    <tableStyle name="Coder 6-style 51" pivot="0" count="3">
      <tableStyleElement type="headerRow" dxfId="11"/>
      <tableStyleElement type="firstRowStripe" dxfId="10"/>
      <tableStyleElement type="secondRowStripe" dxfId="9"/>
    </tableStyle>
    <tableStyle name="Coder 6-style 52" pivot="0" count="3">
      <tableStyleElement type="headerRow" dxfId="8"/>
      <tableStyleElement type="firstRowStripe" dxfId="7"/>
      <tableStyleElement type="secondRowStripe" dxfId="6"/>
    </tableStyle>
    <tableStyle name="Coder 6-style 53" pivot="0" count="3">
      <tableStyleElement type="headerRow" dxfId="5"/>
      <tableStyleElement type="firstRowStripe" dxfId="4"/>
      <tableStyleElement type="secondRowStripe" dxfId="3"/>
    </tableStyle>
    <tableStyle name="Coder 6-style 54"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61:Y6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id="10" name="Table_10" displayName="Table_10" ref="A52:Y5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0"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id="11" name="Table_11" displayName="Table_11" ref="A101:B102" headerRowCount="0">
  <tableColumns count="2">
    <tableColumn id="1" name="Column1"/>
    <tableColumn id="2" name="Column2"/>
  </tableColumns>
  <tableStyleInfo name="Coder 6-style 11" showFirstColumn="1" showLastColumn="1" showRowStripes="1" showColumnStripes="0"/>
  <extLst>
    <ext uri="GoogleSheetsCustomDataVersion1">
      <go:sheetsCustomData xmlns:go="http://customooxmlschemas.google.com/" headerRowCount="1"/>
    </ext>
  </extLst>
</table>
</file>

<file path=xl/tables/table12.xml><?xml version="1.0" encoding="utf-8"?>
<table xmlns="http://schemas.openxmlformats.org/spreadsheetml/2006/main" id="12" name="Table_12" displayName="Table_12" ref="A100:Y100"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2" showFirstColumn="1" showLastColumn="1" showRowStripes="1" showColumnStripes="0"/>
  <extLst>
    <ext uri="GoogleSheetsCustomDataVersion1">
      <go:sheetsCustomData xmlns:go="http://customooxmlschemas.google.com/" headerRowCount="1"/>
    </ext>
  </extLst>
</table>
</file>

<file path=xl/tables/table13.xml><?xml version="1.0" encoding="utf-8"?>
<table xmlns="http://schemas.openxmlformats.org/spreadsheetml/2006/main" id="13" name="Table_13" displayName="Table_13" ref="A118:Y11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3" showFirstColumn="1" showLastColumn="1" showRowStripes="1" showColumnStripes="0"/>
  <extLst>
    <ext uri="GoogleSheetsCustomDataVersion1">
      <go:sheetsCustomData xmlns:go="http://customooxmlschemas.google.com/" headerRowCount="1"/>
    </ext>
  </extLst>
</table>
</file>

<file path=xl/tables/table14.xml><?xml version="1.0" encoding="utf-8"?>
<table xmlns="http://schemas.openxmlformats.org/spreadsheetml/2006/main" id="14" name="Table_14" displayName="Table_14" ref="A113:Y11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4" showFirstColumn="1" showLastColumn="1" showRowStripes="1" showColumnStripes="0"/>
  <extLst>
    <ext uri="GoogleSheetsCustomDataVersion1">
      <go:sheetsCustomData xmlns:go="http://customooxmlschemas.google.com/" headerRowCount="1"/>
    </ext>
  </extLst>
</table>
</file>

<file path=xl/tables/table15.xml><?xml version="1.0" encoding="utf-8"?>
<table xmlns="http://schemas.openxmlformats.org/spreadsheetml/2006/main" id="15" name="Table_15" displayName="Table_15" ref="A1:Y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5" showFirstColumn="1" showLastColumn="1" showRowStripes="1" showColumnStripes="0"/>
  <extLst>
    <ext uri="GoogleSheetsCustomDataVersion1">
      <go:sheetsCustomData xmlns:go="http://customooxmlschemas.google.com/" headerRowCount="1"/>
    </ext>
  </extLst>
</table>
</file>

<file path=xl/tables/table16.xml><?xml version="1.0" encoding="utf-8"?>
<table xmlns="http://schemas.openxmlformats.org/spreadsheetml/2006/main" id="16" name="Table_16" displayName="Table_16" ref="A143:Y14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6" showFirstColumn="1" showLastColumn="1" showRowStripes="1" showColumnStripes="0"/>
  <extLst>
    <ext uri="GoogleSheetsCustomDataVersion1">
      <go:sheetsCustomData xmlns:go="http://customooxmlschemas.google.com/" headerRowCount="1"/>
    </ext>
  </extLst>
</table>
</file>

<file path=xl/tables/table17.xml><?xml version="1.0" encoding="utf-8"?>
<table xmlns="http://schemas.openxmlformats.org/spreadsheetml/2006/main" id="17" name="Table_17" displayName="Table_17" ref="A190:Y190"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7" showFirstColumn="1" showLastColumn="1" showRowStripes="1" showColumnStripes="0"/>
  <extLst>
    <ext uri="GoogleSheetsCustomDataVersion1">
      <go:sheetsCustomData xmlns:go="http://customooxmlschemas.google.com/" headerRowCount="1"/>
    </ext>
  </extLst>
</table>
</file>

<file path=xl/tables/table18.xml><?xml version="1.0" encoding="utf-8"?>
<table xmlns="http://schemas.openxmlformats.org/spreadsheetml/2006/main" id="18" name="Table_18" displayName="Table_18" ref="A185:Y185"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8" showFirstColumn="1" showLastColumn="1" showRowStripes="1" showColumnStripes="0"/>
  <extLst>
    <ext uri="GoogleSheetsCustomDataVersion1">
      <go:sheetsCustomData xmlns:go="http://customooxmlschemas.google.com/" headerRowCount="1"/>
    </ext>
  </extLst>
</table>
</file>

<file path=xl/tables/table19.xml><?xml version="1.0" encoding="utf-8"?>
<table xmlns="http://schemas.openxmlformats.org/spreadsheetml/2006/main" id="19" name="Table_19" displayName="Table_19" ref="A189:Y189"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19"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A57:Y57"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 showFirstColumn="1" showLastColumn="1" showRowStripes="1" showColumnStripes="0"/>
  <extLst>
    <ext uri="GoogleSheetsCustomDataVersion1">
      <go:sheetsCustomData xmlns:go="http://customooxmlschemas.google.com/" headerRowCount="1"/>
    </ext>
  </extLst>
</table>
</file>

<file path=xl/tables/table20.xml><?xml version="1.0" encoding="utf-8"?>
<table xmlns="http://schemas.openxmlformats.org/spreadsheetml/2006/main" id="20" name="Table_20" displayName="Table_20" ref="A157:Y157"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0" showFirstColumn="1" showLastColumn="1" showRowStripes="1" showColumnStripes="0"/>
  <extLst>
    <ext uri="GoogleSheetsCustomDataVersion1">
      <go:sheetsCustomData xmlns:go="http://customooxmlschemas.google.com/" headerRowCount="1"/>
    </ext>
  </extLst>
</table>
</file>

<file path=xl/tables/table21.xml><?xml version="1.0" encoding="utf-8"?>
<table xmlns="http://schemas.openxmlformats.org/spreadsheetml/2006/main" id="21" name="Table_21" displayName="Table_21" ref="A67:Y67"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1" showFirstColumn="1" showLastColumn="1" showRowStripes="1" showColumnStripes="0"/>
  <extLst>
    <ext uri="GoogleSheetsCustomDataVersion1">
      <go:sheetsCustomData xmlns:go="http://customooxmlschemas.google.com/" headerRowCount="1"/>
    </ext>
  </extLst>
</table>
</file>

<file path=xl/tables/table22.xml><?xml version="1.0" encoding="utf-8"?>
<table xmlns="http://schemas.openxmlformats.org/spreadsheetml/2006/main" id="22" name="Table_22" displayName="Table_22" ref="A80:Y80"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2" showFirstColumn="1" showLastColumn="1" showRowStripes="1" showColumnStripes="0"/>
  <extLst>
    <ext uri="GoogleSheetsCustomDataVersion1">
      <go:sheetsCustomData xmlns:go="http://customooxmlschemas.google.com/" headerRowCount="1"/>
    </ext>
  </extLst>
</table>
</file>

<file path=xl/tables/table23.xml><?xml version="1.0" encoding="utf-8"?>
<table xmlns="http://schemas.openxmlformats.org/spreadsheetml/2006/main" id="23" name="Table_23" displayName="Table_23" ref="A90:Y90"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3" showFirstColumn="1" showLastColumn="1" showRowStripes="1" showColumnStripes="0"/>
  <extLst>
    <ext uri="GoogleSheetsCustomDataVersion1">
      <go:sheetsCustomData xmlns:go="http://customooxmlschemas.google.com/" headerRowCount="1"/>
    </ext>
  </extLst>
</table>
</file>

<file path=xl/tables/table24.xml><?xml version="1.0" encoding="utf-8"?>
<table xmlns="http://schemas.openxmlformats.org/spreadsheetml/2006/main" id="24" name="Table_24" displayName="Table_24" ref="A88:Y8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4" showFirstColumn="1" showLastColumn="1" showRowStripes="1" showColumnStripes="0"/>
  <extLst>
    <ext uri="GoogleSheetsCustomDataVersion1">
      <go:sheetsCustomData xmlns:go="http://customooxmlschemas.google.com/" headerRowCount="1"/>
    </ext>
  </extLst>
</table>
</file>

<file path=xl/tables/table25.xml><?xml version="1.0" encoding="utf-8"?>
<table xmlns="http://schemas.openxmlformats.org/spreadsheetml/2006/main" id="25" name="Table_25" displayName="Table_25" ref="A99:Y99"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5" showFirstColumn="1" showLastColumn="1" showRowStripes="1" showColumnStripes="0"/>
  <extLst>
    <ext uri="GoogleSheetsCustomDataVersion1">
      <go:sheetsCustomData xmlns:go="http://customooxmlschemas.google.com/" headerRowCount="1"/>
    </ext>
  </extLst>
</table>
</file>

<file path=xl/tables/table26.xml><?xml version="1.0" encoding="utf-8"?>
<table xmlns="http://schemas.openxmlformats.org/spreadsheetml/2006/main" id="26" name="Table_26" displayName="Table_26" ref="A172:Y17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6" showFirstColumn="1" showLastColumn="1" showRowStripes="1" showColumnStripes="0"/>
  <extLst>
    <ext uri="GoogleSheetsCustomDataVersion1">
      <go:sheetsCustomData xmlns:go="http://customooxmlschemas.google.com/" headerRowCount="1"/>
    </ext>
  </extLst>
</table>
</file>

<file path=xl/tables/table27.xml><?xml version="1.0" encoding="utf-8"?>
<table xmlns="http://schemas.openxmlformats.org/spreadsheetml/2006/main" id="27" name="Table_27" displayName="Table_27" ref="A27:Y27"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7" showFirstColumn="1" showLastColumn="1" showRowStripes="1" showColumnStripes="0"/>
  <extLst>
    <ext uri="GoogleSheetsCustomDataVersion1">
      <go:sheetsCustomData xmlns:go="http://customooxmlschemas.google.com/" headerRowCount="1"/>
    </ext>
  </extLst>
</table>
</file>

<file path=xl/tables/table28.xml><?xml version="1.0" encoding="utf-8"?>
<table xmlns="http://schemas.openxmlformats.org/spreadsheetml/2006/main" id="28" name="Table_28" displayName="Table_28" ref="A23:Y2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8" showFirstColumn="1" showLastColumn="1" showRowStripes="1" showColumnStripes="0"/>
  <extLst>
    <ext uri="GoogleSheetsCustomDataVersion1">
      <go:sheetsCustomData xmlns:go="http://customooxmlschemas.google.com/" headerRowCount="1"/>
    </ext>
  </extLst>
</table>
</file>

<file path=xl/tables/table29.xml><?xml version="1.0" encoding="utf-8"?>
<table xmlns="http://schemas.openxmlformats.org/spreadsheetml/2006/main" id="29" name="Table_29" displayName="Table_29" ref="A136:Y136"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29"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A146:Y146"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 showFirstColumn="1" showLastColumn="1" showRowStripes="1" showColumnStripes="0"/>
  <extLst>
    <ext uri="GoogleSheetsCustomDataVersion1">
      <go:sheetsCustomData xmlns:go="http://customooxmlschemas.google.com/" headerRowCount="1"/>
    </ext>
  </extLst>
</table>
</file>

<file path=xl/tables/table30.xml><?xml version="1.0" encoding="utf-8"?>
<table xmlns="http://schemas.openxmlformats.org/spreadsheetml/2006/main" id="30" name="Table_30" displayName="Table_30" ref="A210:Y210"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0" showFirstColumn="1" showLastColumn="1" showRowStripes="1" showColumnStripes="0"/>
  <extLst>
    <ext uri="GoogleSheetsCustomDataVersion1">
      <go:sheetsCustomData xmlns:go="http://customooxmlschemas.google.com/" headerRowCount="1"/>
    </ext>
  </extLst>
</table>
</file>

<file path=xl/tables/table31.xml><?xml version="1.0" encoding="utf-8"?>
<table xmlns="http://schemas.openxmlformats.org/spreadsheetml/2006/main" id="31" name="Table_31" displayName="Table_31" ref="A212:Y21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1" showFirstColumn="1" showLastColumn="1" showRowStripes="1" showColumnStripes="0"/>
  <extLst>
    <ext uri="GoogleSheetsCustomDataVersion1">
      <go:sheetsCustomData xmlns:go="http://customooxmlschemas.google.com/" headerRowCount="1"/>
    </ext>
  </extLst>
</table>
</file>

<file path=xl/tables/table32.xml><?xml version="1.0" encoding="utf-8"?>
<table xmlns="http://schemas.openxmlformats.org/spreadsheetml/2006/main" id="32" name="Table_32" displayName="Table_32" ref="A218:Y21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2" showFirstColumn="1" showLastColumn="1" showRowStripes="1" showColumnStripes="0"/>
  <extLst>
    <ext uri="GoogleSheetsCustomDataVersion1">
      <go:sheetsCustomData xmlns:go="http://customooxmlschemas.google.com/" headerRowCount="1"/>
    </ext>
  </extLst>
</table>
</file>

<file path=xl/tables/table33.xml><?xml version="1.0" encoding="utf-8"?>
<table xmlns="http://schemas.openxmlformats.org/spreadsheetml/2006/main" id="33" name="Table_33" displayName="Table_33" ref="A221:Y22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3" showFirstColumn="1" showLastColumn="1" showRowStripes="1" showColumnStripes="0"/>
  <extLst>
    <ext uri="GoogleSheetsCustomDataVersion1">
      <go:sheetsCustomData xmlns:go="http://customooxmlschemas.google.com/" headerRowCount="1"/>
    </ext>
  </extLst>
</table>
</file>

<file path=xl/tables/table34.xml><?xml version="1.0" encoding="utf-8"?>
<table xmlns="http://schemas.openxmlformats.org/spreadsheetml/2006/main" id="34" name="Table_34" displayName="Table_34" ref="A188:Y18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4" showFirstColumn="1" showLastColumn="1" showRowStripes="1" showColumnStripes="0"/>
  <extLst>
    <ext uri="GoogleSheetsCustomDataVersion1">
      <go:sheetsCustomData xmlns:go="http://customooxmlschemas.google.com/" headerRowCount="1"/>
    </ext>
  </extLst>
</table>
</file>

<file path=xl/tables/table35.xml><?xml version="1.0" encoding="utf-8"?>
<table xmlns="http://schemas.openxmlformats.org/spreadsheetml/2006/main" id="35" name="Table_35" displayName="Table_35" ref="A204:Y204"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5" showFirstColumn="1" showLastColumn="1" showRowStripes="1" showColumnStripes="0"/>
  <extLst>
    <ext uri="GoogleSheetsCustomDataVersion1">
      <go:sheetsCustomData xmlns:go="http://customooxmlschemas.google.com/" headerRowCount="1"/>
    </ext>
  </extLst>
</table>
</file>

<file path=xl/tables/table36.xml><?xml version="1.0" encoding="utf-8"?>
<table xmlns="http://schemas.openxmlformats.org/spreadsheetml/2006/main" id="36" name="Table_36" displayName="Table_36" ref="A203:Y20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6" showFirstColumn="1" showLastColumn="1" showRowStripes="1" showColumnStripes="0"/>
  <extLst>
    <ext uri="GoogleSheetsCustomDataVersion1">
      <go:sheetsCustomData xmlns:go="http://customooxmlschemas.google.com/" headerRowCount="1"/>
    </ext>
  </extLst>
</table>
</file>

<file path=xl/tables/table37.xml><?xml version="1.0" encoding="utf-8"?>
<table xmlns="http://schemas.openxmlformats.org/spreadsheetml/2006/main" id="37" name="Table_37" displayName="Table_37" ref="A72:Y7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7" showFirstColumn="1" showLastColumn="1" showRowStripes="1" showColumnStripes="0"/>
  <extLst>
    <ext uri="GoogleSheetsCustomDataVersion1">
      <go:sheetsCustomData xmlns:go="http://customooxmlschemas.google.com/" headerRowCount="1"/>
    </ext>
  </extLst>
</table>
</file>

<file path=xl/tables/table38.xml><?xml version="1.0" encoding="utf-8"?>
<table xmlns="http://schemas.openxmlformats.org/spreadsheetml/2006/main" id="38" name="Table_38" displayName="Table_38" ref="A166:Y166"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8" showFirstColumn="1" showLastColumn="1" showRowStripes="1" showColumnStripes="0"/>
  <extLst>
    <ext uri="GoogleSheetsCustomDataVersion1">
      <go:sheetsCustomData xmlns:go="http://customooxmlschemas.google.com/" headerRowCount="1"/>
    </ext>
  </extLst>
</table>
</file>

<file path=xl/tables/table39.xml><?xml version="1.0" encoding="utf-8"?>
<table xmlns="http://schemas.openxmlformats.org/spreadsheetml/2006/main" id="39" name="Table_39" displayName="Table_39" ref="A213:Y21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39"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A152:Y15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 showFirstColumn="1" showLastColumn="1" showRowStripes="1" showColumnStripes="0"/>
  <extLst>
    <ext uri="GoogleSheetsCustomDataVersion1">
      <go:sheetsCustomData xmlns:go="http://customooxmlschemas.google.com/" headerRowCount="1"/>
    </ext>
  </extLst>
</table>
</file>

<file path=xl/tables/table40.xml><?xml version="1.0" encoding="utf-8"?>
<table xmlns="http://schemas.openxmlformats.org/spreadsheetml/2006/main" id="40" name="Table_40" displayName="Table_40" ref="A199:B199" headerRowCount="0">
  <tableColumns count="2">
    <tableColumn id="1" name="Column1"/>
    <tableColumn id="2" name="Column2"/>
  </tableColumns>
  <tableStyleInfo name="Coder 6-style 40" showFirstColumn="1" showLastColumn="1" showRowStripes="1" showColumnStripes="0"/>
  <extLst>
    <ext uri="GoogleSheetsCustomDataVersion1">
      <go:sheetsCustomData xmlns:go="http://customooxmlschemas.google.com/" headerRowCount="1"/>
    </ext>
  </extLst>
</table>
</file>

<file path=xl/tables/table41.xml><?xml version="1.0" encoding="utf-8"?>
<table xmlns="http://schemas.openxmlformats.org/spreadsheetml/2006/main" id="41" name="Table_41" displayName="Table_41" ref="C199:Y199"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Coder 6-style 41" showFirstColumn="1" showLastColumn="1" showRowStripes="1" showColumnStripes="0"/>
  <extLst>
    <ext uri="GoogleSheetsCustomDataVersion1">
      <go:sheetsCustomData xmlns:go="http://customooxmlschemas.google.com/" headerRowCount="1"/>
    </ext>
  </extLst>
</table>
</file>

<file path=xl/tables/table42.xml><?xml version="1.0" encoding="utf-8"?>
<table xmlns="http://schemas.openxmlformats.org/spreadsheetml/2006/main" id="42" name="Table_42" displayName="Table_42" ref="A128:Y12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2" showFirstColumn="1" showLastColumn="1" showRowStripes="1" showColumnStripes="0"/>
  <extLst>
    <ext uri="GoogleSheetsCustomDataVersion1">
      <go:sheetsCustomData xmlns:go="http://customooxmlschemas.google.com/" headerRowCount="1"/>
    </ext>
  </extLst>
</table>
</file>

<file path=xl/tables/table43.xml><?xml version="1.0" encoding="utf-8"?>
<table xmlns="http://schemas.openxmlformats.org/spreadsheetml/2006/main" id="43" name="Table_43" displayName="Table_43" ref="A103:Y10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3" showFirstColumn="1" showLastColumn="1" showRowStripes="1" showColumnStripes="0"/>
  <extLst>
    <ext uri="GoogleSheetsCustomDataVersion1">
      <go:sheetsCustomData xmlns:go="http://customooxmlschemas.google.com/" headerRowCount="1"/>
    </ext>
  </extLst>
</table>
</file>

<file path=xl/tables/table44.xml><?xml version="1.0" encoding="utf-8"?>
<table xmlns="http://schemas.openxmlformats.org/spreadsheetml/2006/main" id="44" name="Table_44" displayName="Table_44" ref="A119:Y119"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4" showFirstColumn="1" showLastColumn="1" showRowStripes="1" showColumnStripes="0"/>
  <extLst>
    <ext uri="GoogleSheetsCustomDataVersion1">
      <go:sheetsCustomData xmlns:go="http://customooxmlschemas.google.com/" headerRowCount="1"/>
    </ext>
  </extLst>
</table>
</file>

<file path=xl/tables/table45.xml><?xml version="1.0" encoding="utf-8"?>
<table xmlns="http://schemas.openxmlformats.org/spreadsheetml/2006/main" id="45" name="Table_45" displayName="Table_45" ref="C102:Y102"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Coder 6-style 45" showFirstColumn="1" showLastColumn="1" showRowStripes="1" showColumnStripes="0"/>
  <extLst>
    <ext uri="GoogleSheetsCustomDataVersion1">
      <go:sheetsCustomData xmlns:go="http://customooxmlschemas.google.com/" headerRowCount="1"/>
    </ext>
  </extLst>
</table>
</file>

<file path=xl/tables/table46.xml><?xml version="1.0" encoding="utf-8"?>
<table xmlns="http://schemas.openxmlformats.org/spreadsheetml/2006/main" id="46" name="Table_46" displayName="Table_46" ref="A92:Y92"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6" showFirstColumn="1" showLastColumn="1" showRowStripes="1" showColumnStripes="0"/>
  <extLst>
    <ext uri="GoogleSheetsCustomDataVersion1">
      <go:sheetsCustomData xmlns:go="http://customooxmlschemas.google.com/" headerRowCount="1"/>
    </ext>
  </extLst>
</table>
</file>

<file path=xl/tables/table47.xml><?xml version="1.0" encoding="utf-8"?>
<table xmlns="http://schemas.openxmlformats.org/spreadsheetml/2006/main" id="47" name="Table_47" displayName="Table_47" ref="A105:Y105"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7" showFirstColumn="1" showLastColumn="1" showRowStripes="1" showColumnStripes="0"/>
  <extLst>
    <ext uri="GoogleSheetsCustomDataVersion1">
      <go:sheetsCustomData xmlns:go="http://customooxmlschemas.google.com/" headerRowCount="1"/>
    </ext>
  </extLst>
</table>
</file>

<file path=xl/tables/table48.xml><?xml version="1.0" encoding="utf-8"?>
<table xmlns="http://schemas.openxmlformats.org/spreadsheetml/2006/main" id="48" name="Table_48" displayName="Table_48" ref="A93:Y9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48" showFirstColumn="1" showLastColumn="1" showRowStripes="1" showColumnStripes="0"/>
  <extLst>
    <ext uri="GoogleSheetsCustomDataVersion1">
      <go:sheetsCustomData xmlns:go="http://customooxmlschemas.google.com/" headerRowCount="1"/>
    </ext>
  </extLst>
</table>
</file>

<file path=xl/tables/table49.xml><?xml version="1.0" encoding="utf-8"?>
<table xmlns="http://schemas.openxmlformats.org/spreadsheetml/2006/main" id="49" name="Table_49" displayName="Table_49" ref="C101:Y101"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Coder 6-style 49"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A171:Y17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5" showFirstColumn="1" showLastColumn="1" showRowStripes="1" showColumnStripes="0"/>
  <extLst>
    <ext uri="GoogleSheetsCustomDataVersion1">
      <go:sheetsCustomData xmlns:go="http://customooxmlschemas.google.com/" headerRowCount="1"/>
    </ext>
  </extLst>
</table>
</file>

<file path=xl/tables/table50.xml><?xml version="1.0" encoding="utf-8"?>
<table xmlns="http://schemas.openxmlformats.org/spreadsheetml/2006/main" id="50" name="Table_50" displayName="Table_50" ref="A109:Y109"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50" showFirstColumn="1" showLastColumn="1" showRowStripes="1" showColumnStripes="0"/>
  <extLst>
    <ext uri="GoogleSheetsCustomDataVersion1">
      <go:sheetsCustomData xmlns:go="http://customooxmlschemas.google.com/" headerRowCount="1"/>
    </ext>
  </extLst>
</table>
</file>

<file path=xl/tables/table51.xml><?xml version="1.0" encoding="utf-8"?>
<table xmlns="http://schemas.openxmlformats.org/spreadsheetml/2006/main" id="51" name="Table_51" displayName="Table_51" ref="A104:X104" headerRowCount="0">
  <tableColumns count="2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s>
  <tableStyleInfo name="Coder 6-style 51" showFirstColumn="1" showLastColumn="1" showRowStripes="1" showColumnStripes="0"/>
  <extLst>
    <ext uri="GoogleSheetsCustomDataVersion1">
      <go:sheetsCustomData xmlns:go="http://customooxmlschemas.google.com/" headerRowCount="1"/>
    </ext>
  </extLst>
</table>
</file>

<file path=xl/tables/table52.xml><?xml version="1.0" encoding="utf-8"?>
<table xmlns="http://schemas.openxmlformats.org/spreadsheetml/2006/main" id="52" name="Table_52" displayName="Table_52" ref="A163:Y163"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52" showFirstColumn="1" showLastColumn="1" showRowStripes="1" showColumnStripes="0"/>
  <extLst>
    <ext uri="GoogleSheetsCustomDataVersion1">
      <go:sheetsCustomData xmlns:go="http://customooxmlschemas.google.com/" headerRowCount="1"/>
    </ext>
  </extLst>
</table>
</file>

<file path=xl/tables/table53.xml><?xml version="1.0" encoding="utf-8"?>
<table xmlns="http://schemas.openxmlformats.org/spreadsheetml/2006/main" id="53" name="Table_53" displayName="Table_53" ref="A94:Y94"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53" showFirstColumn="1" showLastColumn="1" showRowStripes="1" showColumnStripes="0"/>
  <extLst>
    <ext uri="GoogleSheetsCustomDataVersion1">
      <go:sheetsCustomData xmlns:go="http://customooxmlschemas.google.com/" headerRowCount="1"/>
    </ext>
  </extLst>
</table>
</file>

<file path=xl/tables/table54.xml><?xml version="1.0" encoding="utf-8"?>
<table xmlns="http://schemas.openxmlformats.org/spreadsheetml/2006/main" id="54" name="Table_54" displayName="Table_54" ref="A141:Y14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54"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A159:Y159"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7" name="Table_7" displayName="Table_7" ref="A165:Y165"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8" name="Table_8" displayName="Table_8" ref="A161:Y161"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9" name="Table_9" displayName="Table_9" ref="A158:Y158" headerRowCount="0">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name="Coder 6-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eattlechildren.org/" TargetMode="External"/><Relationship Id="rId1" Type="http://schemas.openxmlformats.org/officeDocument/2006/relationships/hyperlink" Target="https://tirto.id/jbtf-akses-bagi-penyandang-disabilitas-di-pemilu-belum-memadai-dmt8"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hyperlink" Target="https://nasional.republika.co.id/berita/q17b8w335/ulama-minta-pelaku-pelempar-sperma-disembuhkan" TargetMode="External"/><Relationship Id="rId2" Type="http://schemas.openxmlformats.org/officeDocument/2006/relationships/hyperlink" Target="https://tirto.id/link-live-streaming-my-only-one-episode-75-76-trans-tv-29-agustus-ehcK" TargetMode="External"/><Relationship Id="rId1" Type="http://schemas.openxmlformats.org/officeDocument/2006/relationships/hyperlink" Target="https://www.liputan6.com/showbiz/read/3967404/putri-indonesia-lingkungan-2019-rayakan-ultah-bersama-penyandang-disabilita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senggang.republika.co.id/berita/q1f0i7335/drama-musikal-jypa-beri-dukungan-untuk-korban-kdrt"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genderspectrum.org/" TargetMode="External"/></Relationships>
</file>

<file path=xl/worksheets/_rels/sheet6.xml.rels><?xml version="1.0" encoding="UTF-8" standalone="yes"?>
<Relationships xmlns="http://schemas.openxmlformats.org/package/2006/relationships"><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9" Type="http://schemas.openxmlformats.org/officeDocument/2006/relationships/table" Target="../tables/table37.xml"/><Relationship Id="rId21" Type="http://schemas.openxmlformats.org/officeDocument/2006/relationships/table" Target="../tables/table19.xml"/><Relationship Id="rId34" Type="http://schemas.openxmlformats.org/officeDocument/2006/relationships/table" Target="../tables/table32.xml"/><Relationship Id="rId42" Type="http://schemas.openxmlformats.org/officeDocument/2006/relationships/table" Target="../tables/table40.xml"/><Relationship Id="rId47" Type="http://schemas.openxmlformats.org/officeDocument/2006/relationships/table" Target="../tables/table45.xml"/><Relationship Id="rId50" Type="http://schemas.openxmlformats.org/officeDocument/2006/relationships/table" Target="../tables/table48.xml"/><Relationship Id="rId55" Type="http://schemas.openxmlformats.org/officeDocument/2006/relationships/table" Target="../tables/table53.xml"/><Relationship Id="rId7" Type="http://schemas.openxmlformats.org/officeDocument/2006/relationships/table" Target="../tables/table5.xml"/><Relationship Id="rId2" Type="http://schemas.openxmlformats.org/officeDocument/2006/relationships/vmlDrawing" Target="../drawings/vmlDrawing6.vml"/><Relationship Id="rId16" Type="http://schemas.openxmlformats.org/officeDocument/2006/relationships/table" Target="../tables/table14.xml"/><Relationship Id="rId29" Type="http://schemas.openxmlformats.org/officeDocument/2006/relationships/table" Target="../tables/table27.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37" Type="http://schemas.openxmlformats.org/officeDocument/2006/relationships/table" Target="../tables/table35.xml"/><Relationship Id="rId40" Type="http://schemas.openxmlformats.org/officeDocument/2006/relationships/table" Target="../tables/table38.xml"/><Relationship Id="rId45" Type="http://schemas.openxmlformats.org/officeDocument/2006/relationships/table" Target="../tables/table43.xml"/><Relationship Id="rId53" Type="http://schemas.openxmlformats.org/officeDocument/2006/relationships/table" Target="../tables/table51.xml"/><Relationship Id="rId5" Type="http://schemas.openxmlformats.org/officeDocument/2006/relationships/table" Target="../tables/table3.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 Id="rId35" Type="http://schemas.openxmlformats.org/officeDocument/2006/relationships/table" Target="../tables/table33.xml"/><Relationship Id="rId43" Type="http://schemas.openxmlformats.org/officeDocument/2006/relationships/table" Target="../tables/table41.xml"/><Relationship Id="rId48" Type="http://schemas.openxmlformats.org/officeDocument/2006/relationships/table" Target="../tables/table46.xml"/><Relationship Id="rId56" Type="http://schemas.openxmlformats.org/officeDocument/2006/relationships/table" Target="../tables/table54.xml"/><Relationship Id="rId8" Type="http://schemas.openxmlformats.org/officeDocument/2006/relationships/table" Target="../tables/table6.xml"/><Relationship Id="rId51" Type="http://schemas.openxmlformats.org/officeDocument/2006/relationships/table" Target="../tables/table49.xml"/><Relationship Id="rId3" Type="http://schemas.openxmlformats.org/officeDocument/2006/relationships/table" Target="../tables/table1.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33" Type="http://schemas.openxmlformats.org/officeDocument/2006/relationships/table" Target="../tables/table31.xml"/><Relationship Id="rId38" Type="http://schemas.openxmlformats.org/officeDocument/2006/relationships/table" Target="../tables/table36.xml"/><Relationship Id="rId46" Type="http://schemas.openxmlformats.org/officeDocument/2006/relationships/table" Target="../tables/table44.xml"/><Relationship Id="rId20" Type="http://schemas.openxmlformats.org/officeDocument/2006/relationships/table" Target="../tables/table18.xml"/><Relationship Id="rId41" Type="http://schemas.openxmlformats.org/officeDocument/2006/relationships/table" Target="../tables/table39.xml"/><Relationship Id="rId54" Type="http://schemas.openxmlformats.org/officeDocument/2006/relationships/table" Target="../tables/table52.xml"/><Relationship Id="rId1" Type="http://schemas.openxmlformats.org/officeDocument/2006/relationships/hyperlink" Target="https://news.detik.com/berita/d-4617341/penjara-bikin-napi-jadi-gay-pernah-menyulut-kontroversi-di-as" TargetMode="External"/><Relationship Id="rId6" Type="http://schemas.openxmlformats.org/officeDocument/2006/relationships/table" Target="../tables/table4.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36" Type="http://schemas.openxmlformats.org/officeDocument/2006/relationships/table" Target="../tables/table34.xml"/><Relationship Id="rId49" Type="http://schemas.openxmlformats.org/officeDocument/2006/relationships/table" Target="../tables/table47.xml"/><Relationship Id="rId57" Type="http://schemas.openxmlformats.org/officeDocument/2006/relationships/comments" Target="../comments6.xml"/><Relationship Id="rId10" Type="http://schemas.openxmlformats.org/officeDocument/2006/relationships/table" Target="../tables/table8.xml"/><Relationship Id="rId31" Type="http://schemas.openxmlformats.org/officeDocument/2006/relationships/table" Target="../tables/table29.xml"/><Relationship Id="rId44" Type="http://schemas.openxmlformats.org/officeDocument/2006/relationships/table" Target="../tables/table42.xml"/><Relationship Id="rId52" Type="http://schemas.openxmlformats.org/officeDocument/2006/relationships/table" Target="../tables/table5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501"/>
  <sheetViews>
    <sheetView workbookViewId="0">
      <pane ySplit="1" topLeftCell="A2" activePane="bottomLeft" state="frozen"/>
      <selection pane="bottomLeft"/>
    </sheetView>
  </sheetViews>
  <sheetFormatPr defaultColWidth="14.44140625" defaultRowHeight="15.75" customHeight="1"/>
  <cols>
    <col min="1" max="1" width="9.109375" customWidth="1"/>
    <col min="2" max="2" width="9.6640625" customWidth="1"/>
    <col min="3" max="3" width="4.33203125" customWidth="1"/>
    <col min="4" max="4" width="7.44140625" customWidth="1"/>
    <col min="5" max="5" width="11.44140625" customWidth="1"/>
    <col min="6" max="6" width="7.44140625" customWidth="1"/>
    <col min="7" max="7" width="7" customWidth="1"/>
    <col min="8" max="8" width="8.5546875" customWidth="1"/>
    <col min="9" max="9" width="6.44140625" customWidth="1"/>
    <col min="10" max="10" width="6" customWidth="1"/>
    <col min="11" max="11" width="49" customWidth="1"/>
    <col min="12" max="12" width="8.109375" customWidth="1"/>
    <col min="13" max="13" width="10.6640625" customWidth="1"/>
    <col min="14" max="14" width="11.44140625" customWidth="1"/>
    <col min="15" max="16" width="12" customWidth="1"/>
    <col min="17" max="18" width="13.44140625" customWidth="1"/>
    <col min="19" max="19" width="29.33203125" customWidth="1"/>
    <col min="20" max="20" width="8.33203125" customWidth="1"/>
    <col min="21" max="21" width="8.5546875" customWidth="1"/>
    <col min="22" max="22" width="10.6640625" customWidth="1"/>
    <col min="23" max="24" width="8.109375" customWidth="1"/>
    <col min="25" max="25" width="9.88671875" customWidth="1"/>
  </cols>
  <sheetData>
    <row r="1" spans="1:25" ht="14.4">
      <c r="A1" s="2">
        <v>1</v>
      </c>
      <c r="B1" s="2" t="s">
        <v>0</v>
      </c>
      <c r="C1" s="3">
        <v>1</v>
      </c>
      <c r="D1" s="3">
        <v>4</v>
      </c>
      <c r="E1" s="4">
        <v>43709</v>
      </c>
      <c r="F1" s="5" t="str">
        <f>HYPERLINK("https://www.liputan6.com/regional/read/3865651/lbh-bandung-protes-pembubaran-acara-peluncuran-buku-jemaah-ahmadiyah","sumber")</f>
        <v>sumber</v>
      </c>
      <c r="G1" s="3" t="s">
        <v>1</v>
      </c>
      <c r="H1" s="6">
        <v>293</v>
      </c>
      <c r="I1" s="3">
        <v>1</v>
      </c>
      <c r="J1" s="3">
        <v>4</v>
      </c>
      <c r="K1" s="3" t="s">
        <v>2</v>
      </c>
      <c r="L1" s="3">
        <v>0</v>
      </c>
      <c r="M1" s="3">
        <v>1</v>
      </c>
      <c r="N1" s="3">
        <v>0</v>
      </c>
      <c r="O1" s="3">
        <v>0</v>
      </c>
      <c r="P1" s="3">
        <v>0</v>
      </c>
      <c r="Q1" s="3">
        <v>0</v>
      </c>
      <c r="R1" s="3">
        <v>1</v>
      </c>
      <c r="S1" s="3"/>
      <c r="T1" s="3">
        <v>0</v>
      </c>
      <c r="U1" s="3">
        <v>0</v>
      </c>
      <c r="V1" s="3">
        <v>0</v>
      </c>
      <c r="W1" s="3"/>
      <c r="X1" s="7"/>
      <c r="Y1" s="7"/>
    </row>
    <row r="2" spans="1:25" ht="14.4">
      <c r="A2" s="10">
        <v>1</v>
      </c>
      <c r="B2" s="10" t="s">
        <v>3</v>
      </c>
      <c r="C2" s="11">
        <v>264</v>
      </c>
      <c r="D2" s="11">
        <v>1</v>
      </c>
      <c r="E2" s="12">
        <v>43504</v>
      </c>
      <c r="F2" s="13" t="str">
        <f>HYPERLINK("https://hot.detik.com/celeb/d-4649382/penyesalan-mendalam-aby-respati-pernah-jadi-waria ","sumber")</f>
        <v>sumber</v>
      </c>
      <c r="G2" s="11" t="s">
        <v>1</v>
      </c>
      <c r="H2" s="14"/>
      <c r="I2" s="11">
        <v>2</v>
      </c>
      <c r="J2" s="11">
        <v>3</v>
      </c>
      <c r="K2" s="11" t="s">
        <v>4</v>
      </c>
      <c r="L2" s="11">
        <v>0</v>
      </c>
      <c r="M2" s="11">
        <v>0</v>
      </c>
      <c r="N2" s="15">
        <v>0</v>
      </c>
      <c r="O2" s="11">
        <v>0</v>
      </c>
      <c r="P2" s="11">
        <v>0</v>
      </c>
      <c r="Q2" s="11">
        <v>2</v>
      </c>
      <c r="R2" s="11">
        <v>-1</v>
      </c>
      <c r="S2" s="11" t="s">
        <v>5</v>
      </c>
      <c r="T2" s="11">
        <v>1</v>
      </c>
      <c r="U2" s="11">
        <v>0</v>
      </c>
      <c r="V2" s="11">
        <v>0</v>
      </c>
      <c r="W2" s="14"/>
      <c r="X2" s="14"/>
      <c r="Y2" s="14"/>
    </row>
    <row r="3" spans="1:25" ht="14.4">
      <c r="A3" s="2">
        <v>1</v>
      </c>
      <c r="B3" s="2" t="s">
        <v>6</v>
      </c>
      <c r="C3" s="3">
        <v>265</v>
      </c>
      <c r="D3" s="3">
        <v>3</v>
      </c>
      <c r="E3" s="4">
        <v>43716</v>
      </c>
      <c r="F3" s="5" t="str">
        <f>HYPERLINK("https://news.okezone.com/read/2019/08/09/18/2090042/pacar-punya-kekasih-lain-pria-gay-siram-cairan-asam-ke-wajah-seorang-wanita ","sumber")</f>
        <v>sumber</v>
      </c>
      <c r="G3" s="3" t="s">
        <v>1</v>
      </c>
      <c r="H3" s="3">
        <v>368</v>
      </c>
      <c r="I3" s="3">
        <v>1</v>
      </c>
      <c r="J3" s="3">
        <v>3</v>
      </c>
      <c r="K3" s="3" t="s">
        <v>7</v>
      </c>
      <c r="L3" s="3">
        <v>0</v>
      </c>
      <c r="M3" s="3">
        <v>0</v>
      </c>
      <c r="N3" s="16">
        <v>0</v>
      </c>
      <c r="O3" s="3">
        <v>0</v>
      </c>
      <c r="P3" s="3">
        <v>0</v>
      </c>
      <c r="Q3" s="3">
        <v>0</v>
      </c>
      <c r="R3" s="3">
        <v>0</v>
      </c>
      <c r="S3" s="7"/>
      <c r="T3" s="3">
        <v>0</v>
      </c>
      <c r="U3" s="3">
        <v>-1</v>
      </c>
      <c r="V3" s="3">
        <v>0</v>
      </c>
      <c r="W3" s="7"/>
      <c r="X3" s="7"/>
      <c r="Y3" s="7"/>
    </row>
    <row r="4" spans="1:25" ht="14.4">
      <c r="A4" s="2">
        <v>1</v>
      </c>
      <c r="B4" s="2" t="s">
        <v>8</v>
      </c>
      <c r="C4" s="3">
        <v>266</v>
      </c>
      <c r="D4" s="3">
        <v>2</v>
      </c>
      <c r="E4" s="3" t="s">
        <v>9</v>
      </c>
      <c r="F4" s="5" t="str">
        <f>HYPERLINK(" https://www.cnnindonesia.com/internasional/20190823130811-134-424068/as-eksekusi-mati-pelaku-pembunuhan-tiga-gay ","sumber")</f>
        <v>sumber</v>
      </c>
      <c r="G4" s="3" t="s">
        <v>1</v>
      </c>
      <c r="H4" s="3">
        <v>297</v>
      </c>
      <c r="I4" s="3">
        <v>1</v>
      </c>
      <c r="J4" s="3">
        <v>3</v>
      </c>
      <c r="K4" s="3" t="s">
        <v>10</v>
      </c>
      <c r="L4" s="3">
        <v>0</v>
      </c>
      <c r="M4" s="3">
        <v>0</v>
      </c>
      <c r="N4" s="16">
        <v>0</v>
      </c>
      <c r="O4" s="3">
        <v>0</v>
      </c>
      <c r="P4" s="3">
        <v>0</v>
      </c>
      <c r="Q4" s="3">
        <v>0</v>
      </c>
      <c r="R4" s="3">
        <v>0</v>
      </c>
      <c r="S4" s="7"/>
      <c r="T4" s="3">
        <v>0</v>
      </c>
      <c r="U4" s="3">
        <v>0</v>
      </c>
      <c r="V4" s="3">
        <v>0</v>
      </c>
      <c r="W4" s="7"/>
      <c r="X4" s="7"/>
      <c r="Y4" s="7"/>
    </row>
    <row r="5" spans="1:25" ht="14.4">
      <c r="A5" s="10">
        <v>1</v>
      </c>
      <c r="B5" s="10" t="s">
        <v>11</v>
      </c>
      <c r="C5" s="11">
        <v>267</v>
      </c>
      <c r="D5" s="11">
        <v>5</v>
      </c>
      <c r="E5" s="12">
        <v>43532</v>
      </c>
      <c r="F5" s="13" t="str">
        <f>HYPERLINK("https://tirto.id/polisi-sebut-lgbt-adalah-penyakit-yang-harus-dicegah-sejak-dini-efyY ","sumber")</f>
        <v>sumber</v>
      </c>
      <c r="G5" s="11" t="s">
        <v>1</v>
      </c>
      <c r="H5" s="14"/>
      <c r="I5" s="11">
        <v>1</v>
      </c>
      <c r="J5" s="11">
        <v>3</v>
      </c>
      <c r="K5" s="11" t="s">
        <v>12</v>
      </c>
      <c r="L5" s="11">
        <v>0</v>
      </c>
      <c r="M5" s="11">
        <v>-1</v>
      </c>
      <c r="N5" s="15">
        <v>0</v>
      </c>
      <c r="O5" s="11">
        <v>0</v>
      </c>
      <c r="P5" s="11">
        <v>0</v>
      </c>
      <c r="Q5" s="11">
        <v>0</v>
      </c>
      <c r="R5" s="11">
        <v>-1</v>
      </c>
      <c r="S5" s="14"/>
      <c r="T5" s="11">
        <v>0</v>
      </c>
      <c r="U5" s="11">
        <v>0</v>
      </c>
      <c r="V5" s="11">
        <v>0</v>
      </c>
      <c r="W5" s="14"/>
      <c r="X5" s="14"/>
      <c r="Y5" s="14"/>
    </row>
    <row r="6" spans="1:25" ht="14.4">
      <c r="A6" s="17">
        <v>2</v>
      </c>
      <c r="B6" s="17" t="s">
        <v>13</v>
      </c>
      <c r="C6" s="18">
        <v>268</v>
      </c>
      <c r="D6" s="18">
        <v>2</v>
      </c>
      <c r="E6" s="19"/>
      <c r="F6" s="20" t="str">
        <f>HYPERLINK("https://www.cnnindonesia.com/hiburan/20190806175602-220-418971/aktris-crazy-rich-asians-siap-berperan-di-the-eternals ","sumber")</f>
        <v>sumber</v>
      </c>
      <c r="G6" s="18" t="s">
        <v>1</v>
      </c>
      <c r="H6" s="19"/>
      <c r="I6" s="19"/>
      <c r="J6" s="18">
        <v>3</v>
      </c>
      <c r="K6" s="19"/>
      <c r="L6" s="19"/>
      <c r="M6" s="19"/>
      <c r="N6" s="19"/>
      <c r="O6" s="19"/>
      <c r="P6" s="19"/>
      <c r="Q6" s="19"/>
      <c r="R6" s="19"/>
      <c r="S6" s="19"/>
      <c r="T6" s="19"/>
      <c r="U6" s="19"/>
      <c r="V6" s="19"/>
      <c r="W6" s="19"/>
      <c r="X6" s="19"/>
      <c r="Y6" s="19"/>
    </row>
    <row r="7" spans="1:25" ht="14.4">
      <c r="A7" s="2">
        <v>1</v>
      </c>
      <c r="B7" s="2" t="s">
        <v>14</v>
      </c>
      <c r="C7" s="3">
        <v>269</v>
      </c>
      <c r="D7" s="3">
        <v>5</v>
      </c>
      <c r="E7" s="4">
        <v>43654</v>
      </c>
      <c r="F7" s="5" t="str">
        <f>HYPERLINK(" https://tirto.id/sidang-gugatan-pemecatan-kru-persma-suara-usu-dimulai-14-agustus-efMq ","sumber")</f>
        <v>sumber</v>
      </c>
      <c r="G7" s="3" t="s">
        <v>1</v>
      </c>
      <c r="H7" s="3">
        <v>473</v>
      </c>
      <c r="I7" s="3">
        <v>1</v>
      </c>
      <c r="J7" s="3">
        <v>3</v>
      </c>
      <c r="K7" s="3" t="s">
        <v>15</v>
      </c>
      <c r="L7" s="3">
        <v>0</v>
      </c>
      <c r="M7" s="3">
        <v>0</v>
      </c>
      <c r="N7" s="16">
        <v>0</v>
      </c>
      <c r="O7" s="3">
        <v>0</v>
      </c>
      <c r="P7" s="3">
        <v>0</v>
      </c>
      <c r="Q7" s="3">
        <v>0</v>
      </c>
      <c r="R7" s="3">
        <v>1</v>
      </c>
      <c r="S7" s="7"/>
      <c r="T7" s="3">
        <v>0</v>
      </c>
      <c r="U7" s="3">
        <v>0</v>
      </c>
      <c r="V7" s="3">
        <v>0</v>
      </c>
      <c r="W7" s="7"/>
      <c r="X7" s="7"/>
      <c r="Y7" s="7"/>
    </row>
    <row r="8" spans="1:25" ht="26.4">
      <c r="A8" s="10">
        <v>1</v>
      </c>
      <c r="B8" s="10" t="s">
        <v>16</v>
      </c>
      <c r="C8" s="11">
        <v>270</v>
      </c>
      <c r="D8" s="11">
        <v>3</v>
      </c>
      <c r="E8" s="11" t="s">
        <v>17</v>
      </c>
      <c r="F8" s="13" t="str">
        <f>HYPERLINK("https://news.okezone.com/read/2019/08/19/338/2094009/2-waria-nekat-merampok-driver-taksi-online-di-tpu-karet-bivak ","sumber")</f>
        <v>sumber</v>
      </c>
      <c r="G8" s="11" t="s">
        <v>1</v>
      </c>
      <c r="H8" s="14"/>
      <c r="I8" s="11">
        <v>1</v>
      </c>
      <c r="J8" s="11">
        <v>3</v>
      </c>
      <c r="K8" s="11" t="s">
        <v>18</v>
      </c>
      <c r="L8" s="11">
        <v>0</v>
      </c>
      <c r="M8" s="11">
        <v>0</v>
      </c>
      <c r="N8" s="15">
        <v>0</v>
      </c>
      <c r="O8" s="11">
        <v>0</v>
      </c>
      <c r="P8" s="11">
        <v>0</v>
      </c>
      <c r="Q8" s="11">
        <v>0</v>
      </c>
      <c r="R8" s="11">
        <v>0</v>
      </c>
      <c r="S8" s="14"/>
      <c r="T8" s="11">
        <v>0</v>
      </c>
      <c r="U8" s="11">
        <v>-1</v>
      </c>
      <c r="V8" s="11">
        <v>0</v>
      </c>
      <c r="W8" s="14"/>
      <c r="X8" s="14"/>
      <c r="Y8" s="14"/>
    </row>
    <row r="9" spans="1:25" ht="26.4">
      <c r="A9" s="2">
        <v>1</v>
      </c>
      <c r="B9" s="2" t="s">
        <v>19</v>
      </c>
      <c r="C9" s="3">
        <v>271</v>
      </c>
      <c r="D9" s="3">
        <v>1</v>
      </c>
      <c r="E9" s="4">
        <v>43654</v>
      </c>
      <c r="F9" s="5" t="str">
        <f>HYPERLINK("https://news.detik.com/berita/d-4655443/rektor-usu-bubarkan-pengurus-persma-karena-cerpen-lesbian-ahli-represif ","sumber")</f>
        <v>sumber</v>
      </c>
      <c r="G9" s="3" t="s">
        <v>1</v>
      </c>
      <c r="H9" s="3">
        <v>422</v>
      </c>
      <c r="I9" s="3">
        <v>1</v>
      </c>
      <c r="J9" s="3">
        <v>3</v>
      </c>
      <c r="K9" s="3" t="s">
        <v>20</v>
      </c>
      <c r="L9" s="3">
        <v>0</v>
      </c>
      <c r="M9" s="3">
        <v>-1</v>
      </c>
      <c r="N9" s="16">
        <v>0</v>
      </c>
      <c r="O9" s="3">
        <v>0</v>
      </c>
      <c r="P9" s="3">
        <v>0</v>
      </c>
      <c r="Q9" s="3" t="s">
        <v>21</v>
      </c>
      <c r="R9" s="3" t="s">
        <v>22</v>
      </c>
      <c r="S9" s="7"/>
      <c r="T9" s="3">
        <v>0</v>
      </c>
      <c r="U9" s="3">
        <v>0</v>
      </c>
      <c r="V9" s="3">
        <v>0</v>
      </c>
      <c r="W9" s="7"/>
      <c r="X9" s="7"/>
      <c r="Y9" s="7"/>
    </row>
    <row r="10" spans="1:25" ht="14.4">
      <c r="A10" s="17">
        <v>2</v>
      </c>
      <c r="B10" s="17" t="s">
        <v>23</v>
      </c>
      <c r="C10" s="18">
        <v>272</v>
      </c>
      <c r="D10" s="18">
        <v>10</v>
      </c>
      <c r="E10" s="19"/>
      <c r="F10" s="20" t="str">
        <f>HYPERLINK("https://tekno.tempo.co/read/1240625/diteliti-ahli-australia-tengkorak-alor-ungkap-jalur-migrasi-baru ","sumber")</f>
        <v>sumber</v>
      </c>
      <c r="G10" s="18" t="s">
        <v>1</v>
      </c>
      <c r="H10" s="19"/>
      <c r="I10" s="19"/>
      <c r="J10" s="18">
        <v>3</v>
      </c>
      <c r="K10" s="19"/>
      <c r="L10" s="19"/>
      <c r="M10" s="19"/>
      <c r="N10" s="19"/>
      <c r="O10" s="19"/>
      <c r="P10" s="19"/>
      <c r="Q10" s="19"/>
      <c r="R10" s="19"/>
      <c r="S10" s="19"/>
      <c r="T10" s="19"/>
      <c r="U10" s="19"/>
      <c r="V10" s="19"/>
      <c r="W10" s="19"/>
      <c r="X10" s="19"/>
      <c r="Y10" s="19"/>
    </row>
    <row r="11" spans="1:25" ht="14.4">
      <c r="A11" s="17">
        <v>2</v>
      </c>
      <c r="B11" s="17" t="s">
        <v>24</v>
      </c>
      <c r="C11" s="18">
        <v>273</v>
      </c>
      <c r="D11" s="18">
        <v>4</v>
      </c>
      <c r="E11" s="19"/>
      <c r="F11" s="20" t="str">
        <f>HYPERLINK("https://www.liputan6.com/lifestyle/read/4049560/penampilan-terbaru-duo-tatu-yang-sempat-hits-di-era-2000-an ","sumber")</f>
        <v>sumber</v>
      </c>
      <c r="G11" s="18" t="s">
        <v>1</v>
      </c>
      <c r="H11" s="19"/>
      <c r="I11" s="19"/>
      <c r="J11" s="18">
        <v>3</v>
      </c>
      <c r="K11" s="19"/>
      <c r="L11" s="19"/>
      <c r="M11" s="19"/>
      <c r="N11" s="19"/>
      <c r="O11" s="19"/>
      <c r="P11" s="19"/>
      <c r="Q11" s="19"/>
      <c r="R11" s="19"/>
      <c r="S11" s="19"/>
      <c r="T11" s="19"/>
      <c r="U11" s="19"/>
      <c r="V11" s="19"/>
      <c r="W11" s="19"/>
      <c r="X11" s="19"/>
      <c r="Y11" s="19"/>
    </row>
    <row r="12" spans="1:25" ht="14.4">
      <c r="A12" s="10">
        <v>1</v>
      </c>
      <c r="B12" s="10" t="s">
        <v>25</v>
      </c>
      <c r="C12" s="11">
        <v>274</v>
      </c>
      <c r="D12" s="11">
        <v>1</v>
      </c>
      <c r="E12" s="12">
        <v>43505</v>
      </c>
      <c r="F12" s="13" t="str">
        <f>HYPERLINK("https://news.detik.com/berita/d-4689874/panja-kita-akan-miliki-kuhp-sendiri-isu-lgbt-dkk-kami-pertimbangkan ","sumber")</f>
        <v>sumber</v>
      </c>
      <c r="G12" s="11" t="s">
        <v>1</v>
      </c>
      <c r="H12" s="14"/>
      <c r="I12" s="11">
        <v>4</v>
      </c>
      <c r="J12" s="11">
        <v>3</v>
      </c>
      <c r="K12" s="11" t="s">
        <v>26</v>
      </c>
      <c r="L12" s="11">
        <v>0</v>
      </c>
      <c r="M12" s="11">
        <v>0</v>
      </c>
      <c r="N12" s="15">
        <v>0</v>
      </c>
      <c r="O12" s="11">
        <v>0</v>
      </c>
      <c r="P12" s="11">
        <v>0</v>
      </c>
      <c r="Q12" s="11">
        <v>0</v>
      </c>
      <c r="R12" s="11">
        <v>0</v>
      </c>
      <c r="S12" s="14"/>
      <c r="T12" s="11">
        <v>0</v>
      </c>
      <c r="U12" s="11">
        <v>0</v>
      </c>
      <c r="V12" s="11">
        <v>0</v>
      </c>
      <c r="W12" s="14"/>
      <c r="X12" s="14"/>
      <c r="Y12" s="14"/>
    </row>
    <row r="13" spans="1:25" ht="26.4">
      <c r="A13" s="10">
        <v>1</v>
      </c>
      <c r="B13" s="10" t="s">
        <v>27</v>
      </c>
      <c r="C13" s="11">
        <v>275</v>
      </c>
      <c r="D13" s="11">
        <v>8</v>
      </c>
      <c r="E13" s="12">
        <v>43533</v>
      </c>
      <c r="F13" s="13" t="str">
        <f>HYPERLINK("https://www.suara.com/news/2019/09/03/060000/pasangan-gay-dosen-dan-mahasiswa-digerebek-warga-di-rumah-kontrakan ","sumber")</f>
        <v>sumber</v>
      </c>
      <c r="G13" s="11" t="s">
        <v>1</v>
      </c>
      <c r="H13" s="14"/>
      <c r="I13" s="11">
        <v>1</v>
      </c>
      <c r="J13" s="11">
        <v>3</v>
      </c>
      <c r="K13" s="11" t="s">
        <v>28</v>
      </c>
      <c r="L13" s="11">
        <v>0</v>
      </c>
      <c r="M13" s="11">
        <v>-1</v>
      </c>
      <c r="N13" s="15">
        <v>0</v>
      </c>
      <c r="O13" s="11">
        <v>0</v>
      </c>
      <c r="P13" s="11">
        <v>0</v>
      </c>
      <c r="Q13" s="11" t="s">
        <v>29</v>
      </c>
      <c r="R13" s="11" t="s">
        <v>30</v>
      </c>
      <c r="S13" s="14"/>
      <c r="T13" s="11">
        <v>0</v>
      </c>
      <c r="U13" s="11">
        <v>0</v>
      </c>
      <c r="V13" s="11">
        <v>0</v>
      </c>
      <c r="W13" s="14"/>
      <c r="X13" s="14"/>
      <c r="Y13" s="14"/>
    </row>
    <row r="14" spans="1:25" ht="14.4">
      <c r="A14" s="10">
        <v>1</v>
      </c>
      <c r="B14" s="10" t="s">
        <v>31</v>
      </c>
      <c r="C14" s="11">
        <v>276</v>
      </c>
      <c r="D14" s="11">
        <v>1</v>
      </c>
      <c r="E14" s="12">
        <v>43564</v>
      </c>
      <c r="F14" s="13" t="str">
        <f>HYPERLINK("https://news.detik.com/berita/d-4692571/ruu-kuhp-segera-disahkan-panja-kalau-belum-sempurna-silakan-diuji-materi ","sumber")</f>
        <v>sumber</v>
      </c>
      <c r="G14" s="11" t="s">
        <v>1</v>
      </c>
      <c r="H14" s="14"/>
      <c r="I14" s="11">
        <v>4</v>
      </c>
      <c r="J14" s="11">
        <v>3</v>
      </c>
      <c r="K14" s="11" t="s">
        <v>32</v>
      </c>
      <c r="L14" s="11">
        <v>0</v>
      </c>
      <c r="M14" s="11">
        <v>0</v>
      </c>
      <c r="N14" s="15">
        <v>0</v>
      </c>
      <c r="O14" s="11">
        <v>0</v>
      </c>
      <c r="P14" s="11">
        <v>0</v>
      </c>
      <c r="Q14" s="11">
        <v>0</v>
      </c>
      <c r="R14" s="11">
        <v>-1</v>
      </c>
      <c r="S14" s="14"/>
      <c r="T14" s="11">
        <v>0</v>
      </c>
      <c r="U14" s="11">
        <v>0</v>
      </c>
      <c r="V14" s="11">
        <v>1</v>
      </c>
      <c r="W14" s="14"/>
      <c r="X14" s="14"/>
      <c r="Y14" s="14"/>
    </row>
    <row r="15" spans="1:25" ht="14.4">
      <c r="A15" s="10">
        <v>1</v>
      </c>
      <c r="B15" s="10" t="s">
        <v>33</v>
      </c>
      <c r="C15" s="11">
        <v>277</v>
      </c>
      <c r="D15" s="11">
        <v>8</v>
      </c>
      <c r="E15" s="11" t="s">
        <v>34</v>
      </c>
      <c r="F15" s="13" t="str">
        <f>HYPERLINK("https://www.suara.com/lifestyle/2019/09/22/134500/gebby-vesta-ngaku-transgender-apakah-operasi-kelamin-bisa-pengaruhi-seks ","sumber")</f>
        <v>sumber</v>
      </c>
      <c r="G15" s="11" t="s">
        <v>1</v>
      </c>
      <c r="H15" s="14"/>
      <c r="I15" s="11">
        <v>5</v>
      </c>
      <c r="J15" s="11">
        <v>3</v>
      </c>
      <c r="K15" s="11" t="s">
        <v>35</v>
      </c>
      <c r="L15" s="11">
        <v>0</v>
      </c>
      <c r="M15" s="11">
        <v>0</v>
      </c>
      <c r="N15" s="15">
        <v>0</v>
      </c>
      <c r="O15" s="11">
        <v>0</v>
      </c>
      <c r="P15" s="11">
        <v>0</v>
      </c>
      <c r="Q15" s="11">
        <v>2</v>
      </c>
      <c r="R15" s="11">
        <v>0</v>
      </c>
      <c r="S15" s="14"/>
      <c r="T15" s="11">
        <v>0</v>
      </c>
      <c r="U15" s="11">
        <v>0</v>
      </c>
      <c r="V15" s="11">
        <v>0</v>
      </c>
      <c r="W15" s="14"/>
      <c r="X15" s="14"/>
      <c r="Y15" s="14"/>
    </row>
    <row r="16" spans="1:25" ht="14.4">
      <c r="A16" s="17">
        <v>2</v>
      </c>
      <c r="B16" s="17" t="s">
        <v>36</v>
      </c>
      <c r="C16" s="18">
        <v>278</v>
      </c>
      <c r="D16" s="18">
        <v>2</v>
      </c>
      <c r="E16" s="19"/>
      <c r="F16" s="20" t="str">
        <f>HYPERLINK("https://www.cnnindonesia.com/nasional/20190926103815-32-434192/waktu-pendek-ketua-dpr-tunda-pengesahan-ruu-pks ","sumber")</f>
        <v>sumber</v>
      </c>
      <c r="G16" s="18" t="s">
        <v>1</v>
      </c>
      <c r="H16" s="19"/>
      <c r="I16" s="19"/>
      <c r="J16" s="18">
        <v>3</v>
      </c>
      <c r="K16" s="19"/>
      <c r="L16" s="19"/>
      <c r="M16" s="19"/>
      <c r="N16" s="19"/>
      <c r="O16" s="19"/>
      <c r="P16" s="19"/>
      <c r="Q16" s="19"/>
      <c r="R16" s="19"/>
      <c r="S16" s="19"/>
      <c r="T16" s="19"/>
      <c r="U16" s="19"/>
      <c r="V16" s="19"/>
      <c r="W16" s="19"/>
      <c r="X16" s="19"/>
      <c r="Y16" s="19"/>
    </row>
    <row r="17" spans="1:25" ht="14.4">
      <c r="A17" s="17">
        <v>2</v>
      </c>
      <c r="B17" s="17" t="s">
        <v>37</v>
      </c>
      <c r="C17" s="18">
        <v>279</v>
      </c>
      <c r="D17" s="18">
        <v>1</v>
      </c>
      <c r="E17" s="19"/>
      <c r="F17" s="20" t="str">
        <f>HYPERLINK("https://hot.detik.com/celeb/d-4722938/jelang-menikah-jennifer-lawrence-habiskan-waktu-dengan-sang-bunda ","sumber")</f>
        <v>sumber</v>
      </c>
      <c r="G17" s="18" t="s">
        <v>1</v>
      </c>
      <c r="H17" s="19"/>
      <c r="I17" s="19"/>
      <c r="J17" s="18">
        <v>3</v>
      </c>
      <c r="K17" s="19"/>
      <c r="L17" s="19"/>
      <c r="M17" s="19"/>
      <c r="N17" s="19"/>
      <c r="O17" s="19"/>
      <c r="P17" s="19"/>
      <c r="Q17" s="19"/>
      <c r="R17" s="19"/>
      <c r="S17" s="19"/>
      <c r="T17" s="19"/>
      <c r="U17" s="19"/>
      <c r="V17" s="19"/>
      <c r="W17" s="19"/>
      <c r="X17" s="19"/>
      <c r="Y17" s="19"/>
    </row>
    <row r="18" spans="1:25" ht="14.4">
      <c r="A18" s="17">
        <v>2</v>
      </c>
      <c r="B18" s="17" t="s">
        <v>38</v>
      </c>
      <c r="C18" s="18">
        <v>280</v>
      </c>
      <c r="D18" s="18">
        <v>8</v>
      </c>
      <c r="E18" s="19"/>
      <c r="F18" s="20" t="str">
        <f>HYPERLINK("https://www.suara.com/news/2019/09/26/092815/senggol-anak-stm-denny-siregar-dicari-di-twitter ","sumber")</f>
        <v>sumber</v>
      </c>
      <c r="G18" s="18" t="s">
        <v>1</v>
      </c>
      <c r="H18" s="19"/>
      <c r="I18" s="19"/>
      <c r="J18" s="18">
        <v>3</v>
      </c>
      <c r="K18" s="19"/>
      <c r="L18" s="19"/>
      <c r="M18" s="19"/>
      <c r="N18" s="19"/>
      <c r="O18" s="19"/>
      <c r="P18" s="19"/>
      <c r="Q18" s="19"/>
      <c r="R18" s="19"/>
      <c r="S18" s="19"/>
      <c r="T18" s="19"/>
      <c r="U18" s="19"/>
      <c r="V18" s="19"/>
      <c r="W18" s="19"/>
      <c r="X18" s="19"/>
      <c r="Y18" s="19"/>
    </row>
    <row r="19" spans="1:25" ht="14.4">
      <c r="A19" s="17">
        <v>2</v>
      </c>
      <c r="B19" s="17" t="s">
        <v>39</v>
      </c>
      <c r="C19" s="18">
        <v>281</v>
      </c>
      <c r="D19" s="18">
        <v>4</v>
      </c>
      <c r="E19" s="19"/>
      <c r="F19" s="20" t="str">
        <f>HYPERLINK("https://www.liputan6.com/showbiz/read/4073943/pengakuan-lucinta-luna-tentang-muhammad-fatah ","sumber")</f>
        <v>sumber</v>
      </c>
      <c r="G19" s="18" t="s">
        <v>1</v>
      </c>
      <c r="H19" s="19"/>
      <c r="I19" s="19"/>
      <c r="J19" s="18">
        <v>3</v>
      </c>
      <c r="K19" s="19"/>
      <c r="L19" s="19"/>
      <c r="M19" s="19"/>
      <c r="N19" s="19"/>
      <c r="O19" s="19"/>
      <c r="P19" s="19"/>
      <c r="Q19" s="19"/>
      <c r="R19" s="19"/>
      <c r="S19" s="19"/>
      <c r="T19" s="19"/>
      <c r="U19" s="19"/>
      <c r="V19" s="19"/>
      <c r="W19" s="19"/>
      <c r="X19" s="19"/>
      <c r="Y19" s="19"/>
    </row>
    <row r="20" spans="1:25" ht="14.4">
      <c r="A20" s="17">
        <v>2</v>
      </c>
      <c r="B20" s="17" t="s">
        <v>40</v>
      </c>
      <c r="C20" s="18">
        <v>282</v>
      </c>
      <c r="D20" s="18">
        <v>7</v>
      </c>
      <c r="E20" s="19"/>
      <c r="F20" s="20" t="str">
        <f>HYPERLINK("https://www.tribunnews.com/regional/2019/09/28/hilang-di-sungai-bengawan-solo-bayu-ditemukan-tak-bernyawa ","sumber")</f>
        <v>sumber</v>
      </c>
      <c r="G20" s="18" t="s">
        <v>1</v>
      </c>
      <c r="H20" s="19"/>
      <c r="I20" s="19"/>
      <c r="J20" s="18">
        <v>3</v>
      </c>
      <c r="K20" s="19"/>
      <c r="L20" s="19"/>
      <c r="M20" s="19"/>
      <c r="N20" s="19"/>
      <c r="O20" s="19"/>
      <c r="P20" s="19"/>
      <c r="Q20" s="19"/>
      <c r="R20" s="19"/>
      <c r="S20" s="19"/>
      <c r="T20" s="19"/>
      <c r="U20" s="19"/>
      <c r="V20" s="19"/>
      <c r="W20" s="19"/>
      <c r="X20" s="19"/>
      <c r="Y20" s="19"/>
    </row>
    <row r="21" spans="1:25" ht="14.4">
      <c r="A21" s="10">
        <v>1</v>
      </c>
      <c r="B21" s="10" t="s">
        <v>41</v>
      </c>
      <c r="C21" s="11">
        <v>283</v>
      </c>
      <c r="D21" s="11">
        <v>1</v>
      </c>
      <c r="E21" s="12">
        <v>43617</v>
      </c>
      <c r="F21" s="13" t="str">
        <f>HYPERLINK("https://news.detik.com/berita/d-4372490/polisi-segera-tentukan-status-vanessa-angel-di-kasus-prostitusi-online ","sumber")</f>
        <v>sumber</v>
      </c>
      <c r="G21" s="11" t="s">
        <v>1</v>
      </c>
      <c r="H21" s="14"/>
      <c r="I21" s="11">
        <v>1</v>
      </c>
      <c r="J21" s="11">
        <v>1</v>
      </c>
      <c r="K21" s="11" t="s">
        <v>42</v>
      </c>
      <c r="L21" s="11">
        <v>0</v>
      </c>
      <c r="M21" s="11">
        <v>-1</v>
      </c>
      <c r="N21" s="11">
        <v>-1</v>
      </c>
      <c r="O21" s="11">
        <v>0</v>
      </c>
      <c r="P21" s="11">
        <v>0</v>
      </c>
      <c r="Q21" s="11">
        <v>0</v>
      </c>
      <c r="R21" s="11">
        <v>0</v>
      </c>
      <c r="S21" s="14"/>
      <c r="T21" s="11">
        <v>0</v>
      </c>
      <c r="U21" s="11">
        <v>0</v>
      </c>
      <c r="V21" s="11">
        <v>0</v>
      </c>
      <c r="W21" s="14"/>
      <c r="X21" s="14"/>
      <c r="Y21" s="14"/>
    </row>
    <row r="22" spans="1:25" ht="14.4">
      <c r="A22" s="10">
        <v>1</v>
      </c>
      <c r="B22" s="10" t="s">
        <v>43</v>
      </c>
      <c r="C22" s="11">
        <v>284</v>
      </c>
      <c r="D22" s="11">
        <v>5</v>
      </c>
      <c r="E22" s="12">
        <v>43617</v>
      </c>
      <c r="F22" s="13" t="str">
        <f>HYPERLINK("https://tirto.id/polda-jatim-tangkap-mucikari-2-artis-prostitusi-daring-ddrE ","sumber")</f>
        <v>sumber</v>
      </c>
      <c r="G22" s="11" t="s">
        <v>1</v>
      </c>
      <c r="H22" s="14"/>
      <c r="I22" s="11">
        <v>1</v>
      </c>
      <c r="J22" s="11">
        <v>1</v>
      </c>
      <c r="K22" s="11" t="s">
        <v>42</v>
      </c>
      <c r="L22" s="11">
        <v>0</v>
      </c>
      <c r="M22" s="11">
        <v>-1</v>
      </c>
      <c r="N22" s="15">
        <v>0</v>
      </c>
      <c r="O22" s="11">
        <v>0</v>
      </c>
      <c r="P22" s="11">
        <v>0</v>
      </c>
      <c r="Q22" s="11">
        <v>0</v>
      </c>
      <c r="R22" s="11">
        <v>0</v>
      </c>
      <c r="S22" s="14"/>
      <c r="T22" s="11">
        <v>0</v>
      </c>
      <c r="U22" s="11">
        <v>0</v>
      </c>
      <c r="V22" s="11">
        <v>0</v>
      </c>
      <c r="W22" s="14"/>
      <c r="X22" s="14"/>
      <c r="Y22" s="14"/>
    </row>
    <row r="23" spans="1:25" ht="39.6">
      <c r="A23" s="10">
        <v>1</v>
      </c>
      <c r="B23" s="10" t="s">
        <v>44</v>
      </c>
      <c r="C23" s="11">
        <v>285</v>
      </c>
      <c r="D23" s="11">
        <v>10</v>
      </c>
      <c r="E23" s="12">
        <v>43647</v>
      </c>
      <c r="F23" s="13" t="str">
        <f>HYPERLINK("https://metro.tempo.co/read/1162257/respons-kasus-rizky-amelia-karyawan-bpjs-buat-gerakan-savebpjstk ","sumber")</f>
        <v>sumber</v>
      </c>
      <c r="G23" s="11" t="s">
        <v>1</v>
      </c>
      <c r="H23" s="14"/>
      <c r="I23" s="11">
        <v>1</v>
      </c>
      <c r="J23" s="11">
        <v>1</v>
      </c>
      <c r="K23" s="11" t="s">
        <v>45</v>
      </c>
      <c r="L23" s="11">
        <v>0</v>
      </c>
      <c r="M23" s="11">
        <v>1</v>
      </c>
      <c r="N23" s="11">
        <v>-1</v>
      </c>
      <c r="O23" s="11">
        <v>0</v>
      </c>
      <c r="P23" s="11">
        <v>0</v>
      </c>
      <c r="Q23" s="11" t="s">
        <v>29</v>
      </c>
      <c r="R23" s="11" t="s">
        <v>29</v>
      </c>
      <c r="S23" s="14"/>
      <c r="T23" s="11">
        <v>0</v>
      </c>
      <c r="U23" s="11">
        <v>0</v>
      </c>
      <c r="V23" s="11">
        <v>0</v>
      </c>
      <c r="W23" s="14"/>
      <c r="X23" s="14"/>
      <c r="Y23" s="14"/>
    </row>
    <row r="24" spans="1:25" ht="26.4">
      <c r="A24" s="10">
        <v>1</v>
      </c>
      <c r="B24" s="10" t="s">
        <v>46</v>
      </c>
      <c r="C24" s="11">
        <v>286</v>
      </c>
      <c r="D24" s="11">
        <v>4</v>
      </c>
      <c r="E24" s="12">
        <v>43678</v>
      </c>
      <c r="F24" s="13" t="str">
        <f>HYPERLINK("https://www.liputan6.com/news/read/3865458/4-pernyataan-artis-va-usai-bebas-dari-kasus-prostitusi-online ","sumber")</f>
        <v>sumber</v>
      </c>
      <c r="G24" s="11" t="s">
        <v>1</v>
      </c>
      <c r="H24" s="14"/>
      <c r="I24" s="11">
        <v>1</v>
      </c>
      <c r="J24" s="11">
        <v>1</v>
      </c>
      <c r="K24" s="11" t="s">
        <v>47</v>
      </c>
      <c r="L24" s="11">
        <v>0</v>
      </c>
      <c r="M24" s="11">
        <v>0</v>
      </c>
      <c r="N24" s="15">
        <v>0</v>
      </c>
      <c r="O24" s="11">
        <v>0</v>
      </c>
      <c r="P24" s="11">
        <v>0</v>
      </c>
      <c r="Q24" s="11" t="s">
        <v>48</v>
      </c>
      <c r="R24" s="11" t="s">
        <v>21</v>
      </c>
      <c r="S24" s="14"/>
      <c r="T24" s="11">
        <v>0</v>
      </c>
      <c r="U24" s="11">
        <v>0</v>
      </c>
      <c r="V24" s="11">
        <v>0</v>
      </c>
      <c r="W24" s="14"/>
      <c r="X24" s="14"/>
      <c r="Y24" s="14"/>
    </row>
    <row r="25" spans="1:25" ht="39.6">
      <c r="A25" s="10">
        <v>1</v>
      </c>
      <c r="B25" s="10" t="s">
        <v>49</v>
      </c>
      <c r="C25" s="11">
        <v>287</v>
      </c>
      <c r="D25" s="11">
        <v>5</v>
      </c>
      <c r="E25" s="12">
        <v>43709</v>
      </c>
      <c r="F25" s="13" t="str">
        <f>HYPERLINK("https://tirto.id/bisakah-penyedia-aplikasi-chat-prostitusi-online-dijerat-hukum-ddRU ","sumber")</f>
        <v>sumber</v>
      </c>
      <c r="G25" s="11" t="s">
        <v>1</v>
      </c>
      <c r="H25" s="14"/>
      <c r="I25" s="11">
        <v>1</v>
      </c>
      <c r="J25" s="11">
        <v>1</v>
      </c>
      <c r="K25" s="11" t="s">
        <v>50</v>
      </c>
      <c r="L25" s="11">
        <v>0</v>
      </c>
      <c r="M25" s="11">
        <v>0</v>
      </c>
      <c r="N25" s="15">
        <v>0</v>
      </c>
      <c r="O25" s="11">
        <v>0</v>
      </c>
      <c r="P25" s="11">
        <v>0</v>
      </c>
      <c r="Q25" s="11" t="s">
        <v>29</v>
      </c>
      <c r="R25" s="11" t="s">
        <v>29</v>
      </c>
      <c r="S25" s="14"/>
      <c r="T25" s="11">
        <v>0</v>
      </c>
      <c r="U25" s="11">
        <v>0</v>
      </c>
      <c r="V25" s="11">
        <v>0</v>
      </c>
      <c r="W25" s="14"/>
      <c r="X25" s="14"/>
      <c r="Y25" s="14"/>
    </row>
    <row r="26" spans="1:25" ht="14.4">
      <c r="A26" s="10">
        <v>1</v>
      </c>
      <c r="B26" s="10" t="s">
        <v>51</v>
      </c>
      <c r="C26" s="11">
        <v>288</v>
      </c>
      <c r="D26" s="11">
        <v>8</v>
      </c>
      <c r="E26" s="12">
        <v>43739</v>
      </c>
      <c r="F26" s="13" t="str">
        <f>HYPERLINK("https://www.suara.com/entertainment/2019/01/10/134910/pengakuan-robby-abbas-ada-lebih-dari-100-artis-pernah-dijual-ke-lelaki ","sumber")</f>
        <v>sumber</v>
      </c>
      <c r="G26" s="11" t="s">
        <v>1</v>
      </c>
      <c r="H26" s="14"/>
      <c r="I26" s="11">
        <v>1</v>
      </c>
      <c r="J26" s="11">
        <v>1</v>
      </c>
      <c r="K26" s="11" t="s">
        <v>52</v>
      </c>
      <c r="L26" s="11">
        <v>0</v>
      </c>
      <c r="M26" s="11">
        <v>-1</v>
      </c>
      <c r="N26" s="11">
        <v>-1</v>
      </c>
      <c r="O26" s="11">
        <v>0</v>
      </c>
      <c r="P26" s="11">
        <v>0</v>
      </c>
      <c r="Q26" s="11" t="s">
        <v>29</v>
      </c>
      <c r="R26" s="11" t="s">
        <v>53</v>
      </c>
      <c r="S26" s="14"/>
      <c r="T26" s="11">
        <v>0</v>
      </c>
      <c r="U26" s="11">
        <v>0</v>
      </c>
      <c r="V26" s="11">
        <v>0</v>
      </c>
      <c r="W26" s="14"/>
      <c r="X26" s="14"/>
      <c r="Y26" s="14"/>
    </row>
    <row r="27" spans="1:25" ht="39.6">
      <c r="A27" s="2">
        <v>1</v>
      </c>
      <c r="B27" s="2" t="s">
        <v>54</v>
      </c>
      <c r="C27" s="3">
        <v>289</v>
      </c>
      <c r="D27" s="3">
        <v>2</v>
      </c>
      <c r="E27" s="3" t="s">
        <v>55</v>
      </c>
      <c r="F27" s="5" t="str">
        <f>HYPERLINK("https://www.cnnindonesia.com/hiburan/20190125171334-234-363891/dituduh-lakukan-pelecehan-ke-bocah-bryan-singer-tetap-laris ","sumber")</f>
        <v>sumber</v>
      </c>
      <c r="G27" s="3" t="s">
        <v>1</v>
      </c>
      <c r="H27" s="3">
        <v>430</v>
      </c>
      <c r="I27" s="3">
        <v>1</v>
      </c>
      <c r="J27" s="3">
        <v>1</v>
      </c>
      <c r="K27" s="3" t="s">
        <v>56</v>
      </c>
      <c r="L27" s="3">
        <v>0</v>
      </c>
      <c r="M27" s="3">
        <v>0</v>
      </c>
      <c r="N27" s="16">
        <v>0</v>
      </c>
      <c r="O27" s="3">
        <v>0</v>
      </c>
      <c r="P27" s="3">
        <v>0</v>
      </c>
      <c r="Q27" s="3" t="s">
        <v>57</v>
      </c>
      <c r="R27" s="3" t="s">
        <v>58</v>
      </c>
      <c r="S27" s="7"/>
      <c r="T27" s="3">
        <v>0</v>
      </c>
      <c r="U27" s="3">
        <v>0</v>
      </c>
      <c r="V27" s="3">
        <v>0</v>
      </c>
      <c r="W27" s="7"/>
      <c r="X27" s="7"/>
      <c r="Y27" s="7"/>
    </row>
    <row r="28" spans="1:25" ht="14.4">
      <c r="A28" s="17">
        <v>2</v>
      </c>
      <c r="B28" s="17" t="s">
        <v>59</v>
      </c>
      <c r="C28" s="18">
        <v>290</v>
      </c>
      <c r="D28" s="18">
        <v>10</v>
      </c>
      <c r="E28" s="19"/>
      <c r="F28" s="20" t="str">
        <f>HYPERLINK("https://gaya.tempo.co/read/1164310/sedang-magang-di-kantor-jangan-lupa-minta-feedback-ke-bos ","sumber")</f>
        <v>sumber</v>
      </c>
      <c r="G28" s="18" t="s">
        <v>1</v>
      </c>
      <c r="H28" s="19"/>
      <c r="I28" s="19"/>
      <c r="J28" s="18">
        <v>1</v>
      </c>
      <c r="K28" s="19"/>
      <c r="L28" s="19"/>
      <c r="M28" s="19"/>
      <c r="N28" s="19"/>
      <c r="O28" s="19"/>
      <c r="P28" s="19"/>
      <c r="Q28" s="19"/>
      <c r="R28" s="19"/>
      <c r="S28" s="19"/>
      <c r="T28" s="19"/>
      <c r="U28" s="19"/>
      <c r="V28" s="19"/>
      <c r="W28" s="19"/>
      <c r="X28" s="19"/>
      <c r="Y28" s="19"/>
    </row>
    <row r="29" spans="1:25" ht="39.6">
      <c r="A29" s="10">
        <v>1</v>
      </c>
      <c r="B29" s="10" t="s">
        <v>60</v>
      </c>
      <c r="C29" s="11">
        <v>291</v>
      </c>
      <c r="D29" s="11">
        <v>2</v>
      </c>
      <c r="E29" s="11" t="s">
        <v>61</v>
      </c>
      <c r="F29" s="13" t="str">
        <f>HYPERLINK("https://www.cnnindonesia.com/nasional/20190115082310-12-360840/artis-sinetron-respons-polisi-soal-kasus-prostitusi-online ","sumber")</f>
        <v>sumber</v>
      </c>
      <c r="G29" s="11" t="s">
        <v>1</v>
      </c>
      <c r="H29" s="14"/>
      <c r="I29" s="11">
        <v>1</v>
      </c>
      <c r="J29" s="11">
        <v>1</v>
      </c>
      <c r="K29" s="11" t="s">
        <v>62</v>
      </c>
      <c r="L29" s="11">
        <v>0</v>
      </c>
      <c r="M29" s="11">
        <v>-1</v>
      </c>
      <c r="N29" s="11">
        <v>-1</v>
      </c>
      <c r="O29" s="11">
        <v>0</v>
      </c>
      <c r="P29" s="11">
        <v>0</v>
      </c>
      <c r="Q29" s="11" t="s">
        <v>29</v>
      </c>
      <c r="R29" s="11" t="s">
        <v>29</v>
      </c>
      <c r="S29" s="14"/>
      <c r="T29" s="11">
        <v>0</v>
      </c>
      <c r="U29" s="11">
        <v>0</v>
      </c>
      <c r="V29" s="11">
        <v>0</v>
      </c>
      <c r="W29" s="14"/>
      <c r="X29" s="14"/>
      <c r="Y29" s="14"/>
    </row>
    <row r="30" spans="1:25" ht="26.4">
      <c r="A30" s="2">
        <v>1</v>
      </c>
      <c r="B30" s="2" t="s">
        <v>63</v>
      </c>
      <c r="C30" s="3">
        <v>292</v>
      </c>
      <c r="D30" s="3">
        <v>2</v>
      </c>
      <c r="E30" s="4">
        <v>43709</v>
      </c>
      <c r="F30" s="5" t="str">
        <f>HYPERLINK("https://www.cnnindonesia.com/nasional/20190108214046-12-359418/tagih-utang-pakai-pesan-asusila-4-kolektor-ditangkap-polisi ","sumber")</f>
        <v>sumber</v>
      </c>
      <c r="G30" s="3" t="s">
        <v>1</v>
      </c>
      <c r="H30" s="3">
        <v>375</v>
      </c>
      <c r="I30" s="3">
        <v>1</v>
      </c>
      <c r="J30" s="3">
        <v>1</v>
      </c>
      <c r="K30" s="3" t="s">
        <v>64</v>
      </c>
      <c r="L30" s="3">
        <v>0</v>
      </c>
      <c r="M30" s="3">
        <v>0</v>
      </c>
      <c r="N30" s="16">
        <v>0</v>
      </c>
      <c r="O30" s="3">
        <v>0</v>
      </c>
      <c r="P30" s="3">
        <v>0</v>
      </c>
      <c r="Q30" s="3">
        <v>0</v>
      </c>
      <c r="R30" s="3">
        <v>0</v>
      </c>
      <c r="S30" s="7"/>
      <c r="T30" s="3">
        <v>0</v>
      </c>
      <c r="U30" s="3">
        <v>0</v>
      </c>
      <c r="V30" s="3">
        <v>0</v>
      </c>
      <c r="W30" s="7"/>
      <c r="X30" s="7"/>
      <c r="Y30" s="7"/>
    </row>
    <row r="31" spans="1:25" ht="26.4">
      <c r="A31" s="10">
        <v>1</v>
      </c>
      <c r="B31" s="10" t="s">
        <v>65</v>
      </c>
      <c r="C31" s="11">
        <v>293</v>
      </c>
      <c r="D31" s="11">
        <v>1</v>
      </c>
      <c r="E31" s="11" t="s">
        <v>66</v>
      </c>
      <c r="F31" s="13" t="str">
        <f>HYPERLINK("https://news.detik.com/berita-jawa-timur/d-4409377/kuasa-hukum-vanessa-angel-ajukan-penangguhan-penahanan ","sumber")</f>
        <v>sumber</v>
      </c>
      <c r="G31" s="11" t="s">
        <v>1</v>
      </c>
      <c r="H31" s="14"/>
      <c r="I31" s="11">
        <v>1</v>
      </c>
      <c r="J31" s="11">
        <v>1</v>
      </c>
      <c r="K31" s="11" t="s">
        <v>67</v>
      </c>
      <c r="L31" s="11">
        <v>0</v>
      </c>
      <c r="M31" s="11">
        <v>0</v>
      </c>
      <c r="N31" s="11">
        <v>-1</v>
      </c>
      <c r="O31" s="11">
        <v>0</v>
      </c>
      <c r="P31" s="11">
        <v>0</v>
      </c>
      <c r="Q31" s="11" t="s">
        <v>68</v>
      </c>
      <c r="R31" s="11" t="s">
        <v>29</v>
      </c>
      <c r="S31" s="14"/>
      <c r="T31" s="11">
        <v>0</v>
      </c>
      <c r="U31" s="11">
        <v>0</v>
      </c>
      <c r="V31" s="11">
        <v>0</v>
      </c>
      <c r="W31" s="14"/>
      <c r="X31" s="14"/>
      <c r="Y31" s="14"/>
    </row>
    <row r="32" spans="1:25" ht="92.4">
      <c r="A32" s="10">
        <v>1</v>
      </c>
      <c r="B32" s="10" t="s">
        <v>69</v>
      </c>
      <c r="C32" s="11">
        <v>294</v>
      </c>
      <c r="D32" s="11">
        <v>3</v>
      </c>
      <c r="E32" s="12">
        <v>43467</v>
      </c>
      <c r="F32" s="13" t="str">
        <f>HYPERLINK("https://celebrity.okezone.com/read/2019/01/31/33/2012177/kebohongan-berujung-bui-untuk-vanessa-angel ","sumber")</f>
        <v>sumber</v>
      </c>
      <c r="G32" s="11" t="s">
        <v>1</v>
      </c>
      <c r="H32" s="14"/>
      <c r="I32" s="11">
        <v>1</v>
      </c>
      <c r="J32" s="11">
        <v>1</v>
      </c>
      <c r="K32" s="11" t="s">
        <v>70</v>
      </c>
      <c r="L32" s="11">
        <v>0</v>
      </c>
      <c r="M32" s="11">
        <v>0</v>
      </c>
      <c r="N32" s="11">
        <v>-1</v>
      </c>
      <c r="O32" s="11">
        <v>0</v>
      </c>
      <c r="P32" s="11">
        <v>0</v>
      </c>
      <c r="Q32" s="11" t="s">
        <v>71</v>
      </c>
      <c r="R32" s="11" t="s">
        <v>72</v>
      </c>
      <c r="S32" s="14"/>
      <c r="T32" s="11">
        <v>0</v>
      </c>
      <c r="U32" s="11">
        <v>0</v>
      </c>
      <c r="V32" s="11">
        <v>0</v>
      </c>
      <c r="W32" s="14"/>
      <c r="X32" s="14"/>
      <c r="Y32" s="14"/>
    </row>
    <row r="33" spans="1:25" ht="26.4">
      <c r="A33" s="10">
        <v>1</v>
      </c>
      <c r="B33" s="10" t="s">
        <v>73</v>
      </c>
      <c r="C33" s="11">
        <v>295</v>
      </c>
      <c r="D33" s="11">
        <v>6</v>
      </c>
      <c r="E33" s="12">
        <v>43557</v>
      </c>
      <c r="F33" s="13" t="str">
        <f>HYPERLINK("https://megapolitan.kompas.com/read/2019/02/04/19522091/alasan-transaksi-prostitusi-online-dilakukan-melalui-aplikasi-line ","sumber")</f>
        <v>sumber</v>
      </c>
      <c r="G33" s="11" t="s">
        <v>1</v>
      </c>
      <c r="H33" s="14"/>
      <c r="I33" s="11">
        <v>1</v>
      </c>
      <c r="J33" s="11">
        <v>1</v>
      </c>
      <c r="K33" s="11" t="s">
        <v>74</v>
      </c>
      <c r="L33" s="11">
        <v>0</v>
      </c>
      <c r="M33" s="11">
        <v>0</v>
      </c>
      <c r="N33" s="15">
        <v>0</v>
      </c>
      <c r="O33" s="11">
        <v>0</v>
      </c>
      <c r="P33" s="11">
        <v>0</v>
      </c>
      <c r="Q33" s="11">
        <v>0</v>
      </c>
      <c r="R33" s="11">
        <v>0</v>
      </c>
      <c r="S33" s="14"/>
      <c r="T33" s="11">
        <v>0</v>
      </c>
      <c r="U33" s="11">
        <v>0</v>
      </c>
      <c r="V33" s="11">
        <v>0</v>
      </c>
      <c r="W33" s="14"/>
      <c r="X33" s="14"/>
      <c r="Y33" s="14"/>
    </row>
    <row r="34" spans="1:25" ht="14.4">
      <c r="A34" s="10">
        <v>1</v>
      </c>
      <c r="B34" s="10" t="s">
        <v>75</v>
      </c>
      <c r="C34" s="11">
        <v>296</v>
      </c>
      <c r="D34" s="11">
        <v>4</v>
      </c>
      <c r="E34" s="11" t="s">
        <v>76</v>
      </c>
      <c r="F34" s="13" t="str">
        <f>HYPERLINK("https://www.liputan6.com/citizen6/read/3893992/kisah-remaja-jadi-badut-demi-bantu-keluarga-kerap-diserang-hingga-pendarahan ","sumber")</f>
        <v>sumber</v>
      </c>
      <c r="G34" s="11" t="s">
        <v>1</v>
      </c>
      <c r="H34" s="14"/>
      <c r="I34" s="11">
        <v>1</v>
      </c>
      <c r="J34" s="11">
        <v>1</v>
      </c>
      <c r="K34" s="11" t="s">
        <v>77</v>
      </c>
      <c r="L34" s="11">
        <v>0</v>
      </c>
      <c r="M34" s="11">
        <v>1</v>
      </c>
      <c r="N34" s="15">
        <v>0</v>
      </c>
      <c r="O34" s="11">
        <v>0</v>
      </c>
      <c r="P34" s="11">
        <v>0</v>
      </c>
      <c r="Q34" s="11">
        <v>2</v>
      </c>
      <c r="R34" s="11">
        <v>0</v>
      </c>
      <c r="S34" s="14"/>
      <c r="T34" s="11">
        <v>0</v>
      </c>
      <c r="U34" s="11">
        <v>0</v>
      </c>
      <c r="V34" s="11">
        <v>0</v>
      </c>
      <c r="W34" s="14"/>
      <c r="X34" s="14"/>
      <c r="Y34" s="14"/>
    </row>
    <row r="35" spans="1:25" ht="26.4">
      <c r="A35" s="10">
        <v>1</v>
      </c>
      <c r="B35" s="10" t="s">
        <v>78</v>
      </c>
      <c r="C35" s="11">
        <v>297</v>
      </c>
      <c r="D35" s="11">
        <v>7</v>
      </c>
      <c r="E35" s="11" t="s">
        <v>76</v>
      </c>
      <c r="F35" s="13" t="str">
        <f>HYPERLINK("http://www.tribunnews.com/nasional/2019/02/13/vanessa-angel-ditahan-bareng-21-orang-di-1-ruangan-pacarnya-bahas-sosok-rian-ada-yang-diuntungkan ","sumber")</f>
        <v>sumber</v>
      </c>
      <c r="G35" s="11" t="s">
        <v>1</v>
      </c>
      <c r="H35" s="14"/>
      <c r="I35" s="11">
        <v>1</v>
      </c>
      <c r="J35" s="11">
        <v>1</v>
      </c>
      <c r="K35" s="11" t="s">
        <v>79</v>
      </c>
      <c r="L35" s="11">
        <v>0</v>
      </c>
      <c r="M35" s="11">
        <v>0</v>
      </c>
      <c r="N35" s="15">
        <v>0</v>
      </c>
      <c r="O35" s="11">
        <v>0</v>
      </c>
      <c r="P35" s="11">
        <v>0</v>
      </c>
      <c r="Q35" s="11" t="s">
        <v>29</v>
      </c>
      <c r="R35" s="11" t="s">
        <v>29</v>
      </c>
      <c r="S35" s="14"/>
      <c r="T35" s="11">
        <v>0</v>
      </c>
      <c r="U35" s="11">
        <v>0</v>
      </c>
      <c r="V35" s="11">
        <v>0</v>
      </c>
      <c r="W35" s="14"/>
      <c r="X35" s="14"/>
      <c r="Y35" s="14"/>
    </row>
    <row r="36" spans="1:25" ht="39.6">
      <c r="A36" s="10">
        <v>1</v>
      </c>
      <c r="B36" s="10" t="s">
        <v>80</v>
      </c>
      <c r="C36" s="11">
        <v>298</v>
      </c>
      <c r="D36" s="11">
        <v>3</v>
      </c>
      <c r="E36" s="11" t="s">
        <v>81</v>
      </c>
      <c r="F36" s="13" t="str">
        <f>HYPERLINK("https://lifestyle.okezone.com/read/2019/02/14/481/2017710/iklan-susu-pembesar-payudara-di-china-dikecam-mengapa ","sumber")</f>
        <v>sumber</v>
      </c>
      <c r="G36" s="11" t="s">
        <v>1</v>
      </c>
      <c r="H36" s="14"/>
      <c r="I36" s="11">
        <v>1</v>
      </c>
      <c r="J36" s="11">
        <v>1</v>
      </c>
      <c r="K36" s="11" t="s">
        <v>82</v>
      </c>
      <c r="L36" s="11">
        <v>0</v>
      </c>
      <c r="M36" s="11">
        <v>0</v>
      </c>
      <c r="N36" s="15">
        <v>0</v>
      </c>
      <c r="O36" s="11">
        <v>0</v>
      </c>
      <c r="P36" s="11">
        <v>0</v>
      </c>
      <c r="Q36" s="11" t="s">
        <v>57</v>
      </c>
      <c r="R36" s="11" t="s">
        <v>57</v>
      </c>
      <c r="S36" s="11" t="s">
        <v>83</v>
      </c>
      <c r="T36" s="11">
        <v>2</v>
      </c>
      <c r="U36" s="11">
        <v>0</v>
      </c>
      <c r="V36" s="11">
        <v>0</v>
      </c>
      <c r="W36" s="14"/>
      <c r="X36" s="14"/>
      <c r="Y36" s="14"/>
    </row>
    <row r="37" spans="1:25" ht="14.4">
      <c r="A37" s="17">
        <v>2</v>
      </c>
      <c r="B37" s="17" t="s">
        <v>84</v>
      </c>
      <c r="C37" s="18">
        <v>299</v>
      </c>
      <c r="D37" s="18">
        <v>5</v>
      </c>
      <c r="E37" s="18" t="s">
        <v>85</v>
      </c>
      <c r="F37" s="20" t="str">
        <f>HYPERLINK("https://tirto.id/bajak-laut-tiga-ratu-kartel-dan-bandit-penumpas-pemerkosa-dhbv ","sumber")</f>
        <v>sumber</v>
      </c>
      <c r="G37" s="18" t="s">
        <v>1</v>
      </c>
      <c r="H37" s="19"/>
      <c r="I37" s="18">
        <v>2</v>
      </c>
      <c r="J37" s="18">
        <v>1</v>
      </c>
      <c r="K37" s="18" t="s">
        <v>86</v>
      </c>
      <c r="L37" s="18">
        <v>0</v>
      </c>
      <c r="M37" s="18">
        <v>0</v>
      </c>
      <c r="N37" s="27">
        <v>0</v>
      </c>
      <c r="O37" s="18">
        <v>0</v>
      </c>
      <c r="P37" s="18">
        <v>0</v>
      </c>
      <c r="Q37" s="18" t="s">
        <v>87</v>
      </c>
      <c r="R37" s="18" t="s">
        <v>29</v>
      </c>
      <c r="S37" s="19"/>
      <c r="T37" s="18">
        <v>0</v>
      </c>
      <c r="U37" s="18">
        <v>0</v>
      </c>
      <c r="V37" s="18">
        <v>0</v>
      </c>
      <c r="W37" s="19"/>
      <c r="X37" s="19"/>
      <c r="Y37" s="19"/>
    </row>
    <row r="38" spans="1:25" ht="26.4">
      <c r="A38" s="2">
        <v>1</v>
      </c>
      <c r="B38" s="2" t="s">
        <v>88</v>
      </c>
      <c r="C38" s="3">
        <v>300</v>
      </c>
      <c r="D38" s="3">
        <v>2</v>
      </c>
      <c r="E38" s="4">
        <v>43467</v>
      </c>
      <c r="F38" s="5" t="str">
        <f>HYPERLINK("https://www.cnnindonesia.com/nasional/20190201132052-12-365663/emak-emak-gelar-aksi-savevanessa-di-polda-jatim ","sumber")</f>
        <v>sumber</v>
      </c>
      <c r="G38" s="3" t="s">
        <v>1</v>
      </c>
      <c r="H38" s="3">
        <v>408</v>
      </c>
      <c r="I38" s="3">
        <v>3</v>
      </c>
      <c r="J38" s="3">
        <v>1</v>
      </c>
      <c r="K38" s="3" t="s">
        <v>89</v>
      </c>
      <c r="L38" s="3">
        <v>0</v>
      </c>
      <c r="M38" s="3">
        <v>0</v>
      </c>
      <c r="N38" s="16">
        <v>0</v>
      </c>
      <c r="O38" s="3">
        <v>0</v>
      </c>
      <c r="P38" s="3">
        <v>0</v>
      </c>
      <c r="Q38" s="3" t="s">
        <v>29</v>
      </c>
      <c r="R38" s="3" t="s">
        <v>68</v>
      </c>
      <c r="S38" s="7"/>
      <c r="T38" s="3">
        <v>0</v>
      </c>
      <c r="U38" s="3">
        <v>0</v>
      </c>
      <c r="V38" s="3">
        <v>0</v>
      </c>
      <c r="W38" s="7"/>
      <c r="X38" s="7"/>
      <c r="Y38" s="7"/>
    </row>
    <row r="39" spans="1:25" ht="66">
      <c r="A39" s="2">
        <v>1</v>
      </c>
      <c r="B39" s="2" t="s">
        <v>90</v>
      </c>
      <c r="C39" s="3">
        <v>301</v>
      </c>
      <c r="D39" s="3">
        <v>3</v>
      </c>
      <c r="E39" s="3" t="s">
        <v>91</v>
      </c>
      <c r="F39" s="5" t="str">
        <f>HYPERLINK(" https://news.okezone.com/read/2019/03/15/18/2030244/jika-menang-pemilu-pihak-oposisi-australia-akan-permudah-aborsi ","sumber")</f>
        <v>sumber</v>
      </c>
      <c r="G39" s="3" t="s">
        <v>1</v>
      </c>
      <c r="H39" s="3">
        <v>714</v>
      </c>
      <c r="I39" s="3">
        <v>4</v>
      </c>
      <c r="J39" s="3">
        <v>1</v>
      </c>
      <c r="K39" s="3" t="s">
        <v>92</v>
      </c>
      <c r="L39" s="3">
        <v>0</v>
      </c>
      <c r="M39" s="3">
        <v>0</v>
      </c>
      <c r="N39" s="16">
        <v>0</v>
      </c>
      <c r="O39" s="3">
        <v>0</v>
      </c>
      <c r="P39" s="3">
        <v>0</v>
      </c>
      <c r="Q39" s="3" t="s">
        <v>93</v>
      </c>
      <c r="R39" s="3" t="s">
        <v>94</v>
      </c>
      <c r="S39" s="7"/>
      <c r="T39" s="3">
        <v>0</v>
      </c>
      <c r="U39" s="3">
        <v>0</v>
      </c>
      <c r="V39" s="3">
        <v>1</v>
      </c>
      <c r="W39" s="7"/>
      <c r="X39" s="7"/>
      <c r="Y39" s="7"/>
    </row>
    <row r="40" spans="1:25" ht="14.4">
      <c r="A40" s="10">
        <v>1</v>
      </c>
      <c r="B40" s="10" t="s">
        <v>95</v>
      </c>
      <c r="C40" s="11">
        <v>302</v>
      </c>
      <c r="D40" s="11">
        <v>6</v>
      </c>
      <c r="E40" s="12">
        <v>43558</v>
      </c>
      <c r="F40" s="13" t="str">
        <f>HYPERLINK("https://regional.kompas.com/read/2019/03/04/19040581/korban-pencabulan-bermodus-pengobatan-oleh-ayah-tiri-sempat-depresi ","sumber")</f>
        <v>sumber</v>
      </c>
      <c r="G40" s="11" t="s">
        <v>1</v>
      </c>
      <c r="H40" s="14"/>
      <c r="I40" s="11">
        <v>1</v>
      </c>
      <c r="J40" s="11">
        <v>1</v>
      </c>
      <c r="K40" s="11" t="s">
        <v>96</v>
      </c>
      <c r="L40" s="11">
        <v>0</v>
      </c>
      <c r="M40" s="3">
        <v>0</v>
      </c>
      <c r="N40" s="15">
        <v>0</v>
      </c>
      <c r="O40" s="11">
        <v>1</v>
      </c>
      <c r="P40" s="11">
        <v>0</v>
      </c>
      <c r="Q40" s="11">
        <v>0</v>
      </c>
      <c r="R40" s="11">
        <v>0</v>
      </c>
      <c r="S40" s="14"/>
      <c r="T40" s="11">
        <v>0</v>
      </c>
      <c r="U40" s="11">
        <v>0</v>
      </c>
      <c r="V40" s="11">
        <v>0</v>
      </c>
      <c r="W40" s="14"/>
      <c r="X40" s="14"/>
      <c r="Y40" s="14"/>
    </row>
    <row r="41" spans="1:25" ht="26.4">
      <c r="A41" s="10">
        <v>1</v>
      </c>
      <c r="B41" s="10" t="s">
        <v>97</v>
      </c>
      <c r="C41" s="11">
        <v>303</v>
      </c>
      <c r="D41" s="11">
        <v>1</v>
      </c>
      <c r="E41" s="12">
        <v>43619</v>
      </c>
      <c r="F41" s="13" t="str">
        <f>HYPERLINK("https://news.detik.com/berita/d-4456055/sidang-gugatan-rp-1-t-terkait-dugaan-pencabulan-eks-dewas-bpjs-tk-ditunda ","sumber")</f>
        <v>sumber</v>
      </c>
      <c r="G41" s="11" t="s">
        <v>1</v>
      </c>
      <c r="H41" s="14"/>
      <c r="I41" s="11">
        <v>1</v>
      </c>
      <c r="J41" s="11">
        <v>1</v>
      </c>
      <c r="K41" s="11" t="s">
        <v>98</v>
      </c>
      <c r="L41" s="11">
        <v>0</v>
      </c>
      <c r="M41" s="11">
        <v>0</v>
      </c>
      <c r="N41" s="15">
        <v>0</v>
      </c>
      <c r="O41" s="11">
        <v>0</v>
      </c>
      <c r="P41" s="11">
        <v>0</v>
      </c>
      <c r="Q41" s="11" t="s">
        <v>99</v>
      </c>
      <c r="R41" s="11" t="s">
        <v>21</v>
      </c>
      <c r="S41" s="14"/>
      <c r="T41" s="11">
        <v>0</v>
      </c>
      <c r="U41" s="11">
        <v>0</v>
      </c>
      <c r="V41" s="11">
        <v>0</v>
      </c>
      <c r="W41" s="14"/>
      <c r="X41" s="14"/>
      <c r="Y41" s="14"/>
    </row>
    <row r="42" spans="1:25" ht="14.4">
      <c r="A42" s="10">
        <v>1</v>
      </c>
      <c r="B42" s="10" t="s">
        <v>100</v>
      </c>
      <c r="C42" s="11">
        <v>304</v>
      </c>
      <c r="D42" s="11">
        <v>4</v>
      </c>
      <c r="E42" s="12">
        <v>43619</v>
      </c>
      <c r="F42" s="13" t="str">
        <f>HYPERLINK("https://www.liputan6.com/news/read/3911165/saraswati-ada-edukasi-perlindungan-perempuan-dalam-film-dilan-1991 ","sumber")</f>
        <v>sumber</v>
      </c>
      <c r="G42" s="11" t="s">
        <v>1</v>
      </c>
      <c r="H42" s="14"/>
      <c r="I42" s="11">
        <v>3</v>
      </c>
      <c r="J42" s="11">
        <v>1</v>
      </c>
      <c r="K42" s="11" t="s">
        <v>101</v>
      </c>
      <c r="L42" s="11">
        <v>0</v>
      </c>
      <c r="M42" s="11">
        <v>0</v>
      </c>
      <c r="N42" s="15">
        <v>0</v>
      </c>
      <c r="O42" s="11">
        <v>0</v>
      </c>
      <c r="P42" s="11">
        <v>0</v>
      </c>
      <c r="Q42" s="11">
        <v>0</v>
      </c>
      <c r="R42" s="11">
        <v>1</v>
      </c>
      <c r="S42" s="14"/>
      <c r="T42" s="11">
        <v>0</v>
      </c>
      <c r="U42" s="11">
        <v>0</v>
      </c>
      <c r="V42" s="11">
        <v>0</v>
      </c>
      <c r="W42" s="14"/>
      <c r="X42" s="14"/>
      <c r="Y42" s="14"/>
    </row>
    <row r="43" spans="1:25" ht="14.4">
      <c r="A43" s="10">
        <v>1</v>
      </c>
      <c r="B43" s="10" t="s">
        <v>102</v>
      </c>
      <c r="C43" s="11">
        <v>305</v>
      </c>
      <c r="D43" s="11">
        <v>8</v>
      </c>
      <c r="E43" s="12">
        <v>43772</v>
      </c>
      <c r="F43" s="13" t="str">
        <f>HYPERLINK("https://www.suara.com/lifestyle/2019/03/11/133000/foto-meghan-markle-dikomentari-negatif-ini-tindakan-kerajaan-inggris ","sumber")</f>
        <v>sumber</v>
      </c>
      <c r="G43" s="11" t="s">
        <v>1</v>
      </c>
      <c r="H43" s="14"/>
      <c r="I43" s="11">
        <v>1</v>
      </c>
      <c r="J43" s="11">
        <v>1</v>
      </c>
      <c r="K43" s="11" t="s">
        <v>103</v>
      </c>
      <c r="L43" s="11">
        <v>0</v>
      </c>
      <c r="M43" s="11">
        <v>0</v>
      </c>
      <c r="N43" s="15">
        <v>0</v>
      </c>
      <c r="O43" s="11">
        <v>0</v>
      </c>
      <c r="P43" s="11">
        <v>0</v>
      </c>
      <c r="Q43" s="11">
        <v>0</v>
      </c>
      <c r="R43" s="11">
        <v>1</v>
      </c>
      <c r="S43" s="14"/>
      <c r="T43" s="11">
        <v>0</v>
      </c>
      <c r="U43" s="11">
        <v>0</v>
      </c>
      <c r="V43" s="11">
        <v>0</v>
      </c>
      <c r="W43" s="14"/>
      <c r="X43" s="14"/>
      <c r="Y43" s="14"/>
    </row>
    <row r="44" spans="1:25" ht="14.4">
      <c r="A44" s="10">
        <v>1</v>
      </c>
      <c r="B44" s="10" t="s">
        <v>104</v>
      </c>
      <c r="C44" s="11">
        <v>306</v>
      </c>
      <c r="D44" s="11">
        <v>10</v>
      </c>
      <c r="E44" s="12">
        <v>43802</v>
      </c>
      <c r="F44" s="13" t="str">
        <f>HYPERLINK("https://tekno.tempo.co/read/1184473/google-bayar-rp-15-t-dua-eksekutif-yang-terlibat-pelecehan ","sumber")</f>
        <v>sumber</v>
      </c>
      <c r="G44" s="11" t="s">
        <v>1</v>
      </c>
      <c r="H44" s="14"/>
      <c r="I44" s="11">
        <v>1</v>
      </c>
      <c r="J44" s="11">
        <v>1</v>
      </c>
      <c r="K44" s="11" t="s">
        <v>105</v>
      </c>
      <c r="L44" s="11">
        <v>0</v>
      </c>
      <c r="M44" s="11">
        <v>0</v>
      </c>
      <c r="N44" s="15">
        <v>0</v>
      </c>
      <c r="O44" s="11">
        <v>0</v>
      </c>
      <c r="P44" s="11">
        <v>0</v>
      </c>
      <c r="Q44" s="11" t="s">
        <v>21</v>
      </c>
      <c r="R44" s="11" t="s">
        <v>106</v>
      </c>
      <c r="S44" s="14"/>
      <c r="T44" s="11">
        <v>0</v>
      </c>
      <c r="U44" s="11">
        <v>0</v>
      </c>
      <c r="V44" s="11">
        <v>0</v>
      </c>
      <c r="W44" s="14"/>
      <c r="X44" s="14"/>
      <c r="Y44" s="14"/>
    </row>
    <row r="45" spans="1:25" ht="14.4">
      <c r="A45" s="2">
        <v>1</v>
      </c>
      <c r="B45" s="2" t="s">
        <v>107</v>
      </c>
      <c r="C45" s="3">
        <v>307</v>
      </c>
      <c r="D45" s="3">
        <v>8</v>
      </c>
      <c r="E45" s="4">
        <v>43649</v>
      </c>
      <c r="F45" s="5" t="str">
        <f>HYPERLINK("https://www.suara.com/news/2019/03/07/162523/diperkosa-ibu-bakar-diri-bersama-pelakunya ","sumber")</f>
        <v>sumber</v>
      </c>
      <c r="G45" s="3" t="s">
        <v>1</v>
      </c>
      <c r="H45" s="3">
        <v>260</v>
      </c>
      <c r="I45" s="3">
        <v>1</v>
      </c>
      <c r="J45" s="3">
        <v>1</v>
      </c>
      <c r="K45" s="3" t="s">
        <v>108</v>
      </c>
      <c r="L45" s="3">
        <v>0</v>
      </c>
      <c r="M45" s="3">
        <v>0</v>
      </c>
      <c r="N45" s="16">
        <v>0</v>
      </c>
      <c r="O45" s="3">
        <v>0</v>
      </c>
      <c r="P45" s="3">
        <v>0</v>
      </c>
      <c r="Q45" s="3">
        <v>0</v>
      </c>
      <c r="R45" s="3">
        <v>0</v>
      </c>
      <c r="S45" s="7"/>
      <c r="T45" s="3">
        <v>0</v>
      </c>
      <c r="U45" s="3">
        <v>0</v>
      </c>
      <c r="V45" s="3">
        <v>0</v>
      </c>
      <c r="W45" s="7"/>
      <c r="X45" s="7"/>
      <c r="Y45" s="7"/>
    </row>
    <row r="46" spans="1:25" ht="118.8">
      <c r="A46" s="10">
        <v>1</v>
      </c>
      <c r="B46" s="10" t="s">
        <v>109</v>
      </c>
      <c r="C46" s="11">
        <v>308</v>
      </c>
      <c r="D46" s="11">
        <v>5</v>
      </c>
      <c r="E46" s="11" t="s">
        <v>110</v>
      </c>
      <c r="F46" s="13" t="str">
        <f>HYPERLINK("https://tirto.id/eh-agni-dan-ugm-yang-tak-tegas-menangani-kasus-kekerasan-seksual-dju2 ","sumber")</f>
        <v>sumber</v>
      </c>
      <c r="G46" s="11" t="s">
        <v>1</v>
      </c>
      <c r="H46" s="14"/>
      <c r="I46" s="11">
        <v>1</v>
      </c>
      <c r="J46" s="11">
        <v>1</v>
      </c>
      <c r="K46" s="11" t="s">
        <v>111</v>
      </c>
      <c r="L46" s="11">
        <v>0</v>
      </c>
      <c r="M46" s="11">
        <v>0</v>
      </c>
      <c r="N46" s="15">
        <v>0</v>
      </c>
      <c r="O46" s="11">
        <v>0</v>
      </c>
      <c r="P46" s="11">
        <v>0</v>
      </c>
      <c r="Q46" s="11" t="s">
        <v>112</v>
      </c>
      <c r="R46" s="11" t="s">
        <v>113</v>
      </c>
      <c r="S46" s="14"/>
      <c r="T46" s="11">
        <v>0</v>
      </c>
      <c r="U46" s="11">
        <v>0</v>
      </c>
      <c r="V46" s="11">
        <v>0</v>
      </c>
      <c r="W46" s="14"/>
      <c r="X46" s="14"/>
      <c r="Y46" s="14"/>
    </row>
    <row r="47" spans="1:25" ht="52.8">
      <c r="A47" s="10">
        <v>1</v>
      </c>
      <c r="B47" s="10" t="s">
        <v>114</v>
      </c>
      <c r="C47" s="11">
        <v>309</v>
      </c>
      <c r="D47" s="11">
        <v>9</v>
      </c>
      <c r="E47" s="11" t="s">
        <v>115</v>
      </c>
      <c r="F47" s="13" t="str">
        <f>HYPERLINK("https://nasional.republika.co.id/berita/nasional/daerah/pog61o320/pencabulan-dominasi-kasus-kekerasaan-anak-di-pekanbaru ","sumber")</f>
        <v>sumber</v>
      </c>
      <c r="G47" s="11" t="s">
        <v>1</v>
      </c>
      <c r="H47" s="14"/>
      <c r="I47" s="11">
        <v>1</v>
      </c>
      <c r="J47" s="11">
        <v>1</v>
      </c>
      <c r="K47" s="11" t="s">
        <v>116</v>
      </c>
      <c r="L47" s="11">
        <v>0</v>
      </c>
      <c r="M47" s="11">
        <v>0</v>
      </c>
      <c r="N47" s="15">
        <v>0</v>
      </c>
      <c r="O47" s="11">
        <v>0</v>
      </c>
      <c r="P47" s="11">
        <v>0</v>
      </c>
      <c r="Q47" s="11">
        <v>0</v>
      </c>
      <c r="R47" s="11">
        <v>0</v>
      </c>
      <c r="S47" s="14"/>
      <c r="T47" s="11">
        <v>0</v>
      </c>
      <c r="U47" s="11">
        <v>0</v>
      </c>
      <c r="V47" s="11">
        <v>0</v>
      </c>
      <c r="W47" s="14"/>
      <c r="X47" s="14"/>
      <c r="Y47" s="14"/>
    </row>
    <row r="48" spans="1:25" ht="14.4">
      <c r="A48" s="10">
        <v>1</v>
      </c>
      <c r="B48" s="10" t="s">
        <v>117</v>
      </c>
      <c r="C48" s="11">
        <v>310</v>
      </c>
      <c r="D48" s="11">
        <v>9</v>
      </c>
      <c r="E48" s="11" t="s">
        <v>118</v>
      </c>
      <c r="F48" s="13" t="str">
        <f>HYPERLINK("https://senggang.republika.co.id/berita/senggang/asia-pop/pohssn459/kasus-seungri-kotori-jasa-besar-hallyu-pada-ekonomi-korsel ","sumber")</f>
        <v>sumber</v>
      </c>
      <c r="G48" s="11" t="s">
        <v>1</v>
      </c>
      <c r="H48" s="14"/>
      <c r="I48" s="11">
        <v>1</v>
      </c>
      <c r="J48" s="11">
        <v>1</v>
      </c>
      <c r="K48" s="11" t="s">
        <v>119</v>
      </c>
      <c r="L48" s="11">
        <v>0</v>
      </c>
      <c r="M48" s="11">
        <v>0</v>
      </c>
      <c r="N48" s="15">
        <v>0</v>
      </c>
      <c r="O48" s="11">
        <v>0</v>
      </c>
      <c r="P48" s="11">
        <v>0</v>
      </c>
      <c r="Q48" s="11">
        <v>0</v>
      </c>
      <c r="R48" s="11">
        <v>0</v>
      </c>
      <c r="S48" s="14"/>
      <c r="T48" s="11">
        <v>0</v>
      </c>
      <c r="U48" s="11">
        <v>0</v>
      </c>
      <c r="V48" s="11">
        <v>0</v>
      </c>
      <c r="W48" s="14"/>
      <c r="X48" s="14"/>
      <c r="Y48" s="14"/>
    </row>
    <row r="49" spans="1:25" ht="14.4">
      <c r="A49" s="2">
        <v>1</v>
      </c>
      <c r="B49" s="2" t="s">
        <v>120</v>
      </c>
      <c r="C49" s="3">
        <v>311</v>
      </c>
      <c r="D49" s="3">
        <v>9</v>
      </c>
      <c r="E49" s="3" t="s">
        <v>121</v>
      </c>
      <c r="F49" s="5" t="str">
        <f>HYPERLINK("https://internasional.republika.co.id/berita/internasional/eropa/po9x7b382/sebut-korban-pemerkosaan-jelek-pengadilan-italia-diprotes ","sumber")</f>
        <v>sumber</v>
      </c>
      <c r="G49" s="3" t="s">
        <v>1</v>
      </c>
      <c r="H49" s="3">
        <v>219</v>
      </c>
      <c r="I49" s="3">
        <v>1</v>
      </c>
      <c r="J49" s="3">
        <v>1</v>
      </c>
      <c r="K49" s="3" t="s">
        <v>122</v>
      </c>
      <c r="L49" s="3">
        <v>0</v>
      </c>
      <c r="M49" s="3">
        <v>0</v>
      </c>
      <c r="N49" s="16">
        <v>0</v>
      </c>
      <c r="O49" s="3">
        <v>0</v>
      </c>
      <c r="P49" s="3">
        <v>0</v>
      </c>
      <c r="Q49" s="3">
        <v>0</v>
      </c>
      <c r="R49" s="3">
        <v>0</v>
      </c>
      <c r="S49" s="7"/>
      <c r="T49" s="3">
        <v>0</v>
      </c>
      <c r="U49" s="3">
        <v>0</v>
      </c>
      <c r="V49" s="3">
        <v>0</v>
      </c>
      <c r="W49" s="7"/>
      <c r="X49" s="7"/>
      <c r="Y49" s="7"/>
    </row>
    <row r="50" spans="1:25" ht="14.4">
      <c r="A50" s="10">
        <v>1</v>
      </c>
      <c r="B50" s="10" t="s">
        <v>123</v>
      </c>
      <c r="C50" s="11">
        <v>312</v>
      </c>
      <c r="D50" s="11">
        <v>3</v>
      </c>
      <c r="E50" s="11" t="s">
        <v>124</v>
      </c>
      <c r="F50" s="13" t="str">
        <f>HYPERLINK("https://news.okezone.com/read/2019/03/21/65/2032980/kekerasan-seksual-berbasis-siber-apa-itu ","sumber")</f>
        <v>sumber</v>
      </c>
      <c r="G50" s="11" t="s">
        <v>1</v>
      </c>
      <c r="H50" s="14"/>
      <c r="I50" s="11">
        <v>1</v>
      </c>
      <c r="J50" s="11">
        <v>1</v>
      </c>
      <c r="K50" s="11" t="s">
        <v>125</v>
      </c>
      <c r="L50" s="11">
        <v>0</v>
      </c>
      <c r="M50" s="11">
        <v>0</v>
      </c>
      <c r="N50" s="15">
        <v>0</v>
      </c>
      <c r="O50" s="11">
        <v>0</v>
      </c>
      <c r="P50" s="11">
        <v>0</v>
      </c>
      <c r="Q50" s="11">
        <v>0</v>
      </c>
      <c r="R50" s="11">
        <v>1</v>
      </c>
      <c r="S50" s="14"/>
      <c r="T50" s="11">
        <v>0</v>
      </c>
      <c r="U50" s="11">
        <v>0</v>
      </c>
      <c r="V50" s="11">
        <v>0</v>
      </c>
      <c r="W50" s="14"/>
      <c r="X50" s="14"/>
      <c r="Y50" s="14"/>
    </row>
    <row r="51" spans="1:25" ht="14.4">
      <c r="A51" s="10">
        <v>1</v>
      </c>
      <c r="B51" s="10" t="s">
        <v>126</v>
      </c>
      <c r="C51" s="11">
        <v>313</v>
      </c>
      <c r="D51" s="11">
        <v>1</v>
      </c>
      <c r="E51" s="11" t="s">
        <v>127</v>
      </c>
      <c r="F51" s="13" t="str">
        <f>HYPERLINK("https://news.detik.com/berita-jawa-timur/d-4483774/muncikari-sudah-disidang-kapan-giliran-vanessa-angel ","sumber")</f>
        <v>sumber</v>
      </c>
      <c r="G51" s="11" t="s">
        <v>1</v>
      </c>
      <c r="H51" s="14"/>
      <c r="I51" s="11">
        <v>1</v>
      </c>
      <c r="J51" s="11">
        <v>1</v>
      </c>
      <c r="K51" s="11" t="s">
        <v>128</v>
      </c>
      <c r="L51" s="11">
        <v>0</v>
      </c>
      <c r="M51" s="11">
        <v>0</v>
      </c>
      <c r="N51" s="15">
        <v>0</v>
      </c>
      <c r="O51" s="11">
        <v>0</v>
      </c>
      <c r="P51" s="11">
        <v>0</v>
      </c>
      <c r="Q51" s="11">
        <v>0</v>
      </c>
      <c r="R51" s="11">
        <v>0</v>
      </c>
      <c r="S51" s="14"/>
      <c r="T51" s="11">
        <v>0</v>
      </c>
      <c r="U51" s="11">
        <v>0</v>
      </c>
      <c r="V51" s="11">
        <v>0</v>
      </c>
      <c r="W51" s="14"/>
      <c r="X51" s="14"/>
      <c r="Y51" s="14"/>
    </row>
    <row r="52" spans="1:25" ht="26.4">
      <c r="A52" s="2">
        <v>1</v>
      </c>
      <c r="B52" s="2" t="s">
        <v>129</v>
      </c>
      <c r="C52" s="3">
        <v>314</v>
      </c>
      <c r="D52" s="3">
        <v>5</v>
      </c>
      <c r="E52" s="4">
        <v>43468</v>
      </c>
      <c r="F52" s="5" t="str">
        <f>HYPERLINK("https://tirto.id/pkbi-nilai-aturan-soal-aborsi-aman-belum-berpihak-pada-perempuan-didM ","sumber")</f>
        <v>sumber</v>
      </c>
      <c r="G52" s="3" t="s">
        <v>1</v>
      </c>
      <c r="H52" s="3">
        <v>266</v>
      </c>
      <c r="I52" s="3">
        <v>4</v>
      </c>
      <c r="J52" s="3">
        <v>1</v>
      </c>
      <c r="K52" s="3" t="s">
        <v>130</v>
      </c>
      <c r="L52" s="3">
        <v>0</v>
      </c>
      <c r="M52" s="3">
        <v>0</v>
      </c>
      <c r="N52" s="16">
        <v>0</v>
      </c>
      <c r="O52" s="3">
        <v>0</v>
      </c>
      <c r="P52" s="3">
        <v>0</v>
      </c>
      <c r="Q52" s="3">
        <v>0</v>
      </c>
      <c r="R52" s="3">
        <v>1</v>
      </c>
      <c r="S52" s="7"/>
      <c r="T52" s="3">
        <v>0</v>
      </c>
      <c r="U52" s="3">
        <v>0</v>
      </c>
      <c r="V52" s="3">
        <v>1</v>
      </c>
      <c r="W52" s="7"/>
      <c r="X52" s="7"/>
      <c r="Y52" s="7"/>
    </row>
    <row r="53" spans="1:25" ht="26.4">
      <c r="A53" s="10">
        <v>1</v>
      </c>
      <c r="B53" s="10" t="s">
        <v>131</v>
      </c>
      <c r="C53" s="11">
        <v>315</v>
      </c>
      <c r="D53" s="11">
        <v>6</v>
      </c>
      <c r="E53" s="11" t="s">
        <v>132</v>
      </c>
      <c r="F53" s="13" t="str">
        <f>HYPERLINK("https://olahraga.kompas.com/read/2019/03/30/00202808/lakukan-pelecehan-pulev-terkena-sanksi ","sumber")</f>
        <v>sumber</v>
      </c>
      <c r="G53" s="11" t="s">
        <v>1</v>
      </c>
      <c r="H53" s="14"/>
      <c r="I53" s="11">
        <v>1</v>
      </c>
      <c r="J53" s="11">
        <v>1</v>
      </c>
      <c r="K53" s="11" t="s">
        <v>133</v>
      </c>
      <c r="L53" s="11">
        <v>0</v>
      </c>
      <c r="M53" s="11">
        <v>1</v>
      </c>
      <c r="N53" s="15">
        <v>0</v>
      </c>
      <c r="O53" s="11">
        <v>0</v>
      </c>
      <c r="P53" s="11">
        <v>0</v>
      </c>
      <c r="Q53" s="11" t="s">
        <v>134</v>
      </c>
      <c r="R53" s="11" t="s">
        <v>135</v>
      </c>
      <c r="S53" s="14"/>
      <c r="T53" s="11">
        <v>0</v>
      </c>
      <c r="U53" s="11">
        <v>0</v>
      </c>
      <c r="V53" s="11">
        <v>0</v>
      </c>
      <c r="W53" s="14"/>
      <c r="X53" s="14"/>
      <c r="Y53" s="14"/>
    </row>
    <row r="54" spans="1:25" ht="14.4">
      <c r="A54" s="10">
        <v>1</v>
      </c>
      <c r="B54" s="10" t="s">
        <v>136</v>
      </c>
      <c r="C54" s="11">
        <v>316</v>
      </c>
      <c r="D54" s="11">
        <v>7</v>
      </c>
      <c r="E54" s="11" t="s">
        <v>132</v>
      </c>
      <c r="F54" s="13" t="str">
        <f>HYPERLINK("http://www.tribunnews.com/seleb/2019/03/30/merasa-tak-adil-rian-tak-dihukum-kuasa-hukum-vanessa-angel-sampai-segitunya-menutupi-laki-lakinya ","sumber")</f>
        <v>sumber</v>
      </c>
      <c r="G54" s="11" t="s">
        <v>1</v>
      </c>
      <c r="H54" s="14"/>
      <c r="I54" s="11">
        <v>1</v>
      </c>
      <c r="J54" s="11">
        <v>1</v>
      </c>
      <c r="K54" s="11" t="s">
        <v>137</v>
      </c>
      <c r="L54" s="11">
        <v>0</v>
      </c>
      <c r="M54" s="11">
        <v>0</v>
      </c>
      <c r="N54" s="11">
        <v>-1</v>
      </c>
      <c r="O54" s="11">
        <v>0</v>
      </c>
      <c r="P54" s="11">
        <v>0</v>
      </c>
      <c r="Q54" s="11">
        <v>0</v>
      </c>
      <c r="R54" s="11">
        <v>0</v>
      </c>
      <c r="S54" s="14"/>
      <c r="T54" s="11">
        <v>0</v>
      </c>
      <c r="U54" s="11">
        <v>0</v>
      </c>
      <c r="V54" s="11">
        <v>0</v>
      </c>
      <c r="W54" s="14"/>
      <c r="X54" s="14"/>
      <c r="Y54" s="14"/>
    </row>
    <row r="55" spans="1:25" ht="26.4">
      <c r="A55" s="10">
        <v>1</v>
      </c>
      <c r="B55" s="10" t="s">
        <v>138</v>
      </c>
      <c r="C55" s="11">
        <v>317</v>
      </c>
      <c r="D55" s="11">
        <v>2</v>
      </c>
      <c r="E55" s="11" t="s">
        <v>139</v>
      </c>
      <c r="F55" s="13" t="str">
        <f>HYPERLINK("https://www.cnnindonesia.com/nasional/20190331160922-32-382291/rhoma-irama-sebut-ruu-pks-legalkan-zina-dan-lgbt ","sumber")</f>
        <v>sumber</v>
      </c>
      <c r="G55" s="11" t="s">
        <v>1</v>
      </c>
      <c r="H55" s="14"/>
      <c r="I55" s="11">
        <v>4</v>
      </c>
      <c r="J55" s="11">
        <v>1</v>
      </c>
      <c r="K55" s="11" t="s">
        <v>140</v>
      </c>
      <c r="L55" s="11">
        <v>0</v>
      </c>
      <c r="M55" s="11">
        <v>0</v>
      </c>
      <c r="N55" s="15">
        <v>0</v>
      </c>
      <c r="O55" s="11">
        <v>0</v>
      </c>
      <c r="P55" s="11">
        <v>0</v>
      </c>
      <c r="Q55" s="11" t="s">
        <v>29</v>
      </c>
      <c r="R55" s="11" t="s">
        <v>141</v>
      </c>
      <c r="S55" s="14"/>
      <c r="T55" s="11">
        <v>0</v>
      </c>
      <c r="U55" s="11">
        <v>0</v>
      </c>
      <c r="V55" s="11">
        <v>1</v>
      </c>
      <c r="W55" s="14"/>
      <c r="X55" s="14"/>
      <c r="Y55" s="14"/>
    </row>
    <row r="56" spans="1:25" ht="14.4">
      <c r="A56" s="10">
        <v>1</v>
      </c>
      <c r="B56" s="10" t="s">
        <v>142</v>
      </c>
      <c r="C56" s="11">
        <v>318</v>
      </c>
      <c r="D56" s="11">
        <v>8</v>
      </c>
      <c r="E56" s="11" t="s">
        <v>139</v>
      </c>
      <c r="F56" s="13" t="str">
        <f>HYPERLINK("https://www.suara.com/entertainment/2019/03/31/205112/vanessa-angel-diborgol-pengacara-apa-perlu-sampai-segitunya ","sumber")</f>
        <v>sumber</v>
      </c>
      <c r="G56" s="11" t="s">
        <v>1</v>
      </c>
      <c r="H56" s="14"/>
      <c r="I56" s="11">
        <v>1</v>
      </c>
      <c r="J56" s="11">
        <v>1</v>
      </c>
      <c r="K56" s="11" t="s">
        <v>137</v>
      </c>
      <c r="L56" s="11">
        <v>0</v>
      </c>
      <c r="M56" s="11">
        <v>0</v>
      </c>
      <c r="N56" s="11">
        <v>-1</v>
      </c>
      <c r="O56" s="11">
        <v>0</v>
      </c>
      <c r="P56" s="11">
        <v>0</v>
      </c>
      <c r="Q56" s="11">
        <v>0</v>
      </c>
      <c r="R56" s="11">
        <v>0</v>
      </c>
      <c r="S56" s="14"/>
      <c r="T56" s="11">
        <v>0</v>
      </c>
      <c r="U56" s="11">
        <v>0</v>
      </c>
      <c r="V56" s="11">
        <v>0</v>
      </c>
      <c r="W56" s="14"/>
      <c r="X56" s="14"/>
      <c r="Y56" s="14"/>
    </row>
    <row r="57" spans="1:25" ht="14.4">
      <c r="A57" s="10">
        <v>1</v>
      </c>
      <c r="B57" s="10" t="s">
        <v>143</v>
      </c>
      <c r="C57" s="11">
        <v>319</v>
      </c>
      <c r="D57" s="11">
        <v>3</v>
      </c>
      <c r="E57" s="12">
        <v>43500</v>
      </c>
      <c r="F57" s="13" t="str">
        <f>HYPERLINK("https://news.okezone.com/read/2019/04/02/244/2038142/menolak-beli-nasi-istri-dihajar-suami-hingga-babak-belur ","sumber")</f>
        <v>sumber</v>
      </c>
      <c r="G57" s="11" t="s">
        <v>1</v>
      </c>
      <c r="H57" s="14"/>
      <c r="I57" s="11">
        <v>1</v>
      </c>
      <c r="J57" s="11">
        <v>1</v>
      </c>
      <c r="K57" s="11" t="s">
        <v>144</v>
      </c>
      <c r="L57" s="11">
        <v>0</v>
      </c>
      <c r="M57" s="11">
        <v>0</v>
      </c>
      <c r="N57" s="15">
        <v>0</v>
      </c>
      <c r="O57" s="11">
        <v>0</v>
      </c>
      <c r="P57" s="11">
        <v>0</v>
      </c>
      <c r="Q57" s="11">
        <v>0</v>
      </c>
      <c r="R57" s="11">
        <v>0</v>
      </c>
      <c r="S57" s="14"/>
      <c r="T57" s="11">
        <v>0</v>
      </c>
      <c r="U57" s="11">
        <v>0</v>
      </c>
      <c r="V57" s="11">
        <v>0</v>
      </c>
      <c r="W57" s="14"/>
      <c r="X57" s="14"/>
      <c r="Y57" s="14"/>
    </row>
    <row r="58" spans="1:25" ht="14.4">
      <c r="A58" s="10">
        <v>1</v>
      </c>
      <c r="B58" s="10" t="s">
        <v>145</v>
      </c>
      <c r="C58" s="11">
        <v>320</v>
      </c>
      <c r="D58" s="11">
        <v>3</v>
      </c>
      <c r="E58" s="12">
        <v>43528</v>
      </c>
      <c r="F58" s="13" t="str">
        <f>HYPERLINK("https://celebrity.okezone.com/read/2019/04/03/33/2038760/setelah-dada-diremas-cupi-cupita-alami-insiden-baju-melorot-di-atas-panggung ","sumber")</f>
        <v>sumber</v>
      </c>
      <c r="G58" s="11" t="s">
        <v>1</v>
      </c>
      <c r="H58" s="14"/>
      <c r="I58" s="11">
        <v>1</v>
      </c>
      <c r="J58" s="11">
        <v>1</v>
      </c>
      <c r="K58" s="11" t="s">
        <v>146</v>
      </c>
      <c r="L58" s="11">
        <v>0</v>
      </c>
      <c r="M58" s="11">
        <v>0</v>
      </c>
      <c r="N58" s="15">
        <v>0</v>
      </c>
      <c r="O58" s="11">
        <v>0</v>
      </c>
      <c r="P58" s="11">
        <v>0</v>
      </c>
      <c r="Q58" s="11" t="s">
        <v>87</v>
      </c>
      <c r="R58" s="11" t="s">
        <v>30</v>
      </c>
      <c r="S58" s="14"/>
      <c r="T58" s="11">
        <v>0</v>
      </c>
      <c r="U58" s="11">
        <v>0</v>
      </c>
      <c r="V58" s="11">
        <v>0</v>
      </c>
      <c r="W58" s="14"/>
      <c r="X58" s="14"/>
      <c r="Y58" s="14"/>
    </row>
    <row r="59" spans="1:25" ht="14.4">
      <c r="A59" s="2">
        <v>1</v>
      </c>
      <c r="B59" s="2" t="s">
        <v>147</v>
      </c>
      <c r="C59" s="3">
        <v>321</v>
      </c>
      <c r="D59" s="3">
        <v>9</v>
      </c>
      <c r="E59" s="4">
        <v>43559</v>
      </c>
      <c r="F59" s="5" t="str">
        <f>HYPERLINK(" https://internasional.republika.co.id/berita/internasional/eropa/ppfewk382/amnesty-temukan-angka-pemerkosaan-tinggi-di-negara-nordik ","sumber")</f>
        <v>sumber</v>
      </c>
      <c r="G59" s="3" t="s">
        <v>1</v>
      </c>
      <c r="H59" s="3">
        <v>339</v>
      </c>
      <c r="I59" s="3">
        <v>1</v>
      </c>
      <c r="J59" s="3">
        <v>1</v>
      </c>
      <c r="K59" s="3" t="s">
        <v>148</v>
      </c>
      <c r="L59" s="3">
        <v>0</v>
      </c>
      <c r="M59" s="3">
        <v>1</v>
      </c>
      <c r="N59" s="16">
        <v>0</v>
      </c>
      <c r="O59" s="3">
        <v>0</v>
      </c>
      <c r="P59" s="3">
        <v>0</v>
      </c>
      <c r="Q59" s="3">
        <v>0</v>
      </c>
      <c r="R59" s="3">
        <v>1</v>
      </c>
      <c r="S59" s="7"/>
      <c r="T59" s="3">
        <v>0</v>
      </c>
      <c r="U59" s="3">
        <v>0</v>
      </c>
      <c r="V59" s="3">
        <v>1</v>
      </c>
      <c r="W59" s="7"/>
      <c r="X59" s="7"/>
      <c r="Y59" s="7"/>
    </row>
    <row r="60" spans="1:25" ht="79.2">
      <c r="A60" s="10">
        <v>1</v>
      </c>
      <c r="B60" s="10" t="s">
        <v>149</v>
      </c>
      <c r="C60" s="11">
        <v>322</v>
      </c>
      <c r="D60" s="11">
        <v>5</v>
      </c>
      <c r="E60" s="12">
        <v>43681</v>
      </c>
      <c r="F60" s="13" t="str">
        <f>HYPERLINK("https://tirto.id/uninstallfeminism-benarkah-indonesia-tak-butuh-feminisme-dlfE ","sumber")</f>
        <v>sumber</v>
      </c>
      <c r="G60" s="11" t="s">
        <v>1</v>
      </c>
      <c r="H60" s="14"/>
      <c r="I60" s="11">
        <v>1</v>
      </c>
      <c r="J60" s="11">
        <v>1</v>
      </c>
      <c r="K60" s="11" t="s">
        <v>150</v>
      </c>
      <c r="L60" s="11">
        <v>0</v>
      </c>
      <c r="M60" s="11">
        <v>1</v>
      </c>
      <c r="N60" s="15">
        <v>0</v>
      </c>
      <c r="O60" s="11">
        <v>0</v>
      </c>
      <c r="P60" s="11">
        <v>0</v>
      </c>
      <c r="Q60" s="11" t="s">
        <v>112</v>
      </c>
      <c r="R60" s="11" t="s">
        <v>151</v>
      </c>
      <c r="S60" s="14"/>
      <c r="T60" s="11">
        <v>0</v>
      </c>
      <c r="U60" s="11">
        <v>0</v>
      </c>
      <c r="V60" s="11">
        <v>1</v>
      </c>
      <c r="W60" s="14"/>
      <c r="X60" s="14"/>
      <c r="Y60" s="14"/>
    </row>
    <row r="61" spans="1:25" ht="14.4">
      <c r="A61" s="2">
        <v>1</v>
      </c>
      <c r="B61" s="2" t="s">
        <v>152</v>
      </c>
      <c r="C61" s="3">
        <v>323</v>
      </c>
      <c r="D61" s="3">
        <v>3</v>
      </c>
      <c r="E61" s="4">
        <v>43803</v>
      </c>
      <c r="F61" s="5" t="str">
        <f>HYPERLINK(" https://news.okezone.com/read/2019/04/12/340/2042834/polisi-limpahkan-2-berkas-tersangka-kasus-audrey ","sumber")</f>
        <v>sumber</v>
      </c>
      <c r="G61" s="3" t="s">
        <v>1</v>
      </c>
      <c r="H61" s="3">
        <v>360</v>
      </c>
      <c r="I61" s="3">
        <v>1</v>
      </c>
      <c r="J61" s="3">
        <v>1</v>
      </c>
      <c r="K61" s="3" t="s">
        <v>153</v>
      </c>
      <c r="L61" s="3">
        <v>0</v>
      </c>
      <c r="M61" s="3">
        <v>0</v>
      </c>
      <c r="N61" s="16">
        <v>0</v>
      </c>
      <c r="O61" s="3">
        <v>0</v>
      </c>
      <c r="P61" s="3">
        <v>0</v>
      </c>
      <c r="Q61" s="3">
        <v>0</v>
      </c>
      <c r="R61" s="3">
        <v>0</v>
      </c>
      <c r="S61" s="7"/>
      <c r="T61" s="3">
        <v>0</v>
      </c>
      <c r="U61" s="3">
        <v>0</v>
      </c>
      <c r="V61" s="3">
        <v>0</v>
      </c>
      <c r="W61" s="7"/>
      <c r="X61" s="7"/>
      <c r="Y61" s="7"/>
    </row>
    <row r="62" spans="1:25" ht="14.4">
      <c r="A62" s="2">
        <v>1</v>
      </c>
      <c r="B62" s="2" t="s">
        <v>154</v>
      </c>
      <c r="C62" s="3">
        <v>324</v>
      </c>
      <c r="D62" s="3">
        <v>3</v>
      </c>
      <c r="E62" s="4">
        <v>43469</v>
      </c>
      <c r="F62" s="5" t="str">
        <f>HYPERLINK(" https://celebrity.okezone.com/read/2019/04/01/33/2037790/setelah-perkara-suap-choi-jong-hoon-dijerat-kasus-video-porno ","sumber")</f>
        <v>sumber</v>
      </c>
      <c r="G62" s="3" t="s">
        <v>1</v>
      </c>
      <c r="H62" s="3">
        <v>294</v>
      </c>
      <c r="I62" s="3">
        <v>1</v>
      </c>
      <c r="J62" s="3">
        <v>1</v>
      </c>
      <c r="K62" s="3" t="s">
        <v>155</v>
      </c>
      <c r="L62" s="3">
        <v>0</v>
      </c>
      <c r="M62" s="3">
        <v>0</v>
      </c>
      <c r="N62" s="16">
        <v>0</v>
      </c>
      <c r="O62" s="3">
        <v>0</v>
      </c>
      <c r="P62" s="3">
        <v>0</v>
      </c>
      <c r="Q62" s="3">
        <v>0</v>
      </c>
      <c r="R62" s="3">
        <v>0</v>
      </c>
      <c r="S62" s="7"/>
      <c r="T62" s="3">
        <v>0</v>
      </c>
      <c r="U62" s="3">
        <v>0</v>
      </c>
      <c r="V62" s="3">
        <v>0</v>
      </c>
      <c r="W62" s="7"/>
      <c r="X62" s="7"/>
      <c r="Y62" s="7"/>
    </row>
    <row r="63" spans="1:25" ht="26.4">
      <c r="A63" s="10">
        <v>1</v>
      </c>
      <c r="B63" s="10" t="s">
        <v>156</v>
      </c>
      <c r="C63" s="11">
        <v>325</v>
      </c>
      <c r="D63" s="11">
        <v>2</v>
      </c>
      <c r="E63" s="11" t="s">
        <v>157</v>
      </c>
      <c r="F63" s="13" t="str">
        <f>HYPERLINK("https://www.cnnindonesia.com/hiburan/20190422111612-227-388408/jadi-wanita-persembahan-nonaria-untuk-wanita ","sumber")</f>
        <v>sumber</v>
      </c>
      <c r="G63" s="11" t="s">
        <v>1</v>
      </c>
      <c r="H63" s="14"/>
      <c r="I63" s="11">
        <v>3</v>
      </c>
      <c r="J63" s="11">
        <v>1</v>
      </c>
      <c r="K63" s="11" t="s">
        <v>158</v>
      </c>
      <c r="L63" s="11">
        <v>0</v>
      </c>
      <c r="M63" s="11">
        <v>0</v>
      </c>
      <c r="N63" s="15">
        <v>0</v>
      </c>
      <c r="O63" s="11">
        <v>0</v>
      </c>
      <c r="P63" s="11">
        <v>0</v>
      </c>
      <c r="Q63" s="11" t="s">
        <v>159</v>
      </c>
      <c r="R63" s="11" t="s">
        <v>160</v>
      </c>
      <c r="S63" s="14"/>
      <c r="T63" s="11">
        <v>0</v>
      </c>
      <c r="U63" s="11">
        <v>0</v>
      </c>
      <c r="V63" s="11">
        <v>0</v>
      </c>
      <c r="W63" s="14"/>
      <c r="X63" s="14"/>
      <c r="Y63" s="14"/>
    </row>
    <row r="64" spans="1:25" ht="14.4">
      <c r="A64" s="10">
        <v>1</v>
      </c>
      <c r="B64" s="10" t="s">
        <v>161</v>
      </c>
      <c r="C64" s="11">
        <v>326</v>
      </c>
      <c r="D64" s="11">
        <v>9</v>
      </c>
      <c r="E64" s="11" t="s">
        <v>162</v>
      </c>
      <c r="F64" s="13" t="str">
        <f>HYPERLINK("https://nasional.republika.co.id/berita/nasional/umum/pqe1eb414/kenalan-dengan-pria-di-medsos-puluhan-perempuan-jadi-korban ","sumber")</f>
        <v>sumber</v>
      </c>
      <c r="G64" s="11" t="s">
        <v>1</v>
      </c>
      <c r="H64" s="14"/>
      <c r="I64" s="11">
        <v>1</v>
      </c>
      <c r="J64" s="11">
        <v>1</v>
      </c>
      <c r="K64" s="11" t="s">
        <v>163</v>
      </c>
      <c r="L64" s="11">
        <v>0</v>
      </c>
      <c r="M64" s="11">
        <v>0</v>
      </c>
      <c r="N64" s="15">
        <v>0</v>
      </c>
      <c r="O64" s="11">
        <v>0</v>
      </c>
      <c r="P64" s="11">
        <v>0</v>
      </c>
      <c r="Q64" s="11">
        <v>1</v>
      </c>
      <c r="R64" s="11">
        <v>1</v>
      </c>
      <c r="S64" s="14"/>
      <c r="T64" s="11">
        <v>0</v>
      </c>
      <c r="U64" s="11">
        <v>0</v>
      </c>
      <c r="V64" s="11">
        <v>0</v>
      </c>
      <c r="W64" s="14"/>
      <c r="X64" s="14"/>
      <c r="Y64" s="14"/>
    </row>
    <row r="65" spans="1:25" ht="14.4">
      <c r="A65" s="10">
        <v>1</v>
      </c>
      <c r="B65" s="10" t="s">
        <v>164</v>
      </c>
      <c r="C65" s="11">
        <v>327</v>
      </c>
      <c r="D65" s="11">
        <v>1</v>
      </c>
      <c r="E65" s="11" t="s">
        <v>165</v>
      </c>
      <c r="F65" s="13" t="str">
        <f>HYPERLINK("https://news.detik.com/berita/d-4523100/vanessa-angel-didakwa-sebar-konten-asusila-terkait-prostitusi ","sumber")</f>
        <v>sumber</v>
      </c>
      <c r="G65" s="11" t="s">
        <v>1</v>
      </c>
      <c r="H65" s="14"/>
      <c r="I65" s="11">
        <v>1</v>
      </c>
      <c r="J65" s="11">
        <v>1</v>
      </c>
      <c r="K65" s="11" t="s">
        <v>166</v>
      </c>
      <c r="L65" s="11">
        <v>0</v>
      </c>
      <c r="M65" s="11">
        <v>-1</v>
      </c>
      <c r="N65" s="15">
        <v>0</v>
      </c>
      <c r="O65" s="11">
        <v>0</v>
      </c>
      <c r="P65" s="11">
        <v>0</v>
      </c>
      <c r="Q65" s="11">
        <v>0</v>
      </c>
      <c r="R65" s="11">
        <v>0</v>
      </c>
      <c r="S65" s="14"/>
      <c r="T65" s="11">
        <v>0</v>
      </c>
      <c r="U65" s="11">
        <v>0</v>
      </c>
      <c r="V65" s="11">
        <v>0</v>
      </c>
      <c r="W65" s="14"/>
      <c r="X65" s="14"/>
      <c r="Y65" s="14"/>
    </row>
    <row r="66" spans="1:25" ht="14.4">
      <c r="A66" s="17">
        <v>2</v>
      </c>
      <c r="B66" s="17" t="s">
        <v>167</v>
      </c>
      <c r="C66" s="18">
        <v>328</v>
      </c>
      <c r="D66" s="18">
        <v>7</v>
      </c>
      <c r="E66" s="19"/>
      <c r="F66" s="20" t="str">
        <f>HYPERLINK("http://www.tribunnews.com/australia-plus/2019/04/24/surati-parlemen-eropa-brunei-bela-hukuman-mati-terhadap-pasangan-gay ","sumber")</f>
        <v>sumber</v>
      </c>
      <c r="G66" s="18" t="s">
        <v>1</v>
      </c>
      <c r="H66" s="19"/>
      <c r="I66" s="19"/>
      <c r="J66" s="18">
        <v>1</v>
      </c>
      <c r="K66" s="19"/>
      <c r="L66" s="19"/>
      <c r="M66" s="19"/>
      <c r="N66" s="19"/>
      <c r="O66" s="19"/>
      <c r="P66" s="19"/>
      <c r="Q66" s="19"/>
      <c r="R66" s="19"/>
      <c r="S66" s="19"/>
      <c r="T66" s="19"/>
      <c r="U66" s="19"/>
      <c r="V66" s="19"/>
      <c r="W66" s="19"/>
      <c r="X66" s="19"/>
      <c r="Y66" s="19"/>
    </row>
    <row r="67" spans="1:25" ht="79.2">
      <c r="A67" s="2">
        <v>1</v>
      </c>
      <c r="B67" s="2" t="s">
        <v>168</v>
      </c>
      <c r="C67" s="3">
        <v>329</v>
      </c>
      <c r="D67" s="3">
        <v>5</v>
      </c>
      <c r="E67" s="4">
        <v>43773</v>
      </c>
      <c r="F67" s="5" t="str">
        <f>HYPERLINK(" https://tirto.id/sikap-masa-bodoh-anggota-dpr-atas-ruu-prioritas-dlRB ","sumber")</f>
        <v>sumber</v>
      </c>
      <c r="G67" s="3" t="s">
        <v>1</v>
      </c>
      <c r="H67" s="3">
        <v>1125</v>
      </c>
      <c r="I67" s="3">
        <v>4</v>
      </c>
      <c r="J67" s="3">
        <v>1</v>
      </c>
      <c r="K67" s="3" t="s">
        <v>169</v>
      </c>
      <c r="L67" s="3">
        <v>0</v>
      </c>
      <c r="M67" s="3">
        <v>0</v>
      </c>
      <c r="N67" s="16">
        <v>0</v>
      </c>
      <c r="O67" s="3">
        <v>0</v>
      </c>
      <c r="P67" s="3">
        <v>0</v>
      </c>
      <c r="Q67" s="3" t="s">
        <v>170</v>
      </c>
      <c r="R67" s="3" t="s">
        <v>171</v>
      </c>
      <c r="S67" s="7"/>
      <c r="T67" s="3">
        <v>0</v>
      </c>
      <c r="U67" s="3">
        <v>0</v>
      </c>
      <c r="V67" s="3">
        <v>1</v>
      </c>
      <c r="W67" s="7"/>
      <c r="X67" s="7"/>
      <c r="Y67" s="7"/>
    </row>
    <row r="68" spans="1:25" ht="26.4">
      <c r="A68" s="10">
        <v>1</v>
      </c>
      <c r="B68" s="10" t="s">
        <v>172</v>
      </c>
      <c r="C68" s="11">
        <v>330</v>
      </c>
      <c r="D68" s="11">
        <v>8</v>
      </c>
      <c r="E68" s="11" t="s">
        <v>173</v>
      </c>
      <c r="F68" s="13" t="str">
        <f>HYPERLINK("https://www.suara.com/tekno/2019/04/26/131500/google-ubah-cara-karyawan-melaporkan-pelecehan-dan-diskriminasi ","sumber")</f>
        <v>sumber</v>
      </c>
      <c r="G68" s="11" t="s">
        <v>1</v>
      </c>
      <c r="H68" s="14"/>
      <c r="I68" s="11">
        <v>4</v>
      </c>
      <c r="J68" s="11">
        <v>1</v>
      </c>
      <c r="K68" s="11" t="s">
        <v>174</v>
      </c>
      <c r="L68" s="11">
        <v>0</v>
      </c>
      <c r="M68" s="11">
        <v>0</v>
      </c>
      <c r="N68" s="15">
        <v>0</v>
      </c>
      <c r="O68" s="11">
        <v>0</v>
      </c>
      <c r="P68" s="11">
        <v>0</v>
      </c>
      <c r="Q68" s="11" t="s">
        <v>29</v>
      </c>
      <c r="R68" s="11" t="s">
        <v>29</v>
      </c>
      <c r="S68" s="14"/>
      <c r="T68" s="11">
        <v>0</v>
      </c>
      <c r="U68" s="11">
        <v>0</v>
      </c>
      <c r="V68" s="11">
        <v>1</v>
      </c>
      <c r="W68" s="14"/>
      <c r="X68" s="14"/>
      <c r="Y68" s="14"/>
    </row>
    <row r="69" spans="1:25" ht="14.4">
      <c r="A69" s="17">
        <v>2</v>
      </c>
      <c r="B69" s="17" t="s">
        <v>175</v>
      </c>
      <c r="C69" s="18">
        <v>331</v>
      </c>
      <c r="D69" s="18">
        <v>4</v>
      </c>
      <c r="E69" s="19"/>
      <c r="F69" s="20" t="str">
        <f>HYPERLINK("https://www.liputan6.com/bola/read/3954440/persija-sudah-bidik-tiga-calon-pengganti-marko-simic ","sumber")</f>
        <v>sumber</v>
      </c>
      <c r="G69" s="18" t="s">
        <v>1</v>
      </c>
      <c r="H69" s="19"/>
      <c r="I69" s="19"/>
      <c r="J69" s="18">
        <v>1</v>
      </c>
      <c r="K69" s="19"/>
      <c r="L69" s="19"/>
      <c r="M69" s="19"/>
      <c r="N69" s="19"/>
      <c r="O69" s="19"/>
      <c r="P69" s="19"/>
      <c r="Q69" s="19"/>
      <c r="R69" s="19"/>
      <c r="S69" s="19"/>
      <c r="T69" s="19"/>
      <c r="U69" s="19"/>
      <c r="V69" s="19"/>
      <c r="W69" s="19"/>
      <c r="X69" s="19"/>
      <c r="Y69" s="19"/>
    </row>
    <row r="70" spans="1:25" ht="28.8">
      <c r="A70" s="2">
        <v>1</v>
      </c>
      <c r="B70" s="2" t="s">
        <v>176</v>
      </c>
      <c r="C70" s="3">
        <v>332</v>
      </c>
      <c r="D70" s="3">
        <v>8</v>
      </c>
      <c r="E70" s="4">
        <v>43682</v>
      </c>
      <c r="F70" s="5" t="str">
        <f>HYPERLINK("https://www.suara.com/lifestyle/2019/05/08/153500/merasa-dilecehkan-perempuan-berbaju-seksi-keroyok-emak-emak-di-mall ","sumber")</f>
        <v>sumber</v>
      </c>
      <c r="G70" s="3" t="s">
        <v>1</v>
      </c>
      <c r="H70" s="3">
        <v>334</v>
      </c>
      <c r="I70" s="3">
        <v>1</v>
      </c>
      <c r="J70" s="3">
        <v>1</v>
      </c>
      <c r="K70" s="3" t="s">
        <v>177</v>
      </c>
      <c r="L70" s="3">
        <v>0</v>
      </c>
      <c r="M70" s="3">
        <v>0</v>
      </c>
      <c r="N70" s="16">
        <v>0</v>
      </c>
      <c r="O70" s="3">
        <v>0</v>
      </c>
      <c r="P70" s="3">
        <v>0</v>
      </c>
      <c r="Q70" s="3" t="s">
        <v>178</v>
      </c>
      <c r="R70" s="3" t="s">
        <v>160</v>
      </c>
      <c r="S70" s="7"/>
      <c r="T70" s="3">
        <v>0</v>
      </c>
      <c r="U70" s="3">
        <v>-1</v>
      </c>
      <c r="V70" s="3">
        <v>0</v>
      </c>
      <c r="W70" s="7"/>
      <c r="X70" s="7"/>
      <c r="Y70" s="7"/>
    </row>
    <row r="71" spans="1:25" ht="39.6">
      <c r="A71" s="2">
        <v>1</v>
      </c>
      <c r="B71" s="2" t="s">
        <v>179</v>
      </c>
      <c r="C71" s="3">
        <v>333</v>
      </c>
      <c r="D71" s="3">
        <v>3</v>
      </c>
      <c r="E71" s="3" t="s">
        <v>180</v>
      </c>
      <c r="F71" s="5" t="str">
        <f>HYPERLINK(" https://internasional.kompas.com/read/2019/05/31/21010911/cegah-kekerasan-seksual-bangladesh-minta-madrasah-tunjuk-mentor ","sumber")</f>
        <v>sumber</v>
      </c>
      <c r="G71" s="3" t="s">
        <v>1</v>
      </c>
      <c r="H71" s="3">
        <v>272</v>
      </c>
      <c r="I71" s="3">
        <v>4</v>
      </c>
      <c r="J71" s="3">
        <v>1</v>
      </c>
      <c r="K71" s="3" t="s">
        <v>181</v>
      </c>
      <c r="L71" s="3">
        <v>0</v>
      </c>
      <c r="M71" s="3">
        <v>0</v>
      </c>
      <c r="N71" s="16">
        <v>0</v>
      </c>
      <c r="O71" s="3">
        <v>0</v>
      </c>
      <c r="P71" s="3">
        <v>0</v>
      </c>
      <c r="Q71" s="3" t="s">
        <v>182</v>
      </c>
      <c r="R71" s="3" t="s">
        <v>160</v>
      </c>
      <c r="S71" s="7"/>
      <c r="T71" s="3">
        <v>0</v>
      </c>
      <c r="U71" s="3">
        <v>0</v>
      </c>
      <c r="V71" s="3">
        <v>1</v>
      </c>
      <c r="W71" s="7"/>
      <c r="X71" s="7"/>
      <c r="Y71" s="7"/>
    </row>
    <row r="72" spans="1:25" ht="79.2">
      <c r="A72" s="2">
        <v>1</v>
      </c>
      <c r="B72" s="2" t="s">
        <v>183</v>
      </c>
      <c r="C72" s="3">
        <v>334</v>
      </c>
      <c r="D72" s="3">
        <v>3</v>
      </c>
      <c r="E72" s="4">
        <v>43560</v>
      </c>
      <c r="F72" s="5" t="str">
        <f>HYPERLINK("https://regional.kompas.com/read/2019/05/04/15230851/6-fakta-oknum-desertir-tni-culik-dan-perkosa-7-anak-ditangkap-di-kolong ","sumber")</f>
        <v>sumber</v>
      </c>
      <c r="G72" s="3" t="s">
        <v>1</v>
      </c>
      <c r="H72" s="3">
        <v>328</v>
      </c>
      <c r="I72" s="3">
        <v>1</v>
      </c>
      <c r="J72" s="3">
        <v>1</v>
      </c>
      <c r="K72" s="3" t="s">
        <v>184</v>
      </c>
      <c r="L72" s="3">
        <v>0</v>
      </c>
      <c r="M72" s="3">
        <v>1</v>
      </c>
      <c r="N72" s="16">
        <v>0</v>
      </c>
      <c r="O72" s="3">
        <v>0</v>
      </c>
      <c r="P72" s="3">
        <v>0</v>
      </c>
      <c r="Q72" s="3" t="s">
        <v>185</v>
      </c>
      <c r="R72" s="3" t="s">
        <v>185</v>
      </c>
      <c r="S72" s="7"/>
      <c r="T72" s="3">
        <v>0</v>
      </c>
      <c r="U72" s="3">
        <v>0</v>
      </c>
      <c r="V72" s="3">
        <v>0</v>
      </c>
      <c r="W72" s="7"/>
      <c r="X72" s="7"/>
      <c r="Y72" s="7"/>
    </row>
    <row r="73" spans="1:25" ht="14.4">
      <c r="A73" s="17">
        <v>2</v>
      </c>
      <c r="B73" s="17" t="s">
        <v>186</v>
      </c>
      <c r="C73" s="18">
        <v>335</v>
      </c>
      <c r="D73" s="18">
        <v>4</v>
      </c>
      <c r="E73" s="19"/>
      <c r="F73" s="20" t="str">
        <f>HYPERLINK("https://www.liputan6.com/citizen6/read/3957442/tubuh-bayi-ini-dipenuhi-bekas-gigitan-usai-dititipkan-di-tempat-penitipan-anak ","sumber")</f>
        <v>sumber</v>
      </c>
      <c r="G73" s="18" t="s">
        <v>1</v>
      </c>
      <c r="H73" s="19"/>
      <c r="I73" s="19"/>
      <c r="J73" s="18">
        <v>1</v>
      </c>
      <c r="K73" s="19"/>
      <c r="L73" s="19"/>
      <c r="M73" s="19"/>
      <c r="N73" s="19"/>
      <c r="O73" s="19"/>
      <c r="P73" s="19"/>
      <c r="Q73" s="19"/>
      <c r="R73" s="19"/>
      <c r="S73" s="19"/>
      <c r="T73" s="19"/>
      <c r="U73" s="19"/>
      <c r="V73" s="19"/>
      <c r="W73" s="19"/>
      <c r="X73" s="19"/>
      <c r="Y73" s="19"/>
    </row>
    <row r="74" spans="1:25" ht="28.8">
      <c r="A74" s="10">
        <v>1</v>
      </c>
      <c r="B74" s="10" t="s">
        <v>187</v>
      </c>
      <c r="C74" s="11">
        <v>336</v>
      </c>
      <c r="D74" s="11">
        <v>10</v>
      </c>
      <c r="E74" s="12">
        <v>43590</v>
      </c>
      <c r="F74" s="13" t="str">
        <f>HYPERLINK("https://nasional.tempo.co/read/1202239/pemerintah-diminta-tidak-terburu-buru-mengesahkan-rkuhp ","sumber")</f>
        <v>sumber</v>
      </c>
      <c r="G74" s="11" t="s">
        <v>1</v>
      </c>
      <c r="H74" s="14"/>
      <c r="I74" s="11">
        <v>4</v>
      </c>
      <c r="J74" s="11">
        <v>1</v>
      </c>
      <c r="K74" s="11" t="s">
        <v>188</v>
      </c>
      <c r="L74" s="11">
        <v>0</v>
      </c>
      <c r="M74" s="11">
        <v>0</v>
      </c>
      <c r="N74" s="15">
        <v>0</v>
      </c>
      <c r="O74" s="11">
        <v>0</v>
      </c>
      <c r="P74" s="11">
        <v>0</v>
      </c>
      <c r="Q74" s="11" t="s">
        <v>29</v>
      </c>
      <c r="R74" s="11" t="s">
        <v>29</v>
      </c>
      <c r="S74" s="14"/>
      <c r="T74" s="11">
        <v>0</v>
      </c>
      <c r="U74" s="11">
        <v>0</v>
      </c>
      <c r="V74" s="11">
        <v>1</v>
      </c>
      <c r="W74" s="14"/>
      <c r="X74" s="14"/>
      <c r="Y74" s="14"/>
    </row>
    <row r="75" spans="1:25" ht="28.8">
      <c r="A75" s="10">
        <v>1</v>
      </c>
      <c r="B75" s="10" t="s">
        <v>189</v>
      </c>
      <c r="C75" s="11">
        <v>337</v>
      </c>
      <c r="D75" s="11">
        <v>8</v>
      </c>
      <c r="E75" s="12">
        <v>43621</v>
      </c>
      <c r="F75" s="13" t="str">
        <f>HYPERLINK("https://www.suara.com/entertainment/2019/05/06/145222/kasihan-vanessa-angel-batal-dijenguk-ayah-di-rutan-medaeng ","sumber")</f>
        <v>sumber</v>
      </c>
      <c r="G75" s="11" t="s">
        <v>1</v>
      </c>
      <c r="H75" s="14"/>
      <c r="I75" s="11">
        <v>1</v>
      </c>
      <c r="J75" s="11">
        <v>1</v>
      </c>
      <c r="K75" s="11" t="s">
        <v>190</v>
      </c>
      <c r="L75" s="11">
        <v>0</v>
      </c>
      <c r="M75" s="11">
        <v>0</v>
      </c>
      <c r="N75" s="15">
        <v>0</v>
      </c>
      <c r="O75" s="11">
        <v>0</v>
      </c>
      <c r="P75" s="11">
        <v>0</v>
      </c>
      <c r="Q75" s="11">
        <v>0</v>
      </c>
      <c r="R75" s="11">
        <v>0</v>
      </c>
      <c r="S75" s="14"/>
      <c r="T75" s="11">
        <v>0</v>
      </c>
      <c r="U75" s="11">
        <v>0</v>
      </c>
      <c r="V75" s="11">
        <v>0</v>
      </c>
      <c r="W75" s="14"/>
      <c r="X75" s="14"/>
      <c r="Y75" s="14"/>
    </row>
    <row r="76" spans="1:25" ht="14.4">
      <c r="A76" s="10">
        <v>1</v>
      </c>
      <c r="B76" s="10" t="s">
        <v>191</v>
      </c>
      <c r="C76" s="11">
        <v>338</v>
      </c>
      <c r="D76" s="11">
        <v>7</v>
      </c>
      <c r="E76" s="12">
        <v>43621</v>
      </c>
      <c r="F76" s="13" t="str">
        <f>HYPERLINK("http://www.tribunnews.com/regional/2019/05/06/gadis-asal-pontianak-ditipu-dan-diperkosa-usai-ditawari-lowongan-pekerjaan-lewat-medsos ","sumber")</f>
        <v>sumber</v>
      </c>
      <c r="G76" s="11" t="s">
        <v>1</v>
      </c>
      <c r="H76" s="14"/>
      <c r="I76" s="11">
        <v>1</v>
      </c>
      <c r="J76" s="11">
        <v>1</v>
      </c>
      <c r="K76" s="11" t="s">
        <v>192</v>
      </c>
      <c r="L76" s="11">
        <v>0</v>
      </c>
      <c r="M76" s="11">
        <v>0</v>
      </c>
      <c r="N76" s="15">
        <v>0</v>
      </c>
      <c r="O76" s="11">
        <v>1</v>
      </c>
      <c r="P76" s="11">
        <v>-1</v>
      </c>
      <c r="Q76" s="11">
        <v>0</v>
      </c>
      <c r="R76" s="11">
        <v>0</v>
      </c>
      <c r="S76" s="14"/>
      <c r="T76" s="11">
        <v>0</v>
      </c>
      <c r="U76" s="11">
        <v>0</v>
      </c>
      <c r="V76" s="11">
        <v>0</v>
      </c>
      <c r="W76" s="14"/>
      <c r="X76" s="14"/>
      <c r="Y76" s="14"/>
    </row>
    <row r="77" spans="1:25" ht="14.4">
      <c r="A77" s="17">
        <v>2</v>
      </c>
      <c r="B77" s="17" t="s">
        <v>193</v>
      </c>
      <c r="C77" s="18">
        <v>339</v>
      </c>
      <c r="D77" s="18">
        <v>5</v>
      </c>
      <c r="E77" s="19"/>
      <c r="F77" s="20" t="str">
        <f>HYPERLINK("https://tirto.id/polda-maluku-serahkan-2-tersangka-peredaran-sopi-lewat-jalur-laut-drt1 ","sumber")</f>
        <v>sumber</v>
      </c>
      <c r="G77" s="18" t="s">
        <v>1</v>
      </c>
      <c r="H77" s="19"/>
      <c r="I77" s="19"/>
      <c r="J77" s="18">
        <v>1</v>
      </c>
      <c r="K77" s="19"/>
      <c r="L77" s="19"/>
      <c r="M77" s="19"/>
      <c r="N77" s="19"/>
      <c r="O77" s="19"/>
      <c r="P77" s="19"/>
      <c r="Q77" s="19"/>
      <c r="R77" s="19"/>
      <c r="S77" s="19"/>
      <c r="T77" s="19"/>
      <c r="U77" s="19"/>
      <c r="V77" s="19"/>
      <c r="W77" s="19"/>
      <c r="X77" s="19"/>
      <c r="Y77" s="19"/>
    </row>
    <row r="78" spans="1:25" ht="28.8">
      <c r="A78" s="10">
        <v>1</v>
      </c>
      <c r="B78" s="10" t="s">
        <v>194</v>
      </c>
      <c r="C78" s="11">
        <v>340</v>
      </c>
      <c r="D78" s="11">
        <v>6</v>
      </c>
      <c r="E78" s="12">
        <v>43713</v>
      </c>
      <c r="F78" s="13" t="str">
        <f>HYPERLINK("https://entertainment.kompas.com/read/2019/05/09/141648010/selain-kepada-investor-seungri-diduga-pakai-jasa-prostitusi-untuk ","sumber")</f>
        <v>sumber</v>
      </c>
      <c r="G78" s="11" t="s">
        <v>1</v>
      </c>
      <c r="H78" s="14"/>
      <c r="I78" s="11">
        <v>1</v>
      </c>
      <c r="J78" s="11">
        <v>1</v>
      </c>
      <c r="K78" s="11" t="s">
        <v>195</v>
      </c>
      <c r="L78" s="11">
        <v>0</v>
      </c>
      <c r="M78" s="11">
        <v>0</v>
      </c>
      <c r="N78" s="15">
        <v>0</v>
      </c>
      <c r="O78" s="11">
        <v>0</v>
      </c>
      <c r="P78" s="11">
        <v>0</v>
      </c>
      <c r="Q78" s="11" t="s">
        <v>29</v>
      </c>
      <c r="R78" s="11" t="s">
        <v>29</v>
      </c>
      <c r="S78" s="14"/>
      <c r="T78" s="11">
        <v>0</v>
      </c>
      <c r="U78" s="11">
        <v>0</v>
      </c>
      <c r="V78" s="11">
        <v>0</v>
      </c>
      <c r="W78" s="14"/>
      <c r="X78" s="14"/>
      <c r="Y78" s="14"/>
    </row>
    <row r="79" spans="1:25" ht="26.4">
      <c r="A79" s="10">
        <v>1</v>
      </c>
      <c r="B79" s="10" t="s">
        <v>196</v>
      </c>
      <c r="C79" s="11">
        <v>341</v>
      </c>
      <c r="D79" s="11">
        <v>7</v>
      </c>
      <c r="E79" s="12">
        <v>43713</v>
      </c>
      <c r="F79" s="13" t="str">
        <f>HYPERLINK("http://www.tribunnews.com/superskor/2019/05/09/marko-simic-sempat-bikin-manajer-persija-kecewa ","sumber")</f>
        <v>sumber</v>
      </c>
      <c r="G79" s="11" t="s">
        <v>1</v>
      </c>
      <c r="H79" s="14"/>
      <c r="I79" s="11">
        <v>1</v>
      </c>
      <c r="J79" s="11">
        <v>1</v>
      </c>
      <c r="K79" s="11" t="s">
        <v>197</v>
      </c>
      <c r="L79" s="11">
        <v>0</v>
      </c>
      <c r="M79" s="11">
        <v>0</v>
      </c>
      <c r="N79" s="15">
        <v>0</v>
      </c>
      <c r="O79" s="11">
        <v>0</v>
      </c>
      <c r="P79" s="11">
        <v>0</v>
      </c>
      <c r="Q79" s="11" t="s">
        <v>29</v>
      </c>
      <c r="R79" s="11" t="s">
        <v>29</v>
      </c>
      <c r="S79" s="14"/>
      <c r="T79" s="11">
        <v>0</v>
      </c>
      <c r="U79" s="11">
        <v>0</v>
      </c>
      <c r="V79" s="11">
        <v>0</v>
      </c>
      <c r="W79" s="14"/>
      <c r="X79" s="14"/>
      <c r="Y79" s="14"/>
    </row>
    <row r="80" spans="1:25" ht="28.8">
      <c r="A80" s="17">
        <v>2</v>
      </c>
      <c r="B80" s="17" t="s">
        <v>198</v>
      </c>
      <c r="C80" s="18">
        <v>342</v>
      </c>
      <c r="D80" s="18">
        <v>1</v>
      </c>
      <c r="E80" s="19"/>
      <c r="F80" s="20" t="str">
        <f>HYPERLINK("https://news.detik.com/berita/d-4546440/pria-di-aceh-yang-ngamuk-gegara-sumbangan-rp-1000-saya-minta-maaf ","sumber")</f>
        <v>sumber</v>
      </c>
      <c r="G80" s="18" t="s">
        <v>1</v>
      </c>
      <c r="H80" s="19"/>
      <c r="I80" s="19"/>
      <c r="J80" s="18">
        <v>1</v>
      </c>
      <c r="K80" s="19"/>
      <c r="L80" s="19"/>
      <c r="M80" s="19"/>
      <c r="N80" s="19"/>
      <c r="O80" s="19"/>
      <c r="P80" s="19"/>
      <c r="Q80" s="19"/>
      <c r="R80" s="19"/>
      <c r="S80" s="19"/>
      <c r="T80" s="19"/>
      <c r="U80" s="19"/>
      <c r="V80" s="19"/>
      <c r="W80" s="19"/>
      <c r="X80" s="19"/>
      <c r="Y80" s="19"/>
    </row>
    <row r="81" spans="1:25" ht="28.8">
      <c r="A81" s="10">
        <v>1</v>
      </c>
      <c r="B81" s="10" t="s">
        <v>199</v>
      </c>
      <c r="C81" s="11">
        <v>343</v>
      </c>
      <c r="D81" s="11">
        <v>2</v>
      </c>
      <c r="E81" s="11" t="s">
        <v>200</v>
      </c>
      <c r="F81" s="13" t="str">
        <f>HYPERLINK("https://www.cnnindonesia.com/internasional/20190513192700-134-394538/swedia-kembali-buka-kasus-pemerkosaan-yang-jerat-assange ","sumber")</f>
        <v>sumber</v>
      </c>
      <c r="G81" s="11" t="s">
        <v>1</v>
      </c>
      <c r="H81" s="14"/>
      <c r="I81" s="11">
        <v>1</v>
      </c>
      <c r="J81" s="11">
        <v>1</v>
      </c>
      <c r="K81" s="11" t="s">
        <v>201</v>
      </c>
      <c r="L81" s="11">
        <v>0</v>
      </c>
      <c r="M81" s="11">
        <v>0</v>
      </c>
      <c r="N81" s="15">
        <v>0</v>
      </c>
      <c r="O81" s="11">
        <v>0</v>
      </c>
      <c r="P81" s="11">
        <v>0</v>
      </c>
      <c r="Q81" s="11">
        <v>0</v>
      </c>
      <c r="R81" s="11">
        <v>0</v>
      </c>
      <c r="S81" s="14"/>
      <c r="T81" s="11">
        <v>0</v>
      </c>
      <c r="U81" s="11">
        <v>0</v>
      </c>
      <c r="V81" s="11">
        <v>0</v>
      </c>
      <c r="W81" s="14"/>
      <c r="X81" s="14"/>
      <c r="Y81" s="14"/>
    </row>
    <row r="82" spans="1:25" ht="28.8">
      <c r="A82" s="10">
        <v>1</v>
      </c>
      <c r="B82" s="10" t="s">
        <v>202</v>
      </c>
      <c r="C82" s="11">
        <v>344</v>
      </c>
      <c r="D82" s="11">
        <v>6</v>
      </c>
      <c r="E82" s="11" t="s">
        <v>200</v>
      </c>
      <c r="F82" s="13" t="str">
        <f>HYPERLINK("https://regional.kompas.com/read/2019/05/14/19300561/bupati-madiun-tutup-48-warung-makan-yang-diduga-sediakan-layanan-prostitusi ","sumber")</f>
        <v>sumber</v>
      </c>
      <c r="G82" s="11" t="s">
        <v>1</v>
      </c>
      <c r="H82" s="14"/>
      <c r="I82" s="11">
        <v>1</v>
      </c>
      <c r="J82" s="11">
        <v>1</v>
      </c>
      <c r="K82" s="11" t="s">
        <v>203</v>
      </c>
      <c r="L82" s="11">
        <v>0</v>
      </c>
      <c r="M82" s="11">
        <v>0</v>
      </c>
      <c r="N82" s="15">
        <v>0</v>
      </c>
      <c r="O82" s="11">
        <v>0</v>
      </c>
      <c r="P82" s="11">
        <v>0</v>
      </c>
      <c r="Q82" s="11">
        <v>0</v>
      </c>
      <c r="R82" s="11">
        <v>0</v>
      </c>
      <c r="S82" s="14"/>
      <c r="T82" s="11">
        <v>0</v>
      </c>
      <c r="U82" s="11">
        <v>0</v>
      </c>
      <c r="V82" s="11">
        <v>0</v>
      </c>
      <c r="W82" s="14"/>
      <c r="X82" s="14"/>
      <c r="Y82" s="14"/>
    </row>
    <row r="83" spans="1:25" ht="14.4">
      <c r="A83" s="10">
        <v>1</v>
      </c>
      <c r="B83" s="10" t="s">
        <v>204</v>
      </c>
      <c r="C83" s="11">
        <v>345</v>
      </c>
      <c r="D83" s="11">
        <v>7</v>
      </c>
      <c r="E83" s="11" t="s">
        <v>205</v>
      </c>
      <c r="F83" s="13" t="str">
        <f>HYPERLINK("http://www.tribunnews.com/seleb/2019/05/21/terungkap-pesan-singkat-berisi-curhat-vanessa-angel-di-balik-jeruji-besi ","sumber")</f>
        <v>sumber</v>
      </c>
      <c r="G83" s="11" t="s">
        <v>1</v>
      </c>
      <c r="H83" s="14"/>
      <c r="I83" s="11">
        <v>1</v>
      </c>
      <c r="J83" s="11">
        <v>1</v>
      </c>
      <c r="K83" s="11" t="s">
        <v>206</v>
      </c>
      <c r="L83" s="11">
        <v>0</v>
      </c>
      <c r="M83" s="11">
        <v>0</v>
      </c>
      <c r="N83" s="15">
        <v>0</v>
      </c>
      <c r="O83" s="11">
        <v>0</v>
      </c>
      <c r="P83" s="11">
        <v>0</v>
      </c>
      <c r="Q83" s="11" t="s">
        <v>29</v>
      </c>
      <c r="R83" s="11" t="s">
        <v>29</v>
      </c>
      <c r="S83" s="14"/>
      <c r="T83" s="11">
        <v>0</v>
      </c>
      <c r="U83" s="11">
        <v>0</v>
      </c>
      <c r="V83" s="11">
        <v>0</v>
      </c>
      <c r="W83" s="14"/>
      <c r="X83" s="14"/>
      <c r="Y83" s="14"/>
    </row>
    <row r="84" spans="1:25" ht="52.8">
      <c r="A84" s="10">
        <v>1</v>
      </c>
      <c r="B84" s="10" t="s">
        <v>207</v>
      </c>
      <c r="C84" s="11">
        <v>346</v>
      </c>
      <c r="D84" s="11">
        <v>2</v>
      </c>
      <c r="E84" s="11" t="s">
        <v>208</v>
      </c>
      <c r="F84" s="13" t="str">
        <f>HYPERLINK("https://www.cnnindonesia.com/nasional/20190521124532-32-396846/psi-jadi-oposisi-anies-penyeimbang-pks-di-dki ","sumber")</f>
        <v>sumber</v>
      </c>
      <c r="G84" s="11" t="s">
        <v>1</v>
      </c>
      <c r="H84" s="14"/>
      <c r="I84" s="11">
        <v>4</v>
      </c>
      <c r="J84" s="11">
        <v>1</v>
      </c>
      <c r="K84" s="11" t="s">
        <v>209</v>
      </c>
      <c r="L84" s="11">
        <v>0</v>
      </c>
      <c r="M84" s="11">
        <v>0</v>
      </c>
      <c r="N84" s="15">
        <v>0</v>
      </c>
      <c r="O84" s="11">
        <v>0</v>
      </c>
      <c r="P84" s="11">
        <v>0</v>
      </c>
      <c r="Q84" s="11" t="s">
        <v>21</v>
      </c>
      <c r="R84" s="11" t="s">
        <v>210</v>
      </c>
      <c r="S84" s="14"/>
      <c r="T84" s="11">
        <v>0</v>
      </c>
      <c r="U84" s="11">
        <v>0</v>
      </c>
      <c r="V84" s="11">
        <v>1</v>
      </c>
      <c r="W84" s="14"/>
      <c r="X84" s="14"/>
      <c r="Y84" s="14"/>
    </row>
    <row r="85" spans="1:25" ht="28.8">
      <c r="A85" s="2">
        <v>1</v>
      </c>
      <c r="B85" s="2" t="s">
        <v>211</v>
      </c>
      <c r="C85" s="3">
        <v>347</v>
      </c>
      <c r="D85" s="3">
        <v>9</v>
      </c>
      <c r="E85" s="3" t="s">
        <v>212</v>
      </c>
      <c r="F85" s="5" t="str">
        <f>HYPERLINK("https://nasional.republika.co.id/berita/nasional/daerah/prssy9335/pelaku-mutilasi-dituntut-15-tahun-penjara ","sumber")</f>
        <v>sumber</v>
      </c>
      <c r="G85" s="3" t="s">
        <v>1</v>
      </c>
      <c r="H85" s="3">
        <v>341</v>
      </c>
      <c r="I85" s="3">
        <v>1</v>
      </c>
      <c r="J85" s="3">
        <v>1</v>
      </c>
      <c r="K85" s="3" t="s">
        <v>213</v>
      </c>
      <c r="L85" s="3">
        <v>0</v>
      </c>
      <c r="M85" s="3">
        <v>0</v>
      </c>
      <c r="N85" s="16">
        <v>0</v>
      </c>
      <c r="O85" s="3">
        <v>1</v>
      </c>
      <c r="P85" s="3">
        <v>0</v>
      </c>
      <c r="Q85" s="3">
        <v>0</v>
      </c>
      <c r="R85" s="3">
        <v>0</v>
      </c>
      <c r="S85" s="7"/>
      <c r="T85" s="3">
        <v>0</v>
      </c>
      <c r="U85" s="3">
        <v>0</v>
      </c>
      <c r="V85" s="3">
        <v>0</v>
      </c>
      <c r="W85" s="7"/>
      <c r="X85" s="7"/>
      <c r="Y85" s="7"/>
    </row>
    <row r="86" spans="1:25" ht="28.8">
      <c r="A86" s="2">
        <v>1</v>
      </c>
      <c r="B86" s="2" t="s">
        <v>214</v>
      </c>
      <c r="C86" s="3">
        <v>348</v>
      </c>
      <c r="D86" s="3">
        <v>10</v>
      </c>
      <c r="E86" s="3" t="s">
        <v>215</v>
      </c>
      <c r="F86" s="5" t="str">
        <f>HYPERLINK("https://dunia.tempo.co/read/1204994/swedia-buka-lagi-kasus-dugaan-perkosaan-oleh-julian-assange ","sumber")</f>
        <v>sumber</v>
      </c>
      <c r="G86" s="3" t="s">
        <v>1</v>
      </c>
      <c r="H86" s="3">
        <v>243</v>
      </c>
      <c r="I86" s="3">
        <v>1</v>
      </c>
      <c r="J86" s="3">
        <v>1</v>
      </c>
      <c r="K86" s="3" t="s">
        <v>216</v>
      </c>
      <c r="L86" s="3">
        <v>0</v>
      </c>
      <c r="M86" s="3">
        <v>0</v>
      </c>
      <c r="N86" s="16">
        <v>0</v>
      </c>
      <c r="O86" s="3">
        <v>0</v>
      </c>
      <c r="P86" s="3">
        <v>0</v>
      </c>
      <c r="Q86" s="3">
        <v>0</v>
      </c>
      <c r="R86" s="3">
        <v>0</v>
      </c>
      <c r="S86" s="7"/>
      <c r="T86" s="3">
        <v>0</v>
      </c>
      <c r="U86" s="3">
        <v>0</v>
      </c>
      <c r="V86" s="3">
        <v>0</v>
      </c>
      <c r="W86" s="7"/>
      <c r="X86" s="7"/>
      <c r="Y86" s="7"/>
    </row>
    <row r="87" spans="1:25" ht="28.8">
      <c r="A87" s="2">
        <v>1</v>
      </c>
      <c r="B87" s="2" t="s">
        <v>217</v>
      </c>
      <c r="C87" s="3">
        <v>349</v>
      </c>
      <c r="D87" s="3">
        <v>1</v>
      </c>
      <c r="E87" s="3" t="s">
        <v>205</v>
      </c>
      <c r="F87" s="5" t="str">
        <f>HYPERLINK(" https://news.detik.com/internasional/d-4559033/ribuan-wanita-korut-diselundupkan-dan-dijual-jadi-budak-seks-di-china ","sumber")</f>
        <v>sumber</v>
      </c>
      <c r="G87" s="3" t="s">
        <v>1</v>
      </c>
      <c r="H87" s="3">
        <v>458</v>
      </c>
      <c r="I87" s="3">
        <v>1</v>
      </c>
      <c r="J87" s="3">
        <v>1</v>
      </c>
      <c r="K87" s="3" t="s">
        <v>218</v>
      </c>
      <c r="L87" s="3">
        <v>0</v>
      </c>
      <c r="M87" s="3">
        <v>0</v>
      </c>
      <c r="N87" s="16">
        <v>0</v>
      </c>
      <c r="O87" s="3">
        <v>0</v>
      </c>
      <c r="P87" s="3">
        <v>0</v>
      </c>
      <c r="Q87" s="3">
        <v>1</v>
      </c>
      <c r="R87" s="3">
        <v>1</v>
      </c>
      <c r="S87" s="7"/>
      <c r="T87" s="3">
        <v>0</v>
      </c>
      <c r="U87" s="3">
        <v>0</v>
      </c>
      <c r="V87" s="3">
        <v>0</v>
      </c>
      <c r="W87" s="7"/>
      <c r="X87" s="7"/>
      <c r="Y87" s="7"/>
    </row>
    <row r="88" spans="1:25" ht="28.8">
      <c r="A88" s="2">
        <v>1</v>
      </c>
      <c r="B88" s="2" t="s">
        <v>219</v>
      </c>
      <c r="C88" s="3">
        <v>350</v>
      </c>
      <c r="D88" s="3">
        <v>6</v>
      </c>
      <c r="E88" s="3" t="s">
        <v>220</v>
      </c>
      <c r="F88" s="5" t="str">
        <f>HYPERLINK(" https://news.okezone.com/read/2019/06/21/18/2069271/pengantin-baru-di-jerman-tewas-setelah-berhubungan-seks-bdsm-selama-48-jam ","sumber")</f>
        <v>sumber</v>
      </c>
      <c r="G88" s="3" t="s">
        <v>1</v>
      </c>
      <c r="H88" s="3">
        <v>509</v>
      </c>
      <c r="I88" s="3">
        <v>1</v>
      </c>
      <c r="J88" s="3">
        <v>1</v>
      </c>
      <c r="K88" s="3" t="s">
        <v>221</v>
      </c>
      <c r="L88" s="3">
        <v>0</v>
      </c>
      <c r="M88" s="3">
        <v>0</v>
      </c>
      <c r="N88" s="16">
        <v>0</v>
      </c>
      <c r="O88" s="3">
        <v>0</v>
      </c>
      <c r="P88" s="3">
        <v>0</v>
      </c>
      <c r="Q88" s="3" t="s">
        <v>29</v>
      </c>
      <c r="R88" s="3" t="s">
        <v>29</v>
      </c>
      <c r="S88" s="7"/>
      <c r="T88" s="3">
        <v>0</v>
      </c>
      <c r="U88" s="3">
        <v>0</v>
      </c>
      <c r="V88" s="3">
        <v>0</v>
      </c>
      <c r="W88" s="7"/>
      <c r="X88" s="7"/>
      <c r="Y88" s="7"/>
    </row>
    <row r="89" spans="1:25" ht="28.8">
      <c r="A89" s="17">
        <v>2</v>
      </c>
      <c r="B89" s="17" t="s">
        <v>222</v>
      </c>
      <c r="C89" s="18">
        <v>351</v>
      </c>
      <c r="D89" s="18">
        <v>2</v>
      </c>
      <c r="E89" s="19"/>
      <c r="F89" s="20" t="str">
        <f>HYPERLINK("https://www.cnnindonesia.com/olahraga/20190609161201-142-401889/cedera-engkel-paksa-neymar-absen-empat-pekan ","sumber")</f>
        <v>sumber</v>
      </c>
      <c r="G89" s="18" t="s">
        <v>1</v>
      </c>
      <c r="H89" s="19"/>
      <c r="I89" s="19"/>
      <c r="J89" s="18">
        <v>1</v>
      </c>
      <c r="K89" s="19"/>
      <c r="L89" s="19"/>
      <c r="M89" s="19"/>
      <c r="N89" s="19"/>
      <c r="O89" s="19"/>
      <c r="P89" s="19"/>
      <c r="Q89" s="19"/>
      <c r="R89" s="19"/>
      <c r="S89" s="19"/>
      <c r="T89" s="19"/>
      <c r="U89" s="19"/>
      <c r="V89" s="19"/>
      <c r="W89" s="19"/>
      <c r="X89" s="19"/>
      <c r="Y89" s="19"/>
    </row>
    <row r="90" spans="1:25" ht="14.4">
      <c r="A90" s="17">
        <v>2</v>
      </c>
      <c r="B90" s="17" t="s">
        <v>223</v>
      </c>
      <c r="C90" s="18">
        <v>352</v>
      </c>
      <c r="D90" s="18">
        <v>5</v>
      </c>
      <c r="E90" s="19"/>
      <c r="F90" s="20" t="str">
        <f>HYPERLINK("https://tirto.id/setelah-lelah-liburan-mudik-dan-pelesir-pijat-saja-ebb9 ","sumber")</f>
        <v>sumber</v>
      </c>
      <c r="G90" s="18" t="s">
        <v>1</v>
      </c>
      <c r="H90" s="19"/>
      <c r="I90" s="19"/>
      <c r="J90" s="18">
        <v>1</v>
      </c>
      <c r="K90" s="19"/>
      <c r="L90" s="19"/>
      <c r="M90" s="19"/>
      <c r="N90" s="19"/>
      <c r="O90" s="19"/>
      <c r="P90" s="19"/>
      <c r="Q90" s="19"/>
      <c r="R90" s="19"/>
      <c r="S90" s="19"/>
      <c r="T90" s="19"/>
      <c r="U90" s="19"/>
      <c r="V90" s="19"/>
      <c r="W90" s="19"/>
      <c r="X90" s="19"/>
      <c r="Y90" s="19"/>
    </row>
    <row r="91" spans="1:25" ht="28.8">
      <c r="A91" s="10">
        <v>1</v>
      </c>
      <c r="B91" s="10" t="s">
        <v>224</v>
      </c>
      <c r="C91" s="11">
        <v>353</v>
      </c>
      <c r="D91" s="11">
        <v>8</v>
      </c>
      <c r="E91" s="12">
        <v>43805</v>
      </c>
      <c r="F91" s="13" t="str">
        <f>HYPERLINK("https://jatim.suara.com/read/2019/06/12/210353/keberatan-dijerat-uu-ite-pengacara-chat-dan-foto-masuk-privasi-vanessa ","sumber")</f>
        <v>sumber</v>
      </c>
      <c r="G91" s="11" t="s">
        <v>1</v>
      </c>
      <c r="H91" s="14"/>
      <c r="I91" s="11">
        <v>1</v>
      </c>
      <c r="J91" s="11">
        <v>1</v>
      </c>
      <c r="K91" s="11" t="s">
        <v>225</v>
      </c>
      <c r="L91" s="11">
        <v>0</v>
      </c>
      <c r="M91" s="11">
        <v>0</v>
      </c>
      <c r="N91" s="15">
        <v>0</v>
      </c>
      <c r="O91" s="11">
        <v>0</v>
      </c>
      <c r="P91" s="11">
        <v>0</v>
      </c>
      <c r="Q91" s="11">
        <v>0</v>
      </c>
      <c r="R91" s="11">
        <v>0</v>
      </c>
      <c r="S91" s="14"/>
      <c r="T91" s="11">
        <v>0</v>
      </c>
      <c r="U91" s="11">
        <v>0</v>
      </c>
      <c r="V91" s="11">
        <v>0</v>
      </c>
      <c r="W91" s="14"/>
      <c r="X91" s="14"/>
      <c r="Y91" s="14"/>
    </row>
    <row r="92" spans="1:25" ht="28.8">
      <c r="A92" s="10">
        <v>1</v>
      </c>
      <c r="B92" s="10" t="s">
        <v>226</v>
      </c>
      <c r="C92" s="11">
        <v>354</v>
      </c>
      <c r="D92" s="11">
        <v>8</v>
      </c>
      <c r="E92" s="11" t="s">
        <v>227</v>
      </c>
      <c r="F92" s="13" t="str">
        <f>HYPERLINK("https://www.suara.com/news/2019/06/15/211835/sambil-diikat-polisi-gadungan-perkosa-gadis-belia-di-depan-sang-pacar ","sumber")</f>
        <v>sumber</v>
      </c>
      <c r="G92" s="11" t="s">
        <v>1</v>
      </c>
      <c r="H92" s="14"/>
      <c r="I92" s="11">
        <v>1</v>
      </c>
      <c r="J92" s="11">
        <v>1</v>
      </c>
      <c r="K92" s="11" t="s">
        <v>228</v>
      </c>
      <c r="L92" s="11">
        <v>0</v>
      </c>
      <c r="M92" s="11">
        <v>0</v>
      </c>
      <c r="N92" s="15">
        <v>0</v>
      </c>
      <c r="O92" s="11">
        <v>1</v>
      </c>
      <c r="P92" s="11">
        <v>0</v>
      </c>
      <c r="Q92" s="11">
        <v>0</v>
      </c>
      <c r="R92" s="11">
        <v>0</v>
      </c>
      <c r="S92" s="14"/>
      <c r="T92" s="11">
        <v>0</v>
      </c>
      <c r="U92" s="11">
        <v>0</v>
      </c>
      <c r="V92" s="11">
        <v>0</v>
      </c>
      <c r="W92" s="14"/>
      <c r="X92" s="14"/>
      <c r="Y92" s="14"/>
    </row>
    <row r="93" spans="1:25" ht="26.4">
      <c r="A93" s="10">
        <v>1</v>
      </c>
      <c r="B93" s="10" t="s">
        <v>229</v>
      </c>
      <c r="C93" s="11">
        <v>355</v>
      </c>
      <c r="D93" s="11">
        <v>5</v>
      </c>
      <c r="E93" s="11" t="s">
        <v>227</v>
      </c>
      <c r="F93" s="13" t="str">
        <f>HYPERLINK("https://tirto.id/dari-jennie-hingga-yang-hyun-suk-kronologi-skandal-yg-entertaiment-ecqU ","sumber")</f>
        <v>sumber</v>
      </c>
      <c r="G93" s="11" t="s">
        <v>1</v>
      </c>
      <c r="H93" s="14"/>
      <c r="I93" s="11">
        <v>1</v>
      </c>
      <c r="J93" s="11">
        <v>1</v>
      </c>
      <c r="K93" s="11" t="s">
        <v>230</v>
      </c>
      <c r="L93" s="11">
        <v>0</v>
      </c>
      <c r="M93" s="11">
        <v>0</v>
      </c>
      <c r="N93" s="15">
        <v>0</v>
      </c>
      <c r="O93" s="11">
        <v>0</v>
      </c>
      <c r="P93" s="11">
        <v>0</v>
      </c>
      <c r="Q93" s="11" t="s">
        <v>57</v>
      </c>
      <c r="R93" s="11" t="s">
        <v>57</v>
      </c>
      <c r="S93" s="14"/>
      <c r="T93" s="11">
        <v>0</v>
      </c>
      <c r="U93" s="11">
        <v>0</v>
      </c>
      <c r="V93" s="11">
        <v>0</v>
      </c>
      <c r="W93" s="14"/>
      <c r="X93" s="14"/>
      <c r="Y93" s="14"/>
    </row>
    <row r="94" spans="1:25" ht="14.4">
      <c r="A94" s="17">
        <v>2</v>
      </c>
      <c r="B94" s="17" t="s">
        <v>231</v>
      </c>
      <c r="C94" s="18">
        <v>356</v>
      </c>
      <c r="D94" s="18">
        <v>4</v>
      </c>
      <c r="E94" s="19"/>
      <c r="F94" s="20" t="str">
        <f>HYPERLINK("https://www.liputan6.com/news/read/3994460/pimpin-delegasi-indonesia-pada-sidang-ilc-di-swiss-menaker-sampaikan-4-hal-ini ","sumber")</f>
        <v>sumber</v>
      </c>
      <c r="G94" s="18" t="s">
        <v>1</v>
      </c>
      <c r="H94" s="19"/>
      <c r="I94" s="19"/>
      <c r="J94" s="18">
        <v>1</v>
      </c>
      <c r="K94" s="19"/>
      <c r="L94" s="19"/>
      <c r="M94" s="19"/>
      <c r="N94" s="19"/>
      <c r="O94" s="19"/>
      <c r="P94" s="19"/>
      <c r="Q94" s="19"/>
      <c r="R94" s="19"/>
      <c r="S94" s="19"/>
      <c r="T94" s="19"/>
      <c r="U94" s="19"/>
      <c r="V94" s="19"/>
      <c r="W94" s="19"/>
      <c r="X94" s="19"/>
      <c r="Y94" s="19"/>
    </row>
    <row r="95" spans="1:25" ht="28.8">
      <c r="A95" s="2">
        <v>1</v>
      </c>
      <c r="B95" s="2" t="s">
        <v>232</v>
      </c>
      <c r="C95" s="3">
        <v>357</v>
      </c>
      <c r="D95" s="3">
        <v>2</v>
      </c>
      <c r="E95" s="3" t="s">
        <v>227</v>
      </c>
      <c r="F95" s="5" t="str">
        <f>HYPERLINK(" https://www.cnnindonesia.com/internasional/20190615035326-134-403480/asa-upah-setara-dalam-unjuk-rasa-ratusan-ribu-perempuan-swiss ","sumber")</f>
        <v>sumber</v>
      </c>
      <c r="G95" s="3" t="s">
        <v>1</v>
      </c>
      <c r="H95" s="3">
        <v>451</v>
      </c>
      <c r="I95" s="3">
        <v>4</v>
      </c>
      <c r="J95" s="3">
        <v>1</v>
      </c>
      <c r="K95" s="3" t="s">
        <v>233</v>
      </c>
      <c r="L95" s="3">
        <v>0</v>
      </c>
      <c r="M95" s="3">
        <v>0</v>
      </c>
      <c r="N95" s="16">
        <v>0</v>
      </c>
      <c r="O95" s="3">
        <v>0</v>
      </c>
      <c r="P95" s="3">
        <v>0</v>
      </c>
      <c r="Q95" s="3" t="s">
        <v>29</v>
      </c>
      <c r="R95" s="3" t="s">
        <v>182</v>
      </c>
      <c r="S95" s="7"/>
      <c r="T95" s="3">
        <v>0</v>
      </c>
      <c r="U95" s="3">
        <v>0</v>
      </c>
      <c r="V95" s="3">
        <v>1</v>
      </c>
      <c r="W95" s="7"/>
      <c r="X95" s="7"/>
      <c r="Y95" s="7"/>
    </row>
    <row r="96" spans="1:25" ht="28.8">
      <c r="A96" s="10">
        <v>1</v>
      </c>
      <c r="B96" s="10" t="s">
        <v>234</v>
      </c>
      <c r="C96" s="11">
        <v>358</v>
      </c>
      <c r="D96" s="11">
        <v>6</v>
      </c>
      <c r="E96" s="11" t="s">
        <v>235</v>
      </c>
      <c r="F96" s="13" t="str">
        <f>HYPERLINK("https://news.okezone.com/read/2019/06/21/609/2069464/pemerkosaan-pelayan-warung-dari-5-pelaku-ada-yang-hanya-mencium-dan-meraba ","sumber")</f>
        <v>sumber</v>
      </c>
      <c r="G96" s="11" t="s">
        <v>1</v>
      </c>
      <c r="H96" s="14"/>
      <c r="I96" s="11">
        <v>1</v>
      </c>
      <c r="J96" s="11">
        <v>1</v>
      </c>
      <c r="K96" s="11" t="s">
        <v>236</v>
      </c>
      <c r="L96" s="11">
        <v>0</v>
      </c>
      <c r="M96" s="11">
        <v>0</v>
      </c>
      <c r="N96" s="15">
        <v>0</v>
      </c>
      <c r="O96" s="11">
        <v>1</v>
      </c>
      <c r="P96" s="11">
        <v>-1</v>
      </c>
      <c r="Q96" s="11">
        <v>0</v>
      </c>
      <c r="R96" s="11">
        <v>0</v>
      </c>
      <c r="S96" s="14"/>
      <c r="T96" s="11">
        <v>0</v>
      </c>
      <c r="U96" s="11">
        <v>0</v>
      </c>
      <c r="V96" s="11">
        <v>0</v>
      </c>
      <c r="W96" s="14"/>
      <c r="X96" s="14"/>
      <c r="Y96" s="14"/>
    </row>
    <row r="97" spans="1:25" ht="28.8">
      <c r="A97" s="10">
        <v>1</v>
      </c>
      <c r="B97" s="10" t="s">
        <v>237</v>
      </c>
      <c r="C97" s="11">
        <v>359</v>
      </c>
      <c r="D97" s="11">
        <v>2</v>
      </c>
      <c r="E97" s="11" t="s">
        <v>238</v>
      </c>
      <c r="F97" s="13" t="str">
        <f>HYPERLINK("https://www.cnnindonesia.com/internasional/20190625122411-127-406175/faedah-jurus-pencak-silat-lindungi-kaum-hawa-di-mesir ","sumber")</f>
        <v>sumber</v>
      </c>
      <c r="G97" s="11" t="s">
        <v>1</v>
      </c>
      <c r="H97" s="14"/>
      <c r="I97" s="11">
        <v>1</v>
      </c>
      <c r="J97" s="11">
        <v>1</v>
      </c>
      <c r="K97" s="11" t="s">
        <v>239</v>
      </c>
      <c r="L97" s="11">
        <v>0</v>
      </c>
      <c r="M97" s="11">
        <v>0</v>
      </c>
      <c r="N97" s="15">
        <v>0</v>
      </c>
      <c r="O97" s="11">
        <v>0</v>
      </c>
      <c r="P97" s="11">
        <v>0</v>
      </c>
      <c r="Q97" s="11" t="s">
        <v>178</v>
      </c>
      <c r="R97" s="11" t="s">
        <v>29</v>
      </c>
      <c r="S97" s="14"/>
      <c r="T97" s="11">
        <v>0</v>
      </c>
      <c r="U97" s="11">
        <v>0</v>
      </c>
      <c r="V97" s="11">
        <v>0</v>
      </c>
      <c r="W97" s="14"/>
      <c r="X97" s="14"/>
      <c r="Y97" s="14"/>
    </row>
    <row r="98" spans="1:25" ht="28.8">
      <c r="A98" s="10">
        <v>1</v>
      </c>
      <c r="B98" s="10" t="s">
        <v>240</v>
      </c>
      <c r="C98" s="11">
        <v>360</v>
      </c>
      <c r="D98" s="11">
        <v>10</v>
      </c>
      <c r="E98" s="11" t="s">
        <v>241</v>
      </c>
      <c r="F98" s="13" t="str">
        <f>HYPERLINK("https://bola.tempo.co/read/1219149/bela-pemain-yang-lakukan-pelecehan-seksual-mo-salah-dikritik ","sumber")</f>
        <v>sumber</v>
      </c>
      <c r="G98" s="11" t="s">
        <v>1</v>
      </c>
      <c r="H98" s="14"/>
      <c r="I98" s="11">
        <v>1</v>
      </c>
      <c r="J98" s="11">
        <v>1</v>
      </c>
      <c r="K98" s="11" t="s">
        <v>242</v>
      </c>
      <c r="L98" s="11">
        <v>0</v>
      </c>
      <c r="M98" s="11">
        <v>0</v>
      </c>
      <c r="N98" s="15">
        <v>0</v>
      </c>
      <c r="O98" s="11">
        <v>0</v>
      </c>
      <c r="P98" s="11">
        <v>0</v>
      </c>
      <c r="Q98" s="11" t="s">
        <v>29</v>
      </c>
      <c r="R98" s="11" t="s">
        <v>182</v>
      </c>
      <c r="S98" s="14"/>
      <c r="T98" s="11">
        <v>0</v>
      </c>
      <c r="U98" s="11">
        <v>0</v>
      </c>
      <c r="V98" s="11">
        <v>0</v>
      </c>
      <c r="W98" s="14"/>
      <c r="X98" s="14"/>
      <c r="Y98" s="14"/>
    </row>
    <row r="99" spans="1:25" ht="39.6">
      <c r="A99" s="10">
        <v>1</v>
      </c>
      <c r="B99" s="10" t="s">
        <v>243</v>
      </c>
      <c r="C99" s="11">
        <v>361</v>
      </c>
      <c r="D99" s="11">
        <v>4</v>
      </c>
      <c r="E99" s="12">
        <v>43472</v>
      </c>
      <c r="F99" s="13" t="str">
        <f>HYPERLINK("https://hot.liputan6.com/read/4002439/fairuz-a-rafiq-laporkan-galih-ginanjar-ke-polisi-ini-kronologi-perseteruannya ","sumber")</f>
        <v>sumber</v>
      </c>
      <c r="G99" s="11" t="s">
        <v>1</v>
      </c>
      <c r="H99" s="14"/>
      <c r="I99" s="11">
        <v>1</v>
      </c>
      <c r="J99" s="11">
        <v>1</v>
      </c>
      <c r="K99" s="11" t="s">
        <v>244</v>
      </c>
      <c r="L99" s="11">
        <v>0</v>
      </c>
      <c r="M99" s="11">
        <v>0</v>
      </c>
      <c r="N99" s="15">
        <v>0</v>
      </c>
      <c r="O99" s="11">
        <v>0</v>
      </c>
      <c r="P99" s="11">
        <v>0</v>
      </c>
      <c r="Q99" s="11" t="s">
        <v>245</v>
      </c>
      <c r="R99" s="11" t="s">
        <v>246</v>
      </c>
      <c r="S99" s="14"/>
      <c r="T99" s="11">
        <v>0</v>
      </c>
      <c r="U99" s="11">
        <v>0</v>
      </c>
      <c r="V99" s="11">
        <v>0</v>
      </c>
      <c r="W99" s="14"/>
      <c r="X99" s="14"/>
      <c r="Y99" s="14"/>
    </row>
    <row r="100" spans="1:25" ht="28.8">
      <c r="A100" s="10">
        <v>1</v>
      </c>
      <c r="B100" s="10" t="s">
        <v>247</v>
      </c>
      <c r="C100" s="11">
        <v>362</v>
      </c>
      <c r="D100" s="11">
        <v>6</v>
      </c>
      <c r="E100" s="12">
        <v>43623</v>
      </c>
      <c r="F100" s="13" t="str">
        <f>HYPERLINK("https://celebrity.okezone.com/read/2019/07/06/33/2075537/pamer-belahan-dada-vanessa-angel-tuai-kritikan-netizen ","sumber")</f>
        <v>sumber</v>
      </c>
      <c r="G100" s="11" t="s">
        <v>1</v>
      </c>
      <c r="H100" s="14"/>
      <c r="I100" s="11">
        <v>1</v>
      </c>
      <c r="J100" s="11">
        <v>1</v>
      </c>
      <c r="K100" s="11" t="s">
        <v>248</v>
      </c>
      <c r="L100" s="11">
        <v>0</v>
      </c>
      <c r="M100" s="11">
        <v>-1</v>
      </c>
      <c r="N100" s="15">
        <v>0</v>
      </c>
      <c r="O100" s="11">
        <v>0</v>
      </c>
      <c r="P100" s="11">
        <v>0</v>
      </c>
      <c r="Q100" s="11" t="s">
        <v>21</v>
      </c>
      <c r="R100" s="11" t="s">
        <v>249</v>
      </c>
      <c r="S100" s="14"/>
      <c r="T100" s="11">
        <v>0</v>
      </c>
      <c r="U100" s="11">
        <v>0</v>
      </c>
      <c r="V100" s="11">
        <v>0</v>
      </c>
      <c r="W100" s="14"/>
      <c r="X100" s="14"/>
      <c r="Y100" s="14"/>
    </row>
    <row r="101" spans="1:25" ht="14.4">
      <c r="A101" s="10">
        <v>1</v>
      </c>
      <c r="B101" s="10" t="s">
        <v>250</v>
      </c>
      <c r="C101" s="11">
        <v>363</v>
      </c>
      <c r="D101" s="11">
        <v>7</v>
      </c>
      <c r="E101" s="12">
        <v>43653</v>
      </c>
      <c r="F101" s="13" t="str">
        <f>HYPERLINK("http://www.tribunnews.com/superskor/2019/07/07/wasit-seksi-mendapat-pelecehan-seksual-penggemarnya-minta-pelaku-dipolisikan ","sumber")</f>
        <v>sumber</v>
      </c>
      <c r="G101" s="11" t="s">
        <v>1</v>
      </c>
      <c r="H101" s="14"/>
      <c r="I101" s="11">
        <v>1</v>
      </c>
      <c r="J101" s="11">
        <v>1</v>
      </c>
      <c r="K101" s="11" t="s">
        <v>251</v>
      </c>
      <c r="L101" s="11">
        <v>0</v>
      </c>
      <c r="M101" s="11">
        <v>1</v>
      </c>
      <c r="N101" s="15">
        <v>0</v>
      </c>
      <c r="O101" s="11">
        <v>0</v>
      </c>
      <c r="P101" s="11">
        <v>0</v>
      </c>
      <c r="Q101" s="11">
        <v>2</v>
      </c>
      <c r="R101" s="11">
        <v>1</v>
      </c>
      <c r="S101" s="14"/>
      <c r="T101" s="11">
        <v>0</v>
      </c>
      <c r="U101" s="11">
        <v>-1</v>
      </c>
      <c r="V101" s="11">
        <v>0</v>
      </c>
      <c r="W101" s="14"/>
      <c r="X101" s="14"/>
      <c r="Y101" s="14"/>
    </row>
    <row r="102" spans="1:25" ht="28.8">
      <c r="A102" s="10">
        <v>1</v>
      </c>
      <c r="B102" s="10" t="s">
        <v>252</v>
      </c>
      <c r="C102" s="11">
        <v>364</v>
      </c>
      <c r="D102" s="11">
        <v>6</v>
      </c>
      <c r="E102" s="12">
        <v>43745</v>
      </c>
      <c r="F102" s="13" t="str">
        <f>HYPERLINK("https://megapolitan.kompas.com/read/2019/07/10/17495161/polisi-periksa-kondisi-kejiwaan-pelaku-yang-bacok-istri-karena-tolak ","sumber")</f>
        <v>sumber</v>
      </c>
      <c r="G102" s="11" t="s">
        <v>1</v>
      </c>
      <c r="H102" s="14"/>
      <c r="I102" s="11">
        <v>1</v>
      </c>
      <c r="J102" s="11">
        <v>1</v>
      </c>
      <c r="K102" s="11" t="s">
        <v>253</v>
      </c>
      <c r="L102" s="11">
        <v>0</v>
      </c>
      <c r="M102" s="11">
        <v>0</v>
      </c>
      <c r="N102" s="15">
        <v>0</v>
      </c>
      <c r="O102" s="11">
        <v>0</v>
      </c>
      <c r="P102" s="11">
        <v>0</v>
      </c>
      <c r="Q102" s="11">
        <v>0</v>
      </c>
      <c r="R102" s="11">
        <v>0</v>
      </c>
      <c r="S102" s="14"/>
      <c r="T102" s="11">
        <v>0</v>
      </c>
      <c r="U102" s="11">
        <v>0</v>
      </c>
      <c r="V102" s="11">
        <v>0</v>
      </c>
      <c r="W102" s="14"/>
      <c r="X102" s="14"/>
      <c r="Y102" s="14"/>
    </row>
    <row r="103" spans="1:25" ht="39.6">
      <c r="A103" s="10">
        <v>1</v>
      </c>
      <c r="B103" s="10" t="s">
        <v>254</v>
      </c>
      <c r="C103" s="11">
        <v>365</v>
      </c>
      <c r="D103" s="11">
        <v>9</v>
      </c>
      <c r="E103" s="12">
        <v>43745</v>
      </c>
      <c r="F103" s="13" t="str">
        <f>HYPERLINK("https://nasional.republika.co.id/berita/puewxb409/laporan-berhenti-di-penyelidikan-baiq-nuril-fokus-amnesti ","sumber")</f>
        <v>sumber</v>
      </c>
      <c r="G103" s="11" t="s">
        <v>1</v>
      </c>
      <c r="H103" s="14"/>
      <c r="I103" s="11">
        <v>1</v>
      </c>
      <c r="J103" s="11">
        <v>1</v>
      </c>
      <c r="K103" s="11" t="s">
        <v>255</v>
      </c>
      <c r="L103" s="11">
        <v>0</v>
      </c>
      <c r="M103" s="11">
        <v>0</v>
      </c>
      <c r="N103" s="15">
        <v>0</v>
      </c>
      <c r="O103" s="11">
        <v>0</v>
      </c>
      <c r="P103" s="11">
        <v>0</v>
      </c>
      <c r="Q103" s="11" t="s">
        <v>21</v>
      </c>
      <c r="R103" s="11" t="s">
        <v>21</v>
      </c>
      <c r="S103" s="14"/>
      <c r="T103" s="11">
        <v>0</v>
      </c>
      <c r="U103" s="11">
        <v>0</v>
      </c>
      <c r="V103" s="11">
        <v>0</v>
      </c>
      <c r="W103" s="14"/>
      <c r="X103" s="14"/>
      <c r="Y103" s="14"/>
    </row>
    <row r="104" spans="1:25" ht="14.4">
      <c r="A104" s="10">
        <v>1</v>
      </c>
      <c r="B104" s="10" t="s">
        <v>256</v>
      </c>
      <c r="C104" s="11">
        <v>366</v>
      </c>
      <c r="D104" s="11">
        <v>7</v>
      </c>
      <c r="E104" s="12">
        <v>43745</v>
      </c>
      <c r="F104" s="13" t="str">
        <f>HYPERLINK("https://www.tribunnews.com/regional/2019/07/10/modus-kemalaman-dan-ajak-bermalam-di-kantor-lelaki-di-sulut-ini-perkosa-wanita-rekan-sendiri ","sumber")</f>
        <v>sumber</v>
      </c>
      <c r="G104" s="11" t="s">
        <v>1</v>
      </c>
      <c r="H104" s="14"/>
      <c r="I104" s="11">
        <v>1</v>
      </c>
      <c r="J104" s="11">
        <v>1</v>
      </c>
      <c r="K104" s="11" t="s">
        <v>257</v>
      </c>
      <c r="L104" s="11">
        <v>0</v>
      </c>
      <c r="M104" s="11">
        <v>0</v>
      </c>
      <c r="N104" s="15">
        <v>0</v>
      </c>
      <c r="O104" s="11">
        <v>1</v>
      </c>
      <c r="P104" s="11">
        <v>0</v>
      </c>
      <c r="Q104" s="11">
        <v>0</v>
      </c>
      <c r="R104" s="11">
        <v>0</v>
      </c>
      <c r="S104" s="14"/>
      <c r="T104" s="11">
        <v>0</v>
      </c>
      <c r="U104" s="11">
        <v>0</v>
      </c>
      <c r="V104" s="11">
        <v>0</v>
      </c>
      <c r="W104" s="14"/>
      <c r="X104" s="14"/>
      <c r="Y104" s="14"/>
    </row>
    <row r="105" spans="1:25" ht="52.8">
      <c r="A105" s="10">
        <v>1</v>
      </c>
      <c r="B105" s="10" t="s">
        <v>258</v>
      </c>
      <c r="C105" s="11">
        <v>367</v>
      </c>
      <c r="D105" s="11">
        <v>9</v>
      </c>
      <c r="E105" s="12">
        <v>43806</v>
      </c>
      <c r="F105" s="13" t="str">
        <f>HYPERLINK("https://nasional.republika.co.id/berita/pui5kf440/babak-baru-kasus-pelecehan-baiq-nuril ","sumber")</f>
        <v>sumber</v>
      </c>
      <c r="G105" s="11" t="s">
        <v>1</v>
      </c>
      <c r="H105" s="14"/>
      <c r="I105" s="11">
        <v>1</v>
      </c>
      <c r="J105" s="11">
        <v>1</v>
      </c>
      <c r="K105" s="11" t="s">
        <v>259</v>
      </c>
      <c r="L105" s="11">
        <v>0</v>
      </c>
      <c r="M105" s="11">
        <v>0</v>
      </c>
      <c r="N105" s="15">
        <v>0</v>
      </c>
      <c r="O105" s="11">
        <v>0</v>
      </c>
      <c r="P105" s="11">
        <v>0</v>
      </c>
      <c r="Q105" s="11" t="s">
        <v>21</v>
      </c>
      <c r="R105" s="11" t="s">
        <v>21</v>
      </c>
      <c r="S105" s="14"/>
      <c r="T105" s="11">
        <v>0</v>
      </c>
      <c r="U105" s="11">
        <v>0</v>
      </c>
      <c r="V105" s="11">
        <v>0</v>
      </c>
      <c r="W105" s="14"/>
      <c r="X105" s="14"/>
      <c r="Y105" s="14"/>
    </row>
    <row r="106" spans="1:25" ht="14.4">
      <c r="A106" s="10">
        <v>1</v>
      </c>
      <c r="B106" s="10" t="s">
        <v>260</v>
      </c>
      <c r="C106" s="11">
        <v>368</v>
      </c>
      <c r="D106" s="11">
        <v>4</v>
      </c>
      <c r="E106" s="11" t="s">
        <v>261</v>
      </c>
      <c r="F106" s="13" t="str">
        <f>HYPERLINK("https://www.liputan6.com/showbiz/read/4015795/saat-ditangkap-polisi-kang-ji-hwan-sedang-asyik-karaoke ","sumber")</f>
        <v>sumber</v>
      </c>
      <c r="G106" s="11" t="s">
        <v>1</v>
      </c>
      <c r="H106" s="14"/>
      <c r="I106" s="11">
        <v>1</v>
      </c>
      <c r="J106" s="11">
        <v>1</v>
      </c>
      <c r="K106" s="11"/>
      <c r="L106" s="11">
        <v>0</v>
      </c>
      <c r="M106" s="11">
        <v>0</v>
      </c>
      <c r="N106" s="15">
        <v>0</v>
      </c>
      <c r="O106" s="11">
        <v>0</v>
      </c>
      <c r="P106" s="11">
        <v>0</v>
      </c>
      <c r="Q106" s="11"/>
      <c r="R106" s="11"/>
      <c r="S106" s="14"/>
      <c r="T106" s="11">
        <v>0</v>
      </c>
      <c r="U106" s="11">
        <v>0</v>
      </c>
      <c r="V106" s="11">
        <v>0</v>
      </c>
      <c r="W106" s="14"/>
      <c r="X106" s="14"/>
      <c r="Y106" s="14"/>
    </row>
    <row r="107" spans="1:25" ht="14.4">
      <c r="A107" s="10">
        <v>1</v>
      </c>
      <c r="B107" s="10" t="s">
        <v>262</v>
      </c>
      <c r="C107" s="11">
        <v>369</v>
      </c>
      <c r="D107" s="11">
        <v>5</v>
      </c>
      <c r="E107" s="11" t="s">
        <v>263</v>
      </c>
      <c r="F107" s="13" t="str">
        <f>HYPERLINK("https://tirto.id/setujui-amnesti-baiq-nuril-dpr-juga-minta-kasus-pelecehan-diusut-eeZh ","sumber")</f>
        <v>sumber</v>
      </c>
      <c r="G107" s="11" t="s">
        <v>1</v>
      </c>
      <c r="H107" s="14"/>
      <c r="I107" s="11">
        <v>1</v>
      </c>
      <c r="J107" s="11">
        <v>1</v>
      </c>
      <c r="K107" s="11" t="s">
        <v>264</v>
      </c>
      <c r="L107" s="11">
        <v>0</v>
      </c>
      <c r="M107" s="11">
        <v>0</v>
      </c>
      <c r="N107" s="15">
        <v>0</v>
      </c>
      <c r="O107" s="11">
        <v>0</v>
      </c>
      <c r="P107" s="11">
        <v>0</v>
      </c>
      <c r="Q107" s="11">
        <v>0</v>
      </c>
      <c r="R107" s="11">
        <v>0</v>
      </c>
      <c r="S107" s="14"/>
      <c r="T107" s="11">
        <v>0</v>
      </c>
      <c r="U107" s="11">
        <v>0</v>
      </c>
      <c r="V107" s="11">
        <v>0</v>
      </c>
      <c r="W107" s="14"/>
      <c r="X107" s="14"/>
      <c r="Y107" s="14"/>
    </row>
    <row r="108" spans="1:25" ht="39.6">
      <c r="A108" s="10">
        <v>1</v>
      </c>
      <c r="B108" s="10" t="s">
        <v>265</v>
      </c>
      <c r="C108" s="11">
        <v>370</v>
      </c>
      <c r="D108" s="11">
        <v>8</v>
      </c>
      <c r="E108" s="12">
        <v>43685</v>
      </c>
      <c r="F108" s="13" t="str">
        <f>HYPERLINK("https://www.suara.com/news/2019/08/08/130421/pencari-suaka-afganistan-diduga-pesta-seks-dengan-2-perempuan-indonesia ","sumber")</f>
        <v>sumber</v>
      </c>
      <c r="G108" s="11" t="s">
        <v>1</v>
      </c>
      <c r="H108" s="14"/>
      <c r="I108" s="11">
        <v>1</v>
      </c>
      <c r="J108" s="11">
        <v>1</v>
      </c>
      <c r="K108" s="11" t="s">
        <v>266</v>
      </c>
      <c r="L108" s="11">
        <v>0</v>
      </c>
      <c r="M108" s="11">
        <v>0</v>
      </c>
      <c r="N108" s="15">
        <v>0</v>
      </c>
      <c r="O108" s="11">
        <v>0</v>
      </c>
      <c r="P108" s="11">
        <v>0</v>
      </c>
      <c r="Q108" s="11">
        <v>0</v>
      </c>
      <c r="R108" s="11">
        <v>0</v>
      </c>
      <c r="S108" s="14"/>
      <c r="T108" s="11">
        <v>0</v>
      </c>
      <c r="U108" s="11">
        <v>0</v>
      </c>
      <c r="V108" s="11">
        <v>0</v>
      </c>
      <c r="W108" s="14"/>
      <c r="X108" s="14"/>
      <c r="Y108" s="14"/>
    </row>
    <row r="109" spans="1:25" ht="26.4">
      <c r="A109" s="2">
        <v>1</v>
      </c>
      <c r="B109" s="2" t="s">
        <v>267</v>
      </c>
      <c r="C109" s="3">
        <v>371</v>
      </c>
      <c r="D109" s="3">
        <v>7</v>
      </c>
      <c r="E109" s="3" t="s">
        <v>268</v>
      </c>
      <c r="F109" s="5" t="str">
        <f>HYPERLINK("https://www.tribunnews.com/metropolitan/2019/08/18/pelaku-pelecehan-seksual-di-gerbong-krl-ditangkap-mengaku-pengantin-baru ","sumber")</f>
        <v>sumber</v>
      </c>
      <c r="G109" s="3" t="s">
        <v>1</v>
      </c>
      <c r="H109" s="3">
        <v>232</v>
      </c>
      <c r="I109" s="3">
        <v>1</v>
      </c>
      <c r="J109" s="3">
        <v>1</v>
      </c>
      <c r="K109" s="3" t="s">
        <v>269</v>
      </c>
      <c r="L109" s="3">
        <v>0</v>
      </c>
      <c r="M109" s="3">
        <v>0</v>
      </c>
      <c r="N109" s="16">
        <v>0</v>
      </c>
      <c r="O109" s="3">
        <v>0</v>
      </c>
      <c r="P109" s="3">
        <v>0</v>
      </c>
      <c r="Q109" s="3">
        <v>0</v>
      </c>
      <c r="R109" s="3">
        <v>0</v>
      </c>
      <c r="S109" s="7"/>
      <c r="T109" s="3">
        <v>0</v>
      </c>
      <c r="U109" s="3">
        <v>0</v>
      </c>
      <c r="V109" s="3">
        <v>0</v>
      </c>
      <c r="W109" s="7"/>
      <c r="X109" s="7"/>
      <c r="Y109" s="7"/>
    </row>
    <row r="110" spans="1:25" ht="28.8">
      <c r="A110" s="10">
        <v>1</v>
      </c>
      <c r="B110" s="10" t="s">
        <v>270</v>
      </c>
      <c r="C110" s="11">
        <v>372</v>
      </c>
      <c r="D110" s="11">
        <v>8</v>
      </c>
      <c r="E110" s="11" t="s">
        <v>271</v>
      </c>
      <c r="F110" s="13" t="str">
        <f>HYPERLINK("https://jatim.suara.com/read/2019/08/14/210339/khusus-threesome-dian-jual-istri-siri-di-grup-fb-pasutri-bahagia ","sumber")</f>
        <v>sumber</v>
      </c>
      <c r="G110" s="11" t="s">
        <v>1</v>
      </c>
      <c r="H110" s="14"/>
      <c r="I110" s="11">
        <v>1</v>
      </c>
      <c r="J110" s="11">
        <v>1</v>
      </c>
      <c r="K110" s="11" t="s">
        <v>272</v>
      </c>
      <c r="L110" s="11">
        <v>0</v>
      </c>
      <c r="M110" s="11">
        <v>0</v>
      </c>
      <c r="N110" s="15">
        <v>0</v>
      </c>
      <c r="O110" s="11">
        <v>0</v>
      </c>
      <c r="P110" s="11">
        <v>0</v>
      </c>
      <c r="Q110" s="11">
        <v>0</v>
      </c>
      <c r="R110" s="11">
        <v>0</v>
      </c>
      <c r="S110" s="14"/>
      <c r="T110" s="11">
        <v>0</v>
      </c>
      <c r="U110" s="11">
        <v>0</v>
      </c>
      <c r="V110" s="11">
        <v>0</v>
      </c>
      <c r="W110" s="14"/>
      <c r="X110" s="14"/>
      <c r="Y110" s="14"/>
    </row>
    <row r="111" spans="1:25" ht="28.8">
      <c r="A111" s="10">
        <v>1</v>
      </c>
      <c r="B111" s="10" t="s">
        <v>273</v>
      </c>
      <c r="C111" s="11">
        <v>373</v>
      </c>
      <c r="D111" s="11">
        <v>1</v>
      </c>
      <c r="E111" s="11" t="s">
        <v>274</v>
      </c>
      <c r="F111" s="13" t="str">
        <f>HYPERLINK("https://news.detik.com/berita/d-4680262/lpsk-sayangkan-anggaran-turun-drastis-permohonan-layanan-naik-signifikan ","sumber")</f>
        <v>sumber</v>
      </c>
      <c r="G111" s="11" t="s">
        <v>1</v>
      </c>
      <c r="H111" s="14"/>
      <c r="I111" s="11">
        <v>4</v>
      </c>
      <c r="J111" s="11">
        <v>1</v>
      </c>
      <c r="K111" s="11" t="s">
        <v>275</v>
      </c>
      <c r="L111" s="11">
        <v>0</v>
      </c>
      <c r="M111" s="11">
        <v>0</v>
      </c>
      <c r="N111" s="15">
        <v>0</v>
      </c>
      <c r="O111" s="11">
        <v>0</v>
      </c>
      <c r="P111" s="11">
        <v>0</v>
      </c>
      <c r="Q111" s="11" t="s">
        <v>29</v>
      </c>
      <c r="R111" s="11" t="s">
        <v>160</v>
      </c>
      <c r="S111" s="14"/>
      <c r="T111" s="11">
        <v>0</v>
      </c>
      <c r="U111" s="11">
        <v>0</v>
      </c>
      <c r="V111" s="11">
        <v>1</v>
      </c>
      <c r="W111" s="14"/>
      <c r="X111" s="14"/>
      <c r="Y111" s="14"/>
    </row>
    <row r="112" spans="1:25" ht="14.4">
      <c r="A112" s="17">
        <v>2</v>
      </c>
      <c r="B112" s="17" t="s">
        <v>276</v>
      </c>
      <c r="C112" s="18">
        <v>374</v>
      </c>
      <c r="D112" s="18">
        <v>4</v>
      </c>
      <c r="E112" s="19"/>
      <c r="F112" s="20" t="str">
        <f>HYPERLINK("https://www.liputan6.com/global/read/4047289/kisah-matematikawan-era-pd-ii-alan-turing-dikebiri-kimia-akibat-homosekual ","sumber")</f>
        <v>sumber</v>
      </c>
      <c r="G112" s="18" t="s">
        <v>1</v>
      </c>
      <c r="H112" s="19"/>
      <c r="I112" s="19"/>
      <c r="J112" s="18">
        <v>1</v>
      </c>
      <c r="K112" s="19"/>
      <c r="L112" s="19"/>
      <c r="M112" s="19"/>
      <c r="N112" s="19"/>
      <c r="O112" s="19"/>
      <c r="P112" s="19"/>
      <c r="Q112" s="19"/>
      <c r="R112" s="19"/>
      <c r="S112" s="19"/>
      <c r="T112" s="19"/>
      <c r="U112" s="19"/>
      <c r="V112" s="19"/>
      <c r="W112" s="19"/>
      <c r="X112" s="19"/>
      <c r="Y112" s="19"/>
    </row>
    <row r="113" spans="1:25" ht="52.8">
      <c r="A113" s="10">
        <v>1</v>
      </c>
      <c r="B113" s="10" t="s">
        <v>277</v>
      </c>
      <c r="C113" s="11">
        <v>375</v>
      </c>
      <c r="D113" s="11">
        <v>7</v>
      </c>
      <c r="E113" s="11" t="s">
        <v>278</v>
      </c>
      <c r="F113" s="13" t="str">
        <f>HYPERLINK("https://www.tribunnews.com/nasional/2019/08/26/soal-vonis-kebiri-predator-anak-beda-pendapat-menteri-yohana-dan-khofifah-di-masa-lalu-jadi-sorotan ","sumber")</f>
        <v>sumber</v>
      </c>
      <c r="G113" s="11" t="s">
        <v>1</v>
      </c>
      <c r="H113" s="14"/>
      <c r="I113" s="11">
        <v>4</v>
      </c>
      <c r="J113" s="11">
        <v>1</v>
      </c>
      <c r="K113" s="11" t="s">
        <v>279</v>
      </c>
      <c r="L113" s="11">
        <v>0</v>
      </c>
      <c r="M113" s="11">
        <v>0</v>
      </c>
      <c r="N113" s="15">
        <v>0</v>
      </c>
      <c r="O113" s="11">
        <v>0</v>
      </c>
      <c r="P113" s="11">
        <v>0</v>
      </c>
      <c r="Q113" s="11" t="s">
        <v>21</v>
      </c>
      <c r="R113" s="11" t="s">
        <v>106</v>
      </c>
      <c r="S113" s="14"/>
      <c r="T113" s="11">
        <v>0</v>
      </c>
      <c r="U113" s="11">
        <v>0</v>
      </c>
      <c r="V113" s="11">
        <v>1</v>
      </c>
      <c r="W113" s="14"/>
      <c r="X113" s="14"/>
      <c r="Y113" s="14"/>
    </row>
    <row r="114" spans="1:25" ht="28.8">
      <c r="A114" s="2">
        <v>1</v>
      </c>
      <c r="B114" s="2" t="s">
        <v>280</v>
      </c>
      <c r="C114" s="3">
        <v>376</v>
      </c>
      <c r="D114" s="3">
        <v>1</v>
      </c>
      <c r="E114" s="4">
        <v>43624</v>
      </c>
      <c r="F114" s="5" t="str">
        <f>HYPERLINK(" https://news.detik.com/berita-jawa-timur/d-4654575/praktik-trafficking-di-pesisir-trenggalek-terbongkar ","sumber")</f>
        <v>sumber</v>
      </c>
      <c r="G114" s="3" t="s">
        <v>1</v>
      </c>
      <c r="H114" s="3">
        <v>434</v>
      </c>
      <c r="I114" s="3">
        <v>1</v>
      </c>
      <c r="J114" s="3">
        <v>1</v>
      </c>
      <c r="K114" s="3" t="s">
        <v>281</v>
      </c>
      <c r="L114" s="3">
        <v>0</v>
      </c>
      <c r="M114" s="3">
        <v>0</v>
      </c>
      <c r="N114" s="16">
        <v>0</v>
      </c>
      <c r="O114" s="3">
        <v>0</v>
      </c>
      <c r="P114" s="3">
        <v>0</v>
      </c>
      <c r="Q114" s="3" t="s">
        <v>29</v>
      </c>
      <c r="R114" s="3" t="s">
        <v>29</v>
      </c>
      <c r="S114" s="7"/>
      <c r="T114" s="3">
        <v>0</v>
      </c>
      <c r="U114" s="3">
        <v>0</v>
      </c>
      <c r="V114" s="3">
        <v>0</v>
      </c>
      <c r="W114" s="7"/>
      <c r="X114" s="7"/>
      <c r="Y114" s="7"/>
    </row>
    <row r="115" spans="1:25" ht="28.8">
      <c r="A115" s="10">
        <v>1</v>
      </c>
      <c r="B115" s="10" t="s">
        <v>282</v>
      </c>
      <c r="C115" s="11">
        <v>377</v>
      </c>
      <c r="D115" s="11">
        <v>3</v>
      </c>
      <c r="E115" s="11" t="s">
        <v>283</v>
      </c>
      <c r="F115" s="13" t="str">
        <f>HYPERLINK("https://nasional.okezone.com/read/2019/08/27/337/2097184/kpai-apresiasi-vonis-hukuman-kebiri-pemerkosa-9-anak-di-mojokerto ","sumber")</f>
        <v>sumber</v>
      </c>
      <c r="G115" s="11" t="s">
        <v>1</v>
      </c>
      <c r="H115" s="14"/>
      <c r="I115" s="11">
        <v>1</v>
      </c>
      <c r="J115" s="11">
        <v>1</v>
      </c>
      <c r="K115" s="11" t="s">
        <v>284</v>
      </c>
      <c r="L115" s="11">
        <v>0</v>
      </c>
      <c r="M115" s="11">
        <v>0</v>
      </c>
      <c r="N115" s="15">
        <v>0</v>
      </c>
      <c r="O115" s="11">
        <v>0</v>
      </c>
      <c r="P115" s="11">
        <v>0</v>
      </c>
      <c r="Q115" s="11">
        <v>0</v>
      </c>
      <c r="R115" s="11">
        <v>0</v>
      </c>
      <c r="S115" s="14"/>
      <c r="T115" s="11">
        <v>0</v>
      </c>
      <c r="U115" s="11">
        <v>0</v>
      </c>
      <c r="V115" s="11">
        <v>0</v>
      </c>
      <c r="W115" s="14"/>
      <c r="X115" s="14"/>
      <c r="Y115" s="14"/>
    </row>
    <row r="116" spans="1:25" ht="28.8">
      <c r="A116" s="10">
        <v>1</v>
      </c>
      <c r="B116" s="10" t="s">
        <v>285</v>
      </c>
      <c r="C116" s="11">
        <v>378</v>
      </c>
      <c r="D116" s="11">
        <v>2</v>
      </c>
      <c r="E116" s="11" t="s">
        <v>286</v>
      </c>
      <c r="F116" s="13" t="str">
        <f>HYPERLINK("https://www.cnnindonesia.com/internasional/20190829135326-113-425715/pedemo-jadi-korban-pelecehan-polisi-warga-hong-kong-protes ","sumber")</f>
        <v>sumber</v>
      </c>
      <c r="G116" s="11" t="s">
        <v>1</v>
      </c>
      <c r="H116" s="14"/>
      <c r="I116" s="11">
        <v>1</v>
      </c>
      <c r="J116" s="11">
        <v>1</v>
      </c>
      <c r="K116" s="11" t="s">
        <v>287</v>
      </c>
      <c r="L116" s="11">
        <v>0</v>
      </c>
      <c r="M116" s="11">
        <v>0</v>
      </c>
      <c r="N116" s="15">
        <v>0</v>
      </c>
      <c r="O116" s="11">
        <v>0</v>
      </c>
      <c r="P116" s="11">
        <v>0</v>
      </c>
      <c r="Q116" s="11" t="s">
        <v>29</v>
      </c>
      <c r="R116" s="11" t="s">
        <v>53</v>
      </c>
      <c r="S116" s="14"/>
      <c r="T116" s="11">
        <v>0</v>
      </c>
      <c r="U116" s="11">
        <v>0</v>
      </c>
      <c r="V116" s="11">
        <v>0</v>
      </c>
      <c r="W116" s="14"/>
      <c r="X116" s="14"/>
      <c r="Y116" s="14"/>
    </row>
    <row r="117" spans="1:25" ht="26.4">
      <c r="A117" s="2">
        <v>1</v>
      </c>
      <c r="B117" s="2" t="s">
        <v>288</v>
      </c>
      <c r="C117" s="3">
        <v>379</v>
      </c>
      <c r="D117" s="3">
        <v>5</v>
      </c>
      <c r="E117" s="4">
        <v>43716</v>
      </c>
      <c r="F117" s="5" t="str">
        <f>HYPERLINK("https://tirto.id/polisi-selidiki-kasus-begal-payudara-di-bintaro-efYC ","sumber")</f>
        <v>sumber</v>
      </c>
      <c r="G117" s="3" t="s">
        <v>1</v>
      </c>
      <c r="H117" s="3">
        <v>311</v>
      </c>
      <c r="I117" s="3">
        <v>1</v>
      </c>
      <c r="J117" s="3">
        <v>1</v>
      </c>
      <c r="K117" s="3" t="s">
        <v>289</v>
      </c>
      <c r="L117" s="3">
        <v>0</v>
      </c>
      <c r="M117" s="3">
        <v>0</v>
      </c>
      <c r="N117" s="16">
        <v>0</v>
      </c>
      <c r="O117" s="3">
        <v>0</v>
      </c>
      <c r="P117" s="3">
        <v>0</v>
      </c>
      <c r="Q117" s="3" t="s">
        <v>29</v>
      </c>
      <c r="R117" s="3" t="s">
        <v>29</v>
      </c>
      <c r="S117" s="7"/>
      <c r="T117" s="3">
        <v>0</v>
      </c>
      <c r="U117" s="3">
        <v>0</v>
      </c>
      <c r="V117" s="3">
        <v>0</v>
      </c>
      <c r="W117" s="7"/>
      <c r="X117" s="7"/>
      <c r="Y117" s="7"/>
    </row>
    <row r="118" spans="1:25" ht="28.8">
      <c r="A118" s="2">
        <v>1</v>
      </c>
      <c r="B118" s="2" t="s">
        <v>290</v>
      </c>
      <c r="C118" s="3">
        <v>380</v>
      </c>
      <c r="D118" s="3">
        <v>2</v>
      </c>
      <c r="E118" s="4">
        <v>43474</v>
      </c>
      <c r="F118" s="5" t="str">
        <f>HYPERLINK("https://www.cnnindonesia.com/nasional/20190901192625-12-426609/polisi-selidiki-kasus-pembunuhan-perempuan-baduy ","sumber")</f>
        <v>sumber</v>
      </c>
      <c r="G118" s="3" t="s">
        <v>1</v>
      </c>
      <c r="H118" s="3">
        <v>290</v>
      </c>
      <c r="I118" s="3">
        <v>1</v>
      </c>
      <c r="J118" s="3">
        <v>1</v>
      </c>
      <c r="K118" s="3" t="s">
        <v>291</v>
      </c>
      <c r="L118" s="3">
        <v>0</v>
      </c>
      <c r="M118" s="3">
        <v>0</v>
      </c>
      <c r="N118" s="16">
        <v>0</v>
      </c>
      <c r="O118" s="3">
        <v>0</v>
      </c>
      <c r="P118" s="3">
        <v>0</v>
      </c>
      <c r="Q118" s="3">
        <v>0</v>
      </c>
      <c r="R118" s="3">
        <v>0</v>
      </c>
      <c r="S118" s="7"/>
      <c r="T118" s="3">
        <v>0</v>
      </c>
      <c r="U118" s="3">
        <v>-1</v>
      </c>
      <c r="V118" s="3">
        <v>0</v>
      </c>
      <c r="W118" s="7"/>
      <c r="X118" s="7"/>
      <c r="Y118" s="7"/>
    </row>
    <row r="119" spans="1:25" ht="28.8">
      <c r="A119" s="10">
        <v>1</v>
      </c>
      <c r="B119" s="10" t="s">
        <v>292</v>
      </c>
      <c r="C119" s="11">
        <v>381</v>
      </c>
      <c r="D119" s="11">
        <v>1</v>
      </c>
      <c r="E119" s="12">
        <v>43474</v>
      </c>
      <c r="F119" s="13" t="str">
        <f>HYPERLINK("https://hot.detik.com/celeb/d-4688854/doddy-soedrajat-disebut-menjual-vanessa-angel-lewat-prostitusi-online ","sumber")</f>
        <v>sumber</v>
      </c>
      <c r="G119" s="11" t="s">
        <v>1</v>
      </c>
      <c r="H119" s="14"/>
      <c r="I119" s="11">
        <v>1</v>
      </c>
      <c r="J119" s="11">
        <v>1</v>
      </c>
      <c r="K119" s="28" t="s">
        <v>293</v>
      </c>
      <c r="L119" s="11">
        <v>0</v>
      </c>
      <c r="M119" s="11">
        <v>-1</v>
      </c>
      <c r="N119" s="11">
        <v>-1</v>
      </c>
      <c r="O119" s="11">
        <v>0</v>
      </c>
      <c r="P119" s="11">
        <v>0</v>
      </c>
      <c r="Q119" s="11">
        <v>0</v>
      </c>
      <c r="R119" s="11">
        <v>-1</v>
      </c>
      <c r="S119" s="14"/>
      <c r="T119" s="11">
        <v>0</v>
      </c>
      <c r="U119" s="11">
        <v>0</v>
      </c>
      <c r="V119" s="11">
        <v>0</v>
      </c>
      <c r="W119" s="14"/>
      <c r="X119" s="14"/>
      <c r="Y119" s="14"/>
    </row>
    <row r="120" spans="1:25" ht="14.4">
      <c r="A120" s="10">
        <v>1</v>
      </c>
      <c r="B120" s="10" t="s">
        <v>294</v>
      </c>
      <c r="C120" s="11">
        <v>382</v>
      </c>
      <c r="D120" s="11">
        <v>7</v>
      </c>
      <c r="E120" s="12">
        <v>43474</v>
      </c>
      <c r="F120" s="13" t="str">
        <f>HYPERLINK("https://www.tribunnews.com/seleb/2019/09/01/nikita-mirzani-tak-buka-pintu-maaf-dan-laporkan-putri-angkat-elza-syarief-ke-polisi ","sumber")</f>
        <v>sumber</v>
      </c>
      <c r="G120" s="11" t="s">
        <v>1</v>
      </c>
      <c r="H120" s="14"/>
      <c r="I120" s="11">
        <v>1</v>
      </c>
      <c r="J120" s="11">
        <v>1</v>
      </c>
      <c r="K120" s="11" t="s">
        <v>295</v>
      </c>
      <c r="L120" s="11">
        <v>0</v>
      </c>
      <c r="M120" s="11">
        <v>0</v>
      </c>
      <c r="N120" s="15">
        <v>0</v>
      </c>
      <c r="O120" s="11">
        <v>0</v>
      </c>
      <c r="P120" s="11">
        <v>0</v>
      </c>
      <c r="Q120" s="11">
        <v>2</v>
      </c>
      <c r="R120" s="11">
        <v>0</v>
      </c>
      <c r="S120" s="14"/>
      <c r="T120" s="11">
        <v>0</v>
      </c>
      <c r="U120" s="11">
        <v>0</v>
      </c>
      <c r="V120" s="11">
        <v>0</v>
      </c>
      <c r="W120" s="14"/>
      <c r="X120" s="14"/>
      <c r="Y120" s="14"/>
    </row>
    <row r="121" spans="1:25" ht="28.8">
      <c r="A121" s="17">
        <v>2</v>
      </c>
      <c r="B121" s="17" t="s">
        <v>296</v>
      </c>
      <c r="C121" s="18">
        <v>383</v>
      </c>
      <c r="D121" s="18">
        <v>10</v>
      </c>
      <c r="E121" s="19"/>
      <c r="F121" s="20" t="str">
        <f>HYPERLINK("https://bola.tempo.co/read/1242925/gol-ke-2-lukaku-di-inter-milan-dan-rasisme-suporter-di-cagliari ","sumber")</f>
        <v>sumber</v>
      </c>
      <c r="G121" s="18" t="s">
        <v>1</v>
      </c>
      <c r="H121" s="19"/>
      <c r="I121" s="19"/>
      <c r="J121" s="18">
        <v>1</v>
      </c>
      <c r="K121" s="19"/>
      <c r="L121" s="19"/>
      <c r="M121" s="19"/>
      <c r="N121" s="19"/>
      <c r="O121" s="19"/>
      <c r="P121" s="19"/>
      <c r="Q121" s="19"/>
      <c r="R121" s="19"/>
      <c r="S121" s="19"/>
      <c r="T121" s="19"/>
      <c r="U121" s="19"/>
      <c r="V121" s="19"/>
      <c r="W121" s="19"/>
      <c r="X121" s="19"/>
      <c r="Y121" s="19"/>
    </row>
    <row r="122" spans="1:25" ht="39.6">
      <c r="A122" s="2">
        <v>1</v>
      </c>
      <c r="B122" s="2" t="s">
        <v>297</v>
      </c>
      <c r="C122" s="3">
        <v>384</v>
      </c>
      <c r="D122" s="3">
        <v>1</v>
      </c>
      <c r="E122" s="4">
        <v>43533</v>
      </c>
      <c r="F122" s="5" t="str">
        <f>HYPERLINK(" https://news.detik.com/berita/d-4691567/kasus-kadis-cium-pipi-staf-saat-selfie-naik-ke-penyidikan ","sumber")</f>
        <v>sumber</v>
      </c>
      <c r="G122" s="3" t="s">
        <v>1</v>
      </c>
      <c r="H122" s="3">
        <v>297</v>
      </c>
      <c r="I122" s="3">
        <v>1</v>
      </c>
      <c r="J122" s="3">
        <v>1</v>
      </c>
      <c r="K122" s="3" t="s">
        <v>298</v>
      </c>
      <c r="L122" s="3">
        <v>0</v>
      </c>
      <c r="M122" s="3">
        <v>0</v>
      </c>
      <c r="N122" s="16">
        <v>0</v>
      </c>
      <c r="O122" s="3">
        <v>0</v>
      </c>
      <c r="P122" s="3">
        <v>0</v>
      </c>
      <c r="Q122" s="3" t="s">
        <v>29</v>
      </c>
      <c r="R122" s="3" t="s">
        <v>53</v>
      </c>
      <c r="S122" s="7"/>
      <c r="T122" s="3">
        <v>0</v>
      </c>
      <c r="U122" s="3">
        <v>0</v>
      </c>
      <c r="V122" s="3">
        <v>0</v>
      </c>
      <c r="W122" s="7"/>
      <c r="X122" s="7"/>
      <c r="Y122" s="7"/>
    </row>
    <row r="123" spans="1:25" ht="14.4">
      <c r="A123" s="17">
        <v>2</v>
      </c>
      <c r="B123" s="17" t="s">
        <v>299</v>
      </c>
      <c r="C123" s="18">
        <v>385</v>
      </c>
      <c r="D123" s="18">
        <v>4</v>
      </c>
      <c r="E123" s="19"/>
      <c r="F123" s="20" t="str">
        <f>HYPERLINK("https://www.liputan6.com/bola/read/4053816/paul-pogba-bela-lukaku-yang-jadi-korban-penghinaan-rasial ","sumber")</f>
        <v>sumber</v>
      </c>
      <c r="G123" s="18" t="s">
        <v>1</v>
      </c>
      <c r="H123" s="19"/>
      <c r="I123" s="19"/>
      <c r="J123" s="18">
        <v>1</v>
      </c>
      <c r="K123" s="19"/>
      <c r="L123" s="19"/>
      <c r="M123" s="19"/>
      <c r="N123" s="19"/>
      <c r="O123" s="19"/>
      <c r="P123" s="19"/>
      <c r="Q123" s="19"/>
      <c r="R123" s="19"/>
      <c r="S123" s="19"/>
      <c r="T123" s="19"/>
      <c r="U123" s="19"/>
      <c r="V123" s="19"/>
      <c r="W123" s="19"/>
      <c r="X123" s="19"/>
      <c r="Y123" s="19"/>
    </row>
    <row r="124" spans="1:25" ht="28.8">
      <c r="A124" s="10">
        <v>1</v>
      </c>
      <c r="B124" s="10" t="s">
        <v>300</v>
      </c>
      <c r="C124" s="11">
        <v>386</v>
      </c>
      <c r="D124" s="11">
        <v>1</v>
      </c>
      <c r="E124" s="12">
        <v>43564</v>
      </c>
      <c r="F124" s="13" t="str">
        <f>HYPERLINK("https://news.detik.com/berita/d-4692701/pemerkosa-bocah-di-bogor-remaja-17-tahun ","sumber")</f>
        <v>sumber</v>
      </c>
      <c r="G124" s="11" t="s">
        <v>1</v>
      </c>
      <c r="H124" s="14"/>
      <c r="I124" s="11">
        <v>1</v>
      </c>
      <c r="J124" s="11">
        <v>1</v>
      </c>
      <c r="K124" s="11" t="s">
        <v>301</v>
      </c>
      <c r="L124" s="11">
        <v>0</v>
      </c>
      <c r="M124" s="11">
        <v>0</v>
      </c>
      <c r="N124" s="11">
        <v>-1</v>
      </c>
      <c r="O124" s="11">
        <v>0</v>
      </c>
      <c r="P124" s="11">
        <v>0</v>
      </c>
      <c r="Q124" s="11">
        <v>0</v>
      </c>
      <c r="R124" s="11">
        <v>0</v>
      </c>
      <c r="S124" s="14"/>
      <c r="T124" s="11">
        <v>0</v>
      </c>
      <c r="U124" s="11">
        <v>0</v>
      </c>
      <c r="V124" s="11">
        <v>0</v>
      </c>
      <c r="W124" s="14"/>
      <c r="X124" s="14"/>
      <c r="Y124" s="14"/>
    </row>
    <row r="125" spans="1:25" ht="26.4">
      <c r="A125" s="10">
        <v>1</v>
      </c>
      <c r="B125" s="10" t="s">
        <v>302</v>
      </c>
      <c r="C125" s="11">
        <v>387</v>
      </c>
      <c r="D125" s="11">
        <v>5</v>
      </c>
      <c r="E125" s="12">
        <v>43564</v>
      </c>
      <c r="F125" s="13" t="str">
        <f>HYPERLINK("https://tirto.id/rkuhp-paksa-pasangan-sah-bersetubuh-terancam-12-tahun-penjara-ehtW ","sumber")</f>
        <v>sumber</v>
      </c>
      <c r="G125" s="11" t="s">
        <v>1</v>
      </c>
      <c r="H125" s="14"/>
      <c r="I125" s="11">
        <v>4</v>
      </c>
      <c r="J125" s="11">
        <v>1</v>
      </c>
      <c r="K125" s="11" t="s">
        <v>303</v>
      </c>
      <c r="L125" s="11">
        <v>0</v>
      </c>
      <c r="M125" s="11">
        <v>0</v>
      </c>
      <c r="N125" s="15">
        <v>0</v>
      </c>
      <c r="O125" s="11">
        <v>0</v>
      </c>
      <c r="P125" s="11">
        <v>0</v>
      </c>
      <c r="Q125" s="11" t="s">
        <v>29</v>
      </c>
      <c r="R125" s="11" t="s">
        <v>160</v>
      </c>
      <c r="S125" s="14"/>
      <c r="T125" s="11">
        <v>0</v>
      </c>
      <c r="U125" s="11">
        <v>0</v>
      </c>
      <c r="V125" s="11">
        <v>1</v>
      </c>
      <c r="W125" s="14"/>
      <c r="X125" s="14"/>
      <c r="Y125" s="14"/>
    </row>
    <row r="126" spans="1:25" ht="39.6">
      <c r="A126" s="10">
        <v>1</v>
      </c>
      <c r="B126" s="10" t="s">
        <v>304</v>
      </c>
      <c r="C126" s="11">
        <v>388</v>
      </c>
      <c r="D126" s="11">
        <v>2</v>
      </c>
      <c r="E126" s="11" t="s">
        <v>305</v>
      </c>
      <c r="F126" s="13" t="str">
        <f>HYPERLINK("https://www.cnnindonesia.com/hiburan/20190926115109-234-434236/blinks-tak-terima-jennie-blackpink-disebut-penari-klub ","sumber")</f>
        <v>sumber</v>
      </c>
      <c r="G126" s="11" t="s">
        <v>1</v>
      </c>
      <c r="H126" s="14"/>
      <c r="I126" s="11">
        <v>1</v>
      </c>
      <c r="J126" s="11">
        <v>1</v>
      </c>
      <c r="K126" s="11" t="s">
        <v>306</v>
      </c>
      <c r="L126" s="11">
        <v>0</v>
      </c>
      <c r="M126" s="11">
        <v>0</v>
      </c>
      <c r="N126" s="15">
        <v>0</v>
      </c>
      <c r="O126" s="11">
        <v>0</v>
      </c>
      <c r="P126" s="11">
        <v>0</v>
      </c>
      <c r="Q126" s="11" t="s">
        <v>57</v>
      </c>
      <c r="R126" s="11" t="s">
        <v>57</v>
      </c>
      <c r="S126" s="14"/>
      <c r="T126" s="11">
        <v>0</v>
      </c>
      <c r="U126" s="11">
        <v>0</v>
      </c>
      <c r="V126" s="11">
        <v>0</v>
      </c>
      <c r="W126" s="14"/>
      <c r="X126" s="14"/>
      <c r="Y126" s="14"/>
    </row>
    <row r="127" spans="1:25" ht="39.6">
      <c r="A127" s="2">
        <v>1</v>
      </c>
      <c r="B127" s="2" t="s">
        <v>307</v>
      </c>
      <c r="C127" s="3">
        <v>389</v>
      </c>
      <c r="D127" s="3">
        <v>9</v>
      </c>
      <c r="E127" s="3" t="s">
        <v>305</v>
      </c>
      <c r="F127" s="5" t="str">
        <f>HYPERLINK("https://nasional.republika.co.id/berita/pyfoll335/demo-di-cimahi-diwarnai-aksi-selotip-mulut ","sumber")</f>
        <v>sumber</v>
      </c>
      <c r="G127" s="3" t="s">
        <v>1</v>
      </c>
      <c r="H127" s="3">
        <v>300</v>
      </c>
      <c r="I127" s="3">
        <v>1</v>
      </c>
      <c r="J127" s="3">
        <v>1</v>
      </c>
      <c r="K127" s="3" t="s">
        <v>308</v>
      </c>
      <c r="L127" s="3">
        <v>0</v>
      </c>
      <c r="M127" s="3">
        <v>0</v>
      </c>
      <c r="N127" s="16">
        <v>0</v>
      </c>
      <c r="O127" s="3">
        <v>0</v>
      </c>
      <c r="P127" s="3">
        <v>0</v>
      </c>
      <c r="Q127" s="3" t="s">
        <v>134</v>
      </c>
      <c r="R127" s="3" t="s">
        <v>309</v>
      </c>
      <c r="S127" s="7"/>
      <c r="T127" s="3">
        <v>0</v>
      </c>
      <c r="U127" s="3">
        <v>0</v>
      </c>
      <c r="V127" s="3">
        <v>0</v>
      </c>
      <c r="W127" s="7"/>
      <c r="X127" s="7"/>
      <c r="Y127" s="7"/>
    </row>
    <row r="128" spans="1:25" ht="28.8">
      <c r="A128" s="10">
        <v>1</v>
      </c>
      <c r="B128" s="10" t="s">
        <v>310</v>
      </c>
      <c r="C128" s="11">
        <v>390</v>
      </c>
      <c r="D128" s="11">
        <v>10</v>
      </c>
      <c r="E128" s="11" t="s">
        <v>305</v>
      </c>
      <c r="F128" s="13" t="str">
        <f>HYPERLINK("https://nasional.tempo.co/read/1252588/judul-saja-belum-disepakati-ketua-dpr-pastikan-ruu-pks-ditunda ","sumber")</f>
        <v>sumber</v>
      </c>
      <c r="G128" s="11" t="s">
        <v>1</v>
      </c>
      <c r="H128" s="14"/>
      <c r="I128" s="11">
        <v>4</v>
      </c>
      <c r="J128" s="11">
        <v>1</v>
      </c>
      <c r="K128" s="11" t="s">
        <v>311</v>
      </c>
      <c r="L128" s="11">
        <v>0</v>
      </c>
      <c r="M128" s="11">
        <v>0</v>
      </c>
      <c r="N128" s="15">
        <v>0</v>
      </c>
      <c r="O128" s="11">
        <v>0</v>
      </c>
      <c r="P128" s="11">
        <v>0</v>
      </c>
      <c r="Q128" s="11">
        <v>0</v>
      </c>
      <c r="R128" s="11">
        <v>0</v>
      </c>
      <c r="S128" s="14"/>
      <c r="T128" s="11">
        <v>0</v>
      </c>
      <c r="U128" s="11">
        <v>0</v>
      </c>
      <c r="V128" s="11">
        <v>1</v>
      </c>
      <c r="W128" s="14"/>
      <c r="X128" s="14"/>
      <c r="Y128" s="14"/>
    </row>
    <row r="129" spans="1:25" ht="14.4">
      <c r="A129" s="17">
        <v>2</v>
      </c>
      <c r="B129" s="17" t="s">
        <v>312</v>
      </c>
      <c r="C129" s="18">
        <v>2</v>
      </c>
      <c r="D129" s="18">
        <v>3</v>
      </c>
      <c r="E129" s="18"/>
      <c r="F129" s="20" t="str">
        <f>HYPERLINK("https://news.okezone.com/read/2019/01/17/337/2005565/peristiwa-17-januari-ditemukannya-puncak-everest-hingga-perjanjian-renville-indonesia-belanda ","sumber")</f>
        <v>sumber</v>
      </c>
      <c r="G129" s="18" t="s">
        <v>1</v>
      </c>
      <c r="H129" s="18"/>
      <c r="I129" s="19"/>
      <c r="J129" s="18">
        <v>4</v>
      </c>
      <c r="K129" s="19"/>
      <c r="L129" s="19"/>
      <c r="M129" s="19"/>
      <c r="N129" s="19"/>
      <c r="O129" s="19"/>
      <c r="P129" s="19"/>
      <c r="Q129" s="19"/>
      <c r="R129" s="19"/>
      <c r="S129" s="19"/>
      <c r="T129" s="19"/>
      <c r="U129" s="19"/>
      <c r="V129" s="19"/>
      <c r="W129" s="19"/>
      <c r="X129" s="19"/>
      <c r="Y129" s="19"/>
    </row>
    <row r="130" spans="1:25" ht="14.4">
      <c r="A130" s="10">
        <v>1</v>
      </c>
      <c r="B130" s="10" t="s">
        <v>313</v>
      </c>
      <c r="C130" s="11">
        <v>3</v>
      </c>
      <c r="D130" s="11">
        <v>2</v>
      </c>
      <c r="E130" s="11" t="s">
        <v>314</v>
      </c>
      <c r="F130" s="13" t="str">
        <f>HYPERLINK("https://www.cnnindonesia.com/nasional/20190125133616-12-363795/kontras-sebut-bebasnya-ahok-momentum-hapus-pasal-156a ","sumber")</f>
        <v>sumber</v>
      </c>
      <c r="G130" s="11" t="s">
        <v>1</v>
      </c>
      <c r="H130" s="11">
        <v>653</v>
      </c>
      <c r="I130" s="11">
        <v>4</v>
      </c>
      <c r="J130" s="11">
        <v>4</v>
      </c>
      <c r="K130" s="11" t="s">
        <v>315</v>
      </c>
      <c r="L130" s="11">
        <v>0</v>
      </c>
      <c r="M130" s="11">
        <v>0</v>
      </c>
      <c r="N130" s="15">
        <v>0</v>
      </c>
      <c r="O130" s="11">
        <v>0</v>
      </c>
      <c r="P130" s="11">
        <v>0</v>
      </c>
      <c r="Q130" s="11">
        <v>0</v>
      </c>
      <c r="R130" s="11">
        <v>1</v>
      </c>
      <c r="S130" s="11"/>
      <c r="T130" s="11">
        <v>0</v>
      </c>
      <c r="U130" s="11">
        <v>0</v>
      </c>
      <c r="V130" s="11">
        <v>1</v>
      </c>
      <c r="W130" s="14"/>
      <c r="X130" s="14"/>
      <c r="Y130" s="14"/>
    </row>
    <row r="131" spans="1:25" ht="14.4">
      <c r="A131" s="17">
        <v>2</v>
      </c>
      <c r="B131" s="17" t="s">
        <v>316</v>
      </c>
      <c r="C131" s="18">
        <v>4</v>
      </c>
      <c r="D131" s="18">
        <v>8</v>
      </c>
      <c r="E131" s="31"/>
      <c r="F131" s="20" t="str">
        <f>HYPERLINK("https://www.suara.com/news/2019/02/01/201108/jadi-pengacara-rocky-gerung-aktivis-ham-haris-azhar-diterpa-isu-miring ","sumber")</f>
        <v>sumber</v>
      </c>
      <c r="G131" s="18" t="s">
        <v>1</v>
      </c>
      <c r="H131" s="18"/>
      <c r="I131" s="19"/>
      <c r="J131" s="18">
        <v>4</v>
      </c>
      <c r="K131" s="19"/>
      <c r="L131" s="19"/>
      <c r="M131" s="19"/>
      <c r="N131" s="19"/>
      <c r="O131" s="19"/>
      <c r="P131" s="19"/>
      <c r="Q131" s="19"/>
      <c r="R131" s="19"/>
      <c r="S131" s="19"/>
      <c r="T131" s="19"/>
      <c r="U131" s="19"/>
      <c r="V131" s="19"/>
      <c r="W131" s="19"/>
      <c r="X131" s="19"/>
      <c r="Y131" s="19"/>
    </row>
    <row r="132" spans="1:25" ht="14.4">
      <c r="A132" s="17">
        <v>2</v>
      </c>
      <c r="B132" s="17" t="s">
        <v>317</v>
      </c>
      <c r="C132" s="18">
        <v>5</v>
      </c>
      <c r="D132" s="18">
        <v>1</v>
      </c>
      <c r="E132" s="19"/>
      <c r="F132" s="20" t="str">
        <f>HYPERLINK("https://news.detik.com/bbc-world/d-4411681/kisah-perjalanan-udara-yang-menentukan-revolusi-islam-iran ","sumber")</f>
        <v>sumber</v>
      </c>
      <c r="G132" s="18" t="s">
        <v>1</v>
      </c>
      <c r="H132" s="18"/>
      <c r="I132" s="19"/>
      <c r="J132" s="18">
        <v>4</v>
      </c>
      <c r="K132" s="19"/>
      <c r="L132" s="19"/>
      <c r="M132" s="19"/>
      <c r="N132" s="19"/>
      <c r="O132" s="19"/>
      <c r="P132" s="19"/>
      <c r="Q132" s="19"/>
      <c r="R132" s="19"/>
      <c r="S132" s="19"/>
      <c r="T132" s="19"/>
      <c r="U132" s="19"/>
      <c r="V132" s="19"/>
      <c r="W132" s="19"/>
      <c r="X132" s="19"/>
      <c r="Y132" s="19"/>
    </row>
    <row r="133" spans="1:25" ht="14.4">
      <c r="A133" s="17">
        <v>2</v>
      </c>
      <c r="B133" s="17" t="s">
        <v>318</v>
      </c>
      <c r="C133" s="18">
        <v>6</v>
      </c>
      <c r="D133" s="18">
        <v>1</v>
      </c>
      <c r="E133" s="19"/>
      <c r="F133" s="20" t="str">
        <f>HYPERLINK("https://news.detik.com/berita/d-4412559/cerita-horor-orang-hazara-diburu-taliban-hingga-ngungsi-ke-kalideres ","sumber")</f>
        <v>sumber</v>
      </c>
      <c r="G133" s="18" t="s">
        <v>1</v>
      </c>
      <c r="H133" s="18"/>
      <c r="I133" s="19"/>
      <c r="J133" s="18">
        <v>4</v>
      </c>
      <c r="K133" s="19"/>
      <c r="L133" s="19"/>
      <c r="M133" s="19"/>
      <c r="N133" s="19"/>
      <c r="O133" s="19"/>
      <c r="P133" s="19"/>
      <c r="Q133" s="19"/>
      <c r="R133" s="19"/>
      <c r="S133" s="19"/>
      <c r="T133" s="19"/>
      <c r="U133" s="19"/>
      <c r="V133" s="19"/>
      <c r="W133" s="19"/>
      <c r="X133" s="19"/>
      <c r="Y133" s="19"/>
    </row>
    <row r="134" spans="1:25" ht="14.4">
      <c r="A134" s="17">
        <v>2</v>
      </c>
      <c r="B134" s="17" t="s">
        <v>319</v>
      </c>
      <c r="C134" s="18">
        <v>7</v>
      </c>
      <c r="D134" s="18">
        <v>3</v>
      </c>
      <c r="E134" s="19"/>
      <c r="F134" s="20" t="str">
        <f>HYPERLINK("https://news.okezone.com/read/2019/02/10/65/2015933/daftar-100-perguruan-tinggi-terbaik-di-indonesia-versi-unirank ","sumber")</f>
        <v>sumber</v>
      </c>
      <c r="G134" s="18" t="s">
        <v>1</v>
      </c>
      <c r="H134" s="18"/>
      <c r="I134" s="19"/>
      <c r="J134" s="18">
        <v>4</v>
      </c>
      <c r="K134" s="19"/>
      <c r="L134" s="19"/>
      <c r="M134" s="19"/>
      <c r="N134" s="19"/>
      <c r="O134" s="19"/>
      <c r="P134" s="19"/>
      <c r="Q134" s="19"/>
      <c r="R134" s="19"/>
      <c r="S134" s="19"/>
      <c r="T134" s="19"/>
      <c r="U134" s="19"/>
      <c r="V134" s="19"/>
      <c r="W134" s="19"/>
      <c r="X134" s="19"/>
      <c r="Y134" s="19"/>
    </row>
    <row r="135" spans="1:25" ht="14.4">
      <c r="A135" s="17">
        <v>2</v>
      </c>
      <c r="B135" s="17" t="s">
        <v>320</v>
      </c>
      <c r="C135" s="18">
        <v>8</v>
      </c>
      <c r="D135" s="18">
        <v>2</v>
      </c>
      <c r="E135" s="19"/>
      <c r="F135" s="20" t="str">
        <f>HYPERLINK("https://www.cnnindonesia.com/internasional/20190214200320-120-369418/iran-janji-balas-serangan-bom-tuding-as-israel-dalang-teror ","sumber")</f>
        <v>sumber</v>
      </c>
      <c r="G135" s="18" t="s">
        <v>1</v>
      </c>
      <c r="H135" s="18"/>
      <c r="I135" s="19"/>
      <c r="J135" s="18">
        <v>4</v>
      </c>
      <c r="K135" s="19"/>
      <c r="L135" s="19"/>
      <c r="M135" s="19"/>
      <c r="N135" s="19"/>
      <c r="O135" s="19"/>
      <c r="P135" s="19"/>
      <c r="Q135" s="19"/>
      <c r="R135" s="19"/>
      <c r="S135" s="19"/>
      <c r="T135" s="19"/>
      <c r="U135" s="19"/>
      <c r="V135" s="19"/>
      <c r="W135" s="19"/>
      <c r="X135" s="19"/>
      <c r="Y135" s="19"/>
    </row>
    <row r="136" spans="1:25" ht="52.8">
      <c r="A136" s="10">
        <v>1</v>
      </c>
      <c r="B136" s="10" t="s">
        <v>321</v>
      </c>
      <c r="C136" s="11">
        <v>9</v>
      </c>
      <c r="D136" s="11">
        <v>4</v>
      </c>
      <c r="E136" s="11" t="s">
        <v>322</v>
      </c>
      <c r="F136" s="13" t="str">
        <f>HYPERLINK("https://www.liputan6.com/regional/read/3900180/senyum-lebar-warga-bandung-terima-e-ktp-pertama-dengan-kolom-kepercayaan ","sumber")</f>
        <v>sumber</v>
      </c>
      <c r="G136" s="11" t="s">
        <v>1</v>
      </c>
      <c r="H136" s="11">
        <v>733</v>
      </c>
      <c r="I136" s="11">
        <v>4</v>
      </c>
      <c r="J136" s="11">
        <v>4</v>
      </c>
      <c r="K136" s="11" t="s">
        <v>323</v>
      </c>
      <c r="L136" s="11">
        <v>0</v>
      </c>
      <c r="M136" s="11">
        <v>0</v>
      </c>
      <c r="N136" s="15">
        <v>0</v>
      </c>
      <c r="O136" s="11">
        <v>0</v>
      </c>
      <c r="P136" s="11">
        <v>0</v>
      </c>
      <c r="Q136" s="11" t="s">
        <v>178</v>
      </c>
      <c r="R136" s="11" t="s">
        <v>160</v>
      </c>
      <c r="S136" s="14"/>
      <c r="T136" s="11">
        <v>0</v>
      </c>
      <c r="U136" s="11">
        <v>0</v>
      </c>
      <c r="V136" s="11">
        <v>0</v>
      </c>
      <c r="W136" s="14"/>
      <c r="X136" s="14"/>
      <c r="Y136" s="14"/>
    </row>
    <row r="137" spans="1:25" ht="26.4">
      <c r="A137" s="10">
        <v>1</v>
      </c>
      <c r="B137" s="10" t="s">
        <v>324</v>
      </c>
      <c r="C137" s="11">
        <v>10</v>
      </c>
      <c r="D137" s="11">
        <v>4</v>
      </c>
      <c r="E137" s="11" t="s">
        <v>325</v>
      </c>
      <c r="F137" s="13" t="str">
        <f>HYPERLINK("https://www.liputan6.com/news/read/3904564/jk-minta-masyarakat-terima-pencantuman-penghayat-kepercayaan-di-kolom-agama-ktp ","sumber")</f>
        <v>sumber</v>
      </c>
      <c r="G137" s="11" t="s">
        <v>1</v>
      </c>
      <c r="H137" s="11">
        <v>305</v>
      </c>
      <c r="I137" s="11">
        <v>4</v>
      </c>
      <c r="J137" s="11">
        <v>4</v>
      </c>
      <c r="K137" s="11" t="s">
        <v>326</v>
      </c>
      <c r="L137" s="11">
        <v>0</v>
      </c>
      <c r="M137" s="11">
        <v>0</v>
      </c>
      <c r="N137" s="15">
        <v>0</v>
      </c>
      <c r="O137" s="11">
        <v>0</v>
      </c>
      <c r="P137" s="11">
        <v>0</v>
      </c>
      <c r="Q137" s="11" t="s">
        <v>29</v>
      </c>
      <c r="R137" s="11" t="s">
        <v>29</v>
      </c>
      <c r="S137" s="14"/>
      <c r="T137" s="11">
        <v>0</v>
      </c>
      <c r="U137" s="11">
        <v>0</v>
      </c>
      <c r="V137" s="11">
        <v>1</v>
      </c>
      <c r="W137" s="14"/>
      <c r="X137" s="14"/>
      <c r="Y137" s="14"/>
    </row>
    <row r="138" spans="1:25" ht="26.4">
      <c r="A138" s="10">
        <v>1</v>
      </c>
      <c r="B138" s="10" t="s">
        <v>327</v>
      </c>
      <c r="C138" s="11">
        <v>11</v>
      </c>
      <c r="D138" s="11">
        <v>5</v>
      </c>
      <c r="E138" s="11" t="s">
        <v>328</v>
      </c>
      <c r="F138" s="13" t="str">
        <f>HYPERLINK("https://tirto.id/kelumit-kisah-penghayat-sebelum-kepercayaan-dicatat-di-ktp-dhTF ","sumber")</f>
        <v>sumber</v>
      </c>
      <c r="G138" s="11" t="s">
        <v>1</v>
      </c>
      <c r="H138" s="11">
        <v>773</v>
      </c>
      <c r="I138" s="11">
        <v>4</v>
      </c>
      <c r="J138" s="11">
        <v>4</v>
      </c>
      <c r="K138" s="11" t="s">
        <v>329</v>
      </c>
      <c r="L138" s="11">
        <v>0</v>
      </c>
      <c r="M138" s="11">
        <v>0</v>
      </c>
      <c r="N138" s="15">
        <v>0</v>
      </c>
      <c r="O138" s="11">
        <v>0</v>
      </c>
      <c r="P138" s="11">
        <v>0</v>
      </c>
      <c r="Q138" s="11">
        <v>2</v>
      </c>
      <c r="R138" s="11">
        <v>1</v>
      </c>
      <c r="S138" s="14"/>
      <c r="T138" s="11">
        <v>0</v>
      </c>
      <c r="U138" s="11">
        <v>0</v>
      </c>
      <c r="V138" s="11">
        <v>0</v>
      </c>
      <c r="W138" s="14"/>
      <c r="X138" s="14"/>
      <c r="Y138" s="14"/>
    </row>
    <row r="139" spans="1:25" ht="14.4">
      <c r="A139" s="17">
        <v>2</v>
      </c>
      <c r="B139" s="17" t="s">
        <v>330</v>
      </c>
      <c r="C139" s="18">
        <v>12</v>
      </c>
      <c r="D139" s="18">
        <v>5</v>
      </c>
      <c r="E139" s="19"/>
      <c r="F139" s="20" t="str">
        <f>HYPERLINK("https://tirto.id/akankah-jokowi-keok-bila-muslim-konservatif-dimobilisasi-prabowo-didk ","sumber")</f>
        <v>sumber</v>
      </c>
      <c r="G139" s="18" t="s">
        <v>1</v>
      </c>
      <c r="H139" s="18"/>
      <c r="I139" s="18"/>
      <c r="J139" s="18">
        <v>4</v>
      </c>
      <c r="K139" s="19"/>
      <c r="L139" s="19"/>
      <c r="M139" s="19"/>
      <c r="N139" s="19"/>
      <c r="O139" s="19"/>
      <c r="P139" s="19"/>
      <c r="Q139" s="19"/>
      <c r="R139" s="19"/>
      <c r="S139" s="19"/>
      <c r="T139" s="19"/>
      <c r="U139" s="19"/>
      <c r="V139" s="19"/>
      <c r="W139" s="19"/>
      <c r="X139" s="19"/>
      <c r="Y139" s="19"/>
    </row>
    <row r="140" spans="1:25" ht="39.6">
      <c r="A140" s="2">
        <v>1</v>
      </c>
      <c r="B140" s="2" t="s">
        <v>331</v>
      </c>
      <c r="C140" s="3">
        <v>13</v>
      </c>
      <c r="D140" s="3">
        <v>8</v>
      </c>
      <c r="E140" s="4">
        <v>43499</v>
      </c>
      <c r="F140" s="5" t="str">
        <f>HYPERLINK("https://www.suara.com/news/2019/03/02/162358/istilah-kafir-dihapus-kiai-luthfi-liberalis-mau-amandemen-alquran","sumber")</f>
        <v>sumber</v>
      </c>
      <c r="G140" s="3" t="s">
        <v>1</v>
      </c>
      <c r="H140" s="3">
        <v>410</v>
      </c>
      <c r="I140" s="3">
        <v>1</v>
      </c>
      <c r="J140" s="3">
        <v>4</v>
      </c>
      <c r="K140" s="32" t="s">
        <v>332</v>
      </c>
      <c r="L140" s="3">
        <v>0</v>
      </c>
      <c r="M140" s="3">
        <v>1</v>
      </c>
      <c r="N140" s="16">
        <v>0</v>
      </c>
      <c r="O140" s="3">
        <v>0</v>
      </c>
      <c r="P140" s="3">
        <v>0</v>
      </c>
      <c r="Q140" s="3" t="s">
        <v>29</v>
      </c>
      <c r="R140" s="3" t="s">
        <v>141</v>
      </c>
      <c r="S140" s="7"/>
      <c r="T140" s="3">
        <v>0</v>
      </c>
      <c r="U140" s="3">
        <v>0</v>
      </c>
      <c r="V140" s="3">
        <v>0</v>
      </c>
      <c r="W140" s="7"/>
      <c r="X140" s="7"/>
      <c r="Y140" s="7"/>
    </row>
    <row r="141" spans="1:25" ht="26.4">
      <c r="A141" s="2">
        <v>1</v>
      </c>
      <c r="B141" s="2" t="s">
        <v>333</v>
      </c>
      <c r="C141" s="3">
        <v>14</v>
      </c>
      <c r="D141" s="3">
        <v>1</v>
      </c>
      <c r="E141" s="4">
        <v>43527</v>
      </c>
      <c r="F141" s="5" t="str">
        <f>HYPERLINK("https://news.detik.com/berita/d-4451395/begini-upacara-pemakaman-bagi-penghayat-sapta-darma","sumber")</f>
        <v>sumber</v>
      </c>
      <c r="G141" s="3" t="s">
        <v>1</v>
      </c>
      <c r="H141" s="3"/>
      <c r="I141" s="3">
        <v>2</v>
      </c>
      <c r="J141" s="3">
        <v>4</v>
      </c>
      <c r="K141" s="3" t="s">
        <v>334</v>
      </c>
      <c r="L141" s="3">
        <v>0</v>
      </c>
      <c r="M141" s="3">
        <v>0</v>
      </c>
      <c r="N141" s="16">
        <v>0</v>
      </c>
      <c r="O141" s="3">
        <v>0</v>
      </c>
      <c r="P141" s="3">
        <v>0</v>
      </c>
      <c r="Q141" s="3" t="s">
        <v>68</v>
      </c>
      <c r="R141" s="3" t="s">
        <v>29</v>
      </c>
      <c r="S141" s="7"/>
      <c r="T141" s="3">
        <v>0</v>
      </c>
      <c r="U141" s="3">
        <v>0</v>
      </c>
      <c r="V141" s="3">
        <v>0</v>
      </c>
      <c r="W141" s="7"/>
      <c r="X141" s="7"/>
      <c r="Y141" s="7"/>
    </row>
    <row r="142" spans="1:25" ht="14.4">
      <c r="A142" s="17">
        <v>2</v>
      </c>
      <c r="B142" s="17" t="s">
        <v>335</v>
      </c>
      <c r="C142" s="18">
        <v>15</v>
      </c>
      <c r="D142" s="18">
        <v>3</v>
      </c>
      <c r="E142" s="19"/>
      <c r="F142" s="20" t="str">
        <f>HYPERLINK("https://lifestyle.okezone.com/read/2019/03/17/194/2031291/debat-cawapres-ma-ruf-amin-dan-sandiaga-uno-kompak-kenakan-peci-hitam ","sumber")</f>
        <v>sumber</v>
      </c>
      <c r="G142" s="18" t="s">
        <v>1</v>
      </c>
      <c r="H142" s="18"/>
      <c r="I142" s="19"/>
      <c r="J142" s="18">
        <v>4</v>
      </c>
      <c r="K142" s="19"/>
      <c r="L142" s="19"/>
      <c r="M142" s="18"/>
      <c r="N142" s="19"/>
      <c r="O142" s="19"/>
      <c r="P142" s="19"/>
      <c r="Q142" s="19"/>
      <c r="R142" s="19"/>
      <c r="S142" s="19"/>
      <c r="T142" s="19"/>
      <c r="U142" s="19"/>
      <c r="V142" s="19"/>
      <c r="W142" s="19"/>
      <c r="X142" s="19"/>
      <c r="Y142" s="19"/>
    </row>
    <row r="143" spans="1:25" ht="14.4">
      <c r="A143" s="17">
        <v>2</v>
      </c>
      <c r="B143" s="17" t="s">
        <v>336</v>
      </c>
      <c r="C143" s="18">
        <v>16</v>
      </c>
      <c r="D143" s="18">
        <v>1</v>
      </c>
      <c r="E143" s="19"/>
      <c r="F143" s="20" t="str">
        <f>HYPERLINK("https://news.detik.com/berita/d-4474477/tipu-honorer-jadi-pegawai-pns-pemkot-banda-aceh-ditangkap ","sumber")</f>
        <v>sumber</v>
      </c>
      <c r="G143" s="18" t="s">
        <v>1</v>
      </c>
      <c r="H143" s="18"/>
      <c r="I143" s="19"/>
      <c r="J143" s="18">
        <v>4</v>
      </c>
      <c r="K143" s="19"/>
      <c r="L143" s="19"/>
      <c r="M143" s="19"/>
      <c r="N143" s="19"/>
      <c r="O143" s="19"/>
      <c r="P143" s="19"/>
      <c r="Q143" s="19"/>
      <c r="R143" s="19"/>
      <c r="S143" s="19"/>
      <c r="T143" s="19"/>
      <c r="U143" s="19"/>
      <c r="V143" s="19"/>
      <c r="W143" s="19"/>
      <c r="X143" s="19"/>
      <c r="Y143" s="19"/>
    </row>
    <row r="144" spans="1:25" ht="14.4">
      <c r="A144" s="17">
        <v>2</v>
      </c>
      <c r="B144" s="17" t="s">
        <v>337</v>
      </c>
      <c r="C144" s="18">
        <v>17</v>
      </c>
      <c r="D144" s="18">
        <v>3</v>
      </c>
      <c r="E144" s="19"/>
      <c r="F144" s="20" t="str">
        <f>HYPERLINK("https://news.okezone.com/read/2019/03/21/65/2033215/seleksi-mandiri-masuk-ptn-barat-kuota-maksimal-30 ","sumber")</f>
        <v>sumber</v>
      </c>
      <c r="G144" s="18" t="s">
        <v>1</v>
      </c>
      <c r="H144" s="18"/>
      <c r="I144" s="19"/>
      <c r="J144" s="18">
        <v>4</v>
      </c>
      <c r="K144" s="19"/>
      <c r="L144" s="19"/>
      <c r="M144" s="19"/>
      <c r="N144" s="19"/>
      <c r="O144" s="19"/>
      <c r="P144" s="19"/>
      <c r="Q144" s="19"/>
      <c r="R144" s="19"/>
      <c r="S144" s="19"/>
      <c r="T144" s="19"/>
      <c r="U144" s="19"/>
      <c r="V144" s="19"/>
      <c r="W144" s="19"/>
      <c r="X144" s="19"/>
      <c r="Y144" s="19"/>
    </row>
    <row r="145" spans="1:25" ht="14.4">
      <c r="A145" s="17">
        <v>2</v>
      </c>
      <c r="B145" s="17" t="s">
        <v>338</v>
      </c>
      <c r="C145" s="18">
        <v>18</v>
      </c>
      <c r="D145" s="18">
        <v>5</v>
      </c>
      <c r="E145" s="19"/>
      <c r="F145" s="20" t="str">
        <f>HYPERLINK("https://tirto.id/musabab-kejatuhan-isis-djDU ","sumber")</f>
        <v>sumber</v>
      </c>
      <c r="G145" s="18" t="s">
        <v>1</v>
      </c>
      <c r="H145" s="18"/>
      <c r="I145" s="19"/>
      <c r="J145" s="18">
        <v>4</v>
      </c>
      <c r="K145" s="19"/>
      <c r="L145" s="19"/>
      <c r="M145" s="19"/>
      <c r="N145" s="19"/>
      <c r="O145" s="19"/>
      <c r="P145" s="19"/>
      <c r="Q145" s="19"/>
      <c r="R145" s="19"/>
      <c r="S145" s="19"/>
      <c r="T145" s="19"/>
      <c r="U145" s="19"/>
      <c r="V145" s="19"/>
      <c r="W145" s="19"/>
      <c r="X145" s="19"/>
      <c r="Y145" s="19"/>
    </row>
    <row r="146" spans="1:25" ht="14.4">
      <c r="A146" s="17">
        <v>2</v>
      </c>
      <c r="B146" s="17" t="s">
        <v>339</v>
      </c>
      <c r="C146" s="18">
        <v>19</v>
      </c>
      <c r="D146" s="18">
        <v>5</v>
      </c>
      <c r="E146" s="19"/>
      <c r="F146" s="20" t="str">
        <f>HYPERLINK("https://tirto.id/kontras-nilai-hilangnya-ruth-rudangta-di-malaysia-bukan-kasus-biasa-dknP ","sumber")</f>
        <v>sumber</v>
      </c>
      <c r="G146" s="18" t="s">
        <v>1</v>
      </c>
      <c r="H146" s="18"/>
      <c r="I146" s="19"/>
      <c r="J146" s="18">
        <v>4</v>
      </c>
      <c r="K146" s="19"/>
      <c r="L146" s="19"/>
      <c r="M146" s="19"/>
      <c r="N146" s="19"/>
      <c r="O146" s="19"/>
      <c r="P146" s="19"/>
      <c r="Q146" s="19"/>
      <c r="R146" s="19"/>
      <c r="S146" s="19"/>
      <c r="T146" s="19"/>
      <c r="U146" s="19"/>
      <c r="V146" s="19"/>
      <c r="W146" s="19"/>
      <c r="X146" s="19"/>
      <c r="Y146" s="19"/>
    </row>
    <row r="147" spans="1:25" ht="39.6">
      <c r="A147" s="10">
        <v>1</v>
      </c>
      <c r="B147" s="10" t="s">
        <v>340</v>
      </c>
      <c r="C147" s="11">
        <v>20</v>
      </c>
      <c r="D147" s="11">
        <v>10</v>
      </c>
      <c r="E147" s="12">
        <v>43500</v>
      </c>
      <c r="F147" s="13" t="str">
        <f>HYPERLINK("https://nasional.tempo.co/read/1191776/pelukis-ditolak-ngontrak-di-yogyakarta-tokoh-kearifan-lokal ","sumber")</f>
        <v>sumber</v>
      </c>
      <c r="G147" s="11" t="s">
        <v>1</v>
      </c>
      <c r="H147" s="11"/>
      <c r="I147" s="11">
        <v>1</v>
      </c>
      <c r="J147" s="11">
        <v>4</v>
      </c>
      <c r="K147" s="11" t="s">
        <v>341</v>
      </c>
      <c r="L147" s="11">
        <v>0</v>
      </c>
      <c r="M147" s="11">
        <v>1</v>
      </c>
      <c r="N147" s="15">
        <v>0</v>
      </c>
      <c r="O147" s="11">
        <v>0</v>
      </c>
      <c r="P147" s="11">
        <v>0</v>
      </c>
      <c r="Q147" s="11" t="s">
        <v>342</v>
      </c>
      <c r="R147" s="11" t="s">
        <v>343</v>
      </c>
      <c r="S147" s="14"/>
      <c r="T147" s="11">
        <v>0</v>
      </c>
      <c r="U147" s="11">
        <v>0</v>
      </c>
      <c r="V147" s="11">
        <v>0</v>
      </c>
      <c r="W147" s="14"/>
      <c r="X147" s="14"/>
      <c r="Y147" s="14"/>
    </row>
    <row r="148" spans="1:25" ht="14.4">
      <c r="A148" s="17">
        <v>2</v>
      </c>
      <c r="B148" s="17" t="s">
        <v>344</v>
      </c>
      <c r="C148" s="18">
        <v>21</v>
      </c>
      <c r="D148" s="18">
        <v>1</v>
      </c>
      <c r="E148" s="19"/>
      <c r="F148" s="20" t="str">
        <f>HYPERLINK("https://news.detik.com/kolom/d-4502667/mengintip-rahasia-di-balik-aksi-aksi-intoleran ","sumber")</f>
        <v>sumber</v>
      </c>
      <c r="G148" s="18" t="s">
        <v>1</v>
      </c>
      <c r="H148" s="18"/>
      <c r="I148" s="19"/>
      <c r="J148" s="18">
        <v>4</v>
      </c>
      <c r="K148" s="19"/>
      <c r="L148" s="19"/>
      <c r="M148" s="19"/>
      <c r="N148" s="19"/>
      <c r="O148" s="19"/>
      <c r="P148" s="19"/>
      <c r="Q148" s="19"/>
      <c r="R148" s="19"/>
      <c r="S148" s="19"/>
      <c r="T148" s="19"/>
      <c r="U148" s="19"/>
      <c r="V148" s="19"/>
      <c r="W148" s="19"/>
      <c r="X148" s="19"/>
      <c r="Y148" s="19"/>
    </row>
    <row r="149" spans="1:25" ht="39.6">
      <c r="A149" s="2">
        <v>1</v>
      </c>
      <c r="B149" s="2" t="s">
        <v>345</v>
      </c>
      <c r="C149" s="3">
        <v>22</v>
      </c>
      <c r="D149" s="3">
        <v>9</v>
      </c>
      <c r="E149" s="4">
        <v>43559</v>
      </c>
      <c r="F149" s="5" t="str">
        <f>HYPERLINK("https://nasional.republika.co.id/berita/nasional/politik/ppeazb414/setelah-batal-ke-medan-prabowo-juga-tak-jadi-ke-aceh","sumber")</f>
        <v>sumber</v>
      </c>
      <c r="G149" s="3" t="s">
        <v>1</v>
      </c>
      <c r="H149" s="3">
        <v>294</v>
      </c>
      <c r="I149" s="3">
        <v>3</v>
      </c>
      <c r="J149" s="3">
        <v>4</v>
      </c>
      <c r="K149" s="3" t="s">
        <v>346</v>
      </c>
      <c r="L149" s="3">
        <v>0</v>
      </c>
      <c r="M149" s="3">
        <v>0</v>
      </c>
      <c r="N149" s="16">
        <v>0</v>
      </c>
      <c r="O149" s="3">
        <v>0</v>
      </c>
      <c r="P149" s="3">
        <v>0</v>
      </c>
      <c r="Q149" s="3" t="s">
        <v>29</v>
      </c>
      <c r="R149" s="3" t="s">
        <v>29</v>
      </c>
      <c r="S149" s="7"/>
      <c r="T149" s="3">
        <v>0</v>
      </c>
      <c r="U149" s="3">
        <v>0</v>
      </c>
      <c r="V149" s="3">
        <v>0</v>
      </c>
      <c r="W149" s="7"/>
      <c r="X149" s="7"/>
      <c r="Y149" s="7"/>
    </row>
    <row r="150" spans="1:25" ht="14.4">
      <c r="A150" s="2">
        <v>1</v>
      </c>
      <c r="B150" s="2" t="s">
        <v>347</v>
      </c>
      <c r="C150" s="3">
        <v>23</v>
      </c>
      <c r="D150" s="3">
        <v>8</v>
      </c>
      <c r="E150" s="4">
        <v>43469</v>
      </c>
      <c r="F150" s="5" t="str">
        <f>HYPERLINK("https://microsite.suara.com/dpr/2019/04/01/140439/dpr-luncurkan-website-tentang-kebebasan-beragama-dan-berkeyakinan","sumber")</f>
        <v>sumber</v>
      </c>
      <c r="G150" s="3" t="s">
        <v>1</v>
      </c>
      <c r="H150" s="3">
        <v>491</v>
      </c>
      <c r="I150" s="3">
        <v>4</v>
      </c>
      <c r="J150" s="3">
        <v>4</v>
      </c>
      <c r="K150" s="3" t="s">
        <v>348</v>
      </c>
      <c r="L150" s="3">
        <v>0</v>
      </c>
      <c r="M150" s="3">
        <v>0</v>
      </c>
      <c r="N150" s="16">
        <v>0</v>
      </c>
      <c r="O150" s="3">
        <v>0</v>
      </c>
      <c r="P150" s="3">
        <v>0</v>
      </c>
      <c r="Q150" s="3">
        <v>0</v>
      </c>
      <c r="R150" s="3">
        <v>1</v>
      </c>
      <c r="S150" s="7"/>
      <c r="T150" s="3">
        <v>0</v>
      </c>
      <c r="U150" s="3">
        <v>0</v>
      </c>
      <c r="V150" s="3">
        <v>1</v>
      </c>
      <c r="W150" s="7"/>
      <c r="X150" s="7"/>
      <c r="Y150" s="7"/>
    </row>
    <row r="151" spans="1:25" ht="26.4">
      <c r="A151" s="10">
        <v>1</v>
      </c>
      <c r="B151" s="10" t="s">
        <v>349</v>
      </c>
      <c r="C151" s="11">
        <v>24</v>
      </c>
      <c r="D151" s="11">
        <v>9</v>
      </c>
      <c r="E151" s="11" t="s">
        <v>165</v>
      </c>
      <c r="F151" s="13" t="str">
        <f>HYPERLINK("https://internasional.republika.co.id/berita/internasional/abc-australia-network/pqg6hk366/saudi-penggal-37-orang-dalam-sehari ","sumber")</f>
        <v>sumber</v>
      </c>
      <c r="G151" s="11" t="s">
        <v>1</v>
      </c>
      <c r="H151" s="14"/>
      <c r="I151" s="11">
        <v>1</v>
      </c>
      <c r="J151" s="11">
        <v>4</v>
      </c>
      <c r="K151" s="11" t="s">
        <v>350</v>
      </c>
      <c r="L151" s="11">
        <v>0</v>
      </c>
      <c r="M151" s="11">
        <v>0</v>
      </c>
      <c r="N151" s="15">
        <v>0</v>
      </c>
      <c r="O151" s="11">
        <v>0</v>
      </c>
      <c r="P151" s="11">
        <v>0</v>
      </c>
      <c r="Q151" s="11" t="s">
        <v>21</v>
      </c>
      <c r="R151" s="11" t="s">
        <v>21</v>
      </c>
      <c r="S151" s="14"/>
      <c r="T151" s="11">
        <v>0</v>
      </c>
      <c r="U151" s="11">
        <v>0</v>
      </c>
      <c r="V151" s="11">
        <v>0</v>
      </c>
      <c r="W151" s="14"/>
      <c r="X151" s="14"/>
      <c r="Y151" s="14"/>
    </row>
    <row r="152" spans="1:25" ht="14.4">
      <c r="A152" s="17">
        <v>2</v>
      </c>
      <c r="B152" s="17" t="s">
        <v>351</v>
      </c>
      <c r="C152" s="18">
        <v>25</v>
      </c>
      <c r="D152" s="18">
        <v>3</v>
      </c>
      <c r="E152" s="19"/>
      <c r="F152" s="20" t="str">
        <f>HYPERLINK("https://news.okezone.com/read/2019/04/24/18/2047708/pbb-desak-arab-saudi-tunda-semua-rencana-pelaksanaan-hukuman-mati ","sumber")</f>
        <v>sumber</v>
      </c>
      <c r="G152" s="18" t="s">
        <v>1</v>
      </c>
      <c r="H152" s="19"/>
      <c r="I152" s="19"/>
      <c r="J152" s="18">
        <v>4</v>
      </c>
      <c r="K152" s="19"/>
      <c r="L152" s="19"/>
      <c r="M152" s="19"/>
      <c r="N152" s="19"/>
      <c r="O152" s="19"/>
      <c r="P152" s="19"/>
      <c r="Q152" s="19"/>
      <c r="R152" s="19"/>
      <c r="S152" s="19"/>
      <c r="T152" s="19"/>
      <c r="U152" s="19"/>
      <c r="V152" s="19"/>
      <c r="W152" s="19"/>
      <c r="X152" s="19"/>
      <c r="Y152" s="19"/>
    </row>
    <row r="153" spans="1:25" ht="14.4">
      <c r="A153" s="17">
        <v>2</v>
      </c>
      <c r="B153" s="17" t="s">
        <v>352</v>
      </c>
      <c r="C153" s="18">
        <v>26</v>
      </c>
      <c r="D153" s="18">
        <v>7</v>
      </c>
      <c r="E153" s="19"/>
      <c r="F153" s="20" t="str">
        <f>HYPERLINK("http://www.tribunnews.com/internasional/2019/04/26/kedubes-as-sebut-kekayaan-ayatollah-ali-khamenei-mencapai-rp-2800-t-separuh-utang-ln-indonesia ","sumber")</f>
        <v>sumber</v>
      </c>
      <c r="G153" s="18" t="s">
        <v>1</v>
      </c>
      <c r="H153" s="19"/>
      <c r="I153" s="19"/>
      <c r="J153" s="18">
        <v>4</v>
      </c>
      <c r="K153" s="19"/>
      <c r="L153" s="19"/>
      <c r="M153" s="19"/>
      <c r="N153" s="19"/>
      <c r="O153" s="19"/>
      <c r="P153" s="19"/>
      <c r="Q153" s="19"/>
      <c r="R153" s="19"/>
      <c r="S153" s="19"/>
      <c r="T153" s="19"/>
      <c r="U153" s="19"/>
      <c r="V153" s="19"/>
      <c r="W153" s="19"/>
      <c r="X153" s="19"/>
      <c r="Y153" s="19"/>
    </row>
    <row r="154" spans="1:25" ht="26.4">
      <c r="A154" s="10">
        <v>1</v>
      </c>
      <c r="B154" s="10" t="s">
        <v>353</v>
      </c>
      <c r="C154" s="11">
        <v>27</v>
      </c>
      <c r="D154" s="11">
        <v>5</v>
      </c>
      <c r="E154" s="11" t="s">
        <v>354</v>
      </c>
      <c r="F154" s="13" t="str">
        <f>HYPERLINK("https://tirto.id/sri-lanka-yang-terus-koyak-karena-konflik-sara-dm8n ","sumber")</f>
        <v>sumber</v>
      </c>
      <c r="G154" s="11" t="s">
        <v>1</v>
      </c>
      <c r="H154" s="14"/>
      <c r="I154" s="11">
        <v>1</v>
      </c>
      <c r="J154" s="11">
        <v>4</v>
      </c>
      <c r="K154" s="11" t="s">
        <v>355</v>
      </c>
      <c r="L154" s="11">
        <v>0</v>
      </c>
      <c r="M154" s="11">
        <v>1</v>
      </c>
      <c r="N154" s="15">
        <v>0</v>
      </c>
      <c r="O154" s="11">
        <v>0</v>
      </c>
      <c r="P154" s="11">
        <v>0</v>
      </c>
      <c r="Q154" s="11" t="s">
        <v>87</v>
      </c>
      <c r="R154" s="11" t="s">
        <v>29</v>
      </c>
      <c r="S154" s="14"/>
      <c r="T154" s="11">
        <v>0</v>
      </c>
      <c r="U154" s="11">
        <v>0</v>
      </c>
      <c r="V154" s="11">
        <v>1</v>
      </c>
      <c r="W154" s="14"/>
      <c r="X154" s="14"/>
      <c r="Y154" s="14"/>
    </row>
    <row r="155" spans="1:25" ht="14.4">
      <c r="A155" s="17">
        <v>2</v>
      </c>
      <c r="B155" s="17" t="s">
        <v>356</v>
      </c>
      <c r="C155" s="18">
        <v>28</v>
      </c>
      <c r="D155" s="18">
        <v>3</v>
      </c>
      <c r="E155" s="19"/>
      <c r="F155" s="20" t="str">
        <f>HYPERLINK("https://news.okezone.com/read/2019/05/11/18/2054360/cemas-akan-ancaman-iran-as-kirimkan-rudal-patriot-ke-timur-tengah ","sumber")</f>
        <v>sumber</v>
      </c>
      <c r="G155" s="18" t="s">
        <v>1</v>
      </c>
      <c r="H155" s="19"/>
      <c r="I155" s="19"/>
      <c r="J155" s="18">
        <v>4</v>
      </c>
      <c r="K155" s="19"/>
      <c r="L155" s="19"/>
      <c r="M155" s="19"/>
      <c r="N155" s="19"/>
      <c r="O155" s="19"/>
      <c r="P155" s="19"/>
      <c r="Q155" s="19"/>
      <c r="R155" s="19"/>
      <c r="S155" s="19"/>
      <c r="T155" s="19"/>
      <c r="U155" s="19"/>
      <c r="V155" s="19"/>
      <c r="W155" s="19"/>
      <c r="X155" s="19"/>
      <c r="Y155" s="19"/>
    </row>
    <row r="156" spans="1:25" ht="52.8">
      <c r="A156" s="2">
        <v>1</v>
      </c>
      <c r="B156" s="2" t="s">
        <v>357</v>
      </c>
      <c r="C156" s="3">
        <v>29</v>
      </c>
      <c r="D156" s="3">
        <v>4</v>
      </c>
      <c r="E156" s="3" t="s">
        <v>358</v>
      </c>
      <c r="F156" s="5" t="str">
        <f>HYPERLINK("https://www.liputan6.com/news/read/3969771/pp-muhamadiyah-pembelaan-pada-muslim-ahmadiyah-adalah-sikap-adil-umat-beragama","sumber")</f>
        <v>sumber</v>
      </c>
      <c r="G156" s="3" t="s">
        <v>1</v>
      </c>
      <c r="H156" s="3">
        <v>344</v>
      </c>
      <c r="I156" s="3">
        <v>3</v>
      </c>
      <c r="J156" s="3">
        <v>4</v>
      </c>
      <c r="K156" s="3" t="s">
        <v>359</v>
      </c>
      <c r="L156" s="3">
        <v>0</v>
      </c>
      <c r="M156" s="3">
        <v>0</v>
      </c>
      <c r="N156" s="16">
        <v>0</v>
      </c>
      <c r="O156" s="3">
        <v>0</v>
      </c>
      <c r="P156" s="3">
        <v>0</v>
      </c>
      <c r="Q156" s="3" t="s">
        <v>106</v>
      </c>
      <c r="R156" s="3" t="s">
        <v>360</v>
      </c>
      <c r="S156" s="7"/>
      <c r="T156" s="3">
        <v>0</v>
      </c>
      <c r="U156" s="3">
        <v>0</v>
      </c>
      <c r="V156" s="3">
        <v>0</v>
      </c>
      <c r="W156" s="7"/>
      <c r="X156" s="7"/>
      <c r="Y156" s="7"/>
    </row>
    <row r="157" spans="1:25" ht="52.8">
      <c r="A157" s="2">
        <v>1</v>
      </c>
      <c r="B157" s="2" t="s">
        <v>361</v>
      </c>
      <c r="C157" s="3">
        <v>30</v>
      </c>
      <c r="D157" s="3">
        <v>3</v>
      </c>
      <c r="E157" s="3" t="s">
        <v>362</v>
      </c>
      <c r="F157" s="5" t="str">
        <f>HYPERLINK("https://muslim.okezone.com/read/2019/05/15/614/2055778/7-aliran-dalam-islam-mayoritas-masih-eksis-hingga-kini","sumber")</f>
        <v>sumber</v>
      </c>
      <c r="G157" s="3" t="s">
        <v>1</v>
      </c>
      <c r="H157" s="3">
        <v>1282</v>
      </c>
      <c r="I157" s="3">
        <v>5</v>
      </c>
      <c r="J157" s="3">
        <v>4</v>
      </c>
      <c r="K157" s="3" t="s">
        <v>363</v>
      </c>
      <c r="L157" s="3">
        <v>0</v>
      </c>
      <c r="M157" s="3">
        <v>0</v>
      </c>
      <c r="N157" s="16">
        <v>0</v>
      </c>
      <c r="O157" s="3">
        <v>0</v>
      </c>
      <c r="P157" s="3">
        <v>0</v>
      </c>
      <c r="Q157" s="3" t="s">
        <v>21</v>
      </c>
      <c r="R157" s="3" t="s">
        <v>21</v>
      </c>
      <c r="S157" s="7"/>
      <c r="T157" s="3">
        <v>0</v>
      </c>
      <c r="U157" s="3">
        <v>0</v>
      </c>
      <c r="V157" s="3">
        <v>0</v>
      </c>
      <c r="W157" s="7"/>
      <c r="X157" s="7"/>
      <c r="Y157" s="7"/>
    </row>
    <row r="158" spans="1:25" ht="14.4">
      <c r="A158" s="17">
        <v>2</v>
      </c>
      <c r="B158" s="17" t="s">
        <v>364</v>
      </c>
      <c r="C158" s="18">
        <v>31</v>
      </c>
      <c r="D158" s="18">
        <v>5</v>
      </c>
      <c r="E158" s="19"/>
      <c r="F158" s="20" t="str">
        <f>HYPERLINK("https://tirto.id/dakwah-persis-ala-a-hassan-sebarkan-islam-lewat-debat-publikasi-dFXM ","sumber")</f>
        <v>sumber</v>
      </c>
      <c r="G158" s="18" t="s">
        <v>1</v>
      </c>
      <c r="H158" s="19"/>
      <c r="I158" s="19"/>
      <c r="J158" s="18">
        <v>4</v>
      </c>
      <c r="K158" s="19"/>
      <c r="L158" s="19"/>
      <c r="M158" s="19"/>
      <c r="N158" s="19"/>
      <c r="O158" s="19"/>
      <c r="P158" s="19"/>
      <c r="Q158" s="19"/>
      <c r="R158" s="19"/>
      <c r="S158" s="19"/>
      <c r="T158" s="19"/>
      <c r="U158" s="19"/>
      <c r="V158" s="19"/>
      <c r="W158" s="19"/>
      <c r="X158" s="19"/>
      <c r="Y158" s="19"/>
    </row>
    <row r="159" spans="1:25" ht="14.4">
      <c r="A159" s="17">
        <v>2</v>
      </c>
      <c r="B159" s="17" t="s">
        <v>365</v>
      </c>
      <c r="C159" s="18">
        <v>32</v>
      </c>
      <c r="D159" s="18">
        <v>9</v>
      </c>
      <c r="E159" s="19"/>
      <c r="F159" s="20" t="str">
        <f>HYPERLINK("https://internasional.republika.co.id/berita/internasional/timur-tengah/prp1wo320/irak-terjebak-di-tengah-kemelut-ketegangan-as-dan-iran ","sumber")</f>
        <v>sumber</v>
      </c>
      <c r="G159" s="18" t="s">
        <v>1</v>
      </c>
      <c r="H159" s="19"/>
      <c r="I159" s="19"/>
      <c r="J159" s="18">
        <v>4</v>
      </c>
      <c r="K159" s="19"/>
      <c r="L159" s="19"/>
      <c r="M159" s="19"/>
      <c r="N159" s="19"/>
      <c r="O159" s="19"/>
      <c r="P159" s="19"/>
      <c r="Q159" s="19"/>
      <c r="R159" s="19"/>
      <c r="S159" s="19"/>
      <c r="T159" s="19"/>
      <c r="U159" s="19"/>
      <c r="V159" s="19"/>
      <c r="W159" s="19"/>
      <c r="X159" s="19"/>
      <c r="Y159" s="19"/>
    </row>
    <row r="160" spans="1:25" ht="14.4">
      <c r="A160" s="17">
        <v>2</v>
      </c>
      <c r="B160" s="17" t="s">
        <v>366</v>
      </c>
      <c r="C160" s="18">
        <v>33</v>
      </c>
      <c r="D160" s="18">
        <v>7</v>
      </c>
      <c r="E160" s="19"/>
      <c r="F160" s="20" t="str">
        <f>HYPERLINK("http://www.tribunnews.com/pilpres-2019/2019/05/19/multaqo-ulama-solo-menentang-hasil-kpu-adalah-pemberontakan ","sumber")</f>
        <v>sumber</v>
      </c>
      <c r="G160" s="18" t="s">
        <v>1</v>
      </c>
      <c r="H160" s="19"/>
      <c r="I160" s="19"/>
      <c r="J160" s="18">
        <v>4</v>
      </c>
      <c r="K160" s="19"/>
      <c r="L160" s="19"/>
      <c r="M160" s="19"/>
      <c r="N160" s="19"/>
      <c r="O160" s="19"/>
      <c r="P160" s="19"/>
      <c r="Q160" s="19"/>
      <c r="R160" s="19"/>
      <c r="S160" s="19"/>
      <c r="T160" s="19"/>
      <c r="U160" s="19"/>
      <c r="V160" s="19"/>
      <c r="W160" s="19"/>
      <c r="X160" s="19"/>
      <c r="Y160" s="19"/>
    </row>
    <row r="161" spans="1:25" ht="14.4">
      <c r="A161" s="17">
        <v>2</v>
      </c>
      <c r="B161" s="17" t="s">
        <v>367</v>
      </c>
      <c r="C161" s="18">
        <v>34</v>
      </c>
      <c r="D161" s="18">
        <v>10</v>
      </c>
      <c r="E161" s="19"/>
      <c r="F161" s="20" t="str">
        <f>HYPERLINK("https://dunia.tempo.co/read/1207361/ulama-syiah-terkemuka-minta-irak-tidak-diseret-dalam-perang ","sumber")</f>
        <v>sumber</v>
      </c>
      <c r="G161" s="18" t="s">
        <v>1</v>
      </c>
      <c r="H161" s="19"/>
      <c r="I161" s="19"/>
      <c r="J161" s="18">
        <v>4</v>
      </c>
      <c r="K161" s="19"/>
      <c r="L161" s="19"/>
      <c r="M161" s="19"/>
      <c r="N161" s="19"/>
      <c r="O161" s="19"/>
      <c r="P161" s="19"/>
      <c r="Q161" s="19"/>
      <c r="R161" s="19"/>
      <c r="S161" s="19"/>
      <c r="T161" s="19"/>
      <c r="U161" s="19"/>
      <c r="V161" s="19"/>
      <c r="W161" s="19"/>
      <c r="X161" s="19"/>
      <c r="Y161" s="19"/>
    </row>
    <row r="162" spans="1:25" ht="14.4">
      <c r="A162" s="17">
        <v>2</v>
      </c>
      <c r="B162" s="17" t="s">
        <v>368</v>
      </c>
      <c r="C162" s="18">
        <v>35</v>
      </c>
      <c r="D162" s="18">
        <v>8</v>
      </c>
      <c r="E162" s="19"/>
      <c r="F162" s="20" t="str">
        <f>HYPERLINK("https://www.suara.com/news/2019/05/21/102304/new-york-times-jokowi-menang-lagi-kalahkan-eks-jenderal-garis-keras ","sumber")</f>
        <v>sumber</v>
      </c>
      <c r="G162" s="18" t="s">
        <v>1</v>
      </c>
      <c r="H162" s="19"/>
      <c r="I162" s="19"/>
      <c r="J162" s="18">
        <v>4</v>
      </c>
      <c r="K162" s="19"/>
      <c r="L162" s="19"/>
      <c r="M162" s="19"/>
      <c r="N162" s="19"/>
      <c r="O162" s="19"/>
      <c r="P162" s="19"/>
      <c r="Q162" s="19"/>
      <c r="R162" s="19"/>
      <c r="S162" s="19"/>
      <c r="T162" s="19"/>
      <c r="U162" s="19"/>
      <c r="V162" s="19"/>
      <c r="W162" s="19"/>
      <c r="X162" s="19"/>
      <c r="Y162" s="19"/>
    </row>
    <row r="163" spans="1:25" ht="14.4">
      <c r="A163" s="2">
        <v>1</v>
      </c>
      <c r="B163" s="2" t="s">
        <v>369</v>
      </c>
      <c r="C163" s="3">
        <v>36</v>
      </c>
      <c r="D163" s="3">
        <v>9</v>
      </c>
      <c r="E163" s="4">
        <v>43713</v>
      </c>
      <c r="F163" s="5" t="str">
        <f>HYPERLINK("https://khazanah.republika.co.id/berita/dunia-islam/dunia/pr8vnn320/australia-nyatakan-bersalah-3-penyerang-masjid-syiah","sumber")</f>
        <v>sumber</v>
      </c>
      <c r="G163" s="3" t="s">
        <v>1</v>
      </c>
      <c r="H163" s="3">
        <v>147</v>
      </c>
      <c r="I163" s="3">
        <v>1</v>
      </c>
      <c r="J163" s="3">
        <v>4</v>
      </c>
      <c r="K163" s="3" t="s">
        <v>370</v>
      </c>
      <c r="L163" s="3">
        <v>0</v>
      </c>
      <c r="M163" s="3">
        <v>-1</v>
      </c>
      <c r="N163" s="16">
        <v>0</v>
      </c>
      <c r="O163" s="3">
        <v>0</v>
      </c>
      <c r="P163" s="3">
        <v>0</v>
      </c>
      <c r="Q163" s="3">
        <v>0</v>
      </c>
      <c r="R163" s="3">
        <v>0</v>
      </c>
      <c r="S163" s="7"/>
      <c r="T163" s="3">
        <v>0</v>
      </c>
      <c r="U163" s="3">
        <v>0</v>
      </c>
      <c r="V163" s="3">
        <v>0</v>
      </c>
      <c r="W163" s="7"/>
      <c r="X163" s="7"/>
      <c r="Y163" s="7"/>
    </row>
    <row r="164" spans="1:25" ht="26.4">
      <c r="A164" s="10">
        <v>1</v>
      </c>
      <c r="B164" s="10" t="s">
        <v>371</v>
      </c>
      <c r="C164" s="11">
        <v>37</v>
      </c>
      <c r="D164" s="11">
        <v>8</v>
      </c>
      <c r="E164" s="11" t="s">
        <v>372</v>
      </c>
      <c r="F164" s="13" t="str">
        <f>HYPERLINK("https://www.suara.com/news/2019/05/30/143211/eks-imam-masjidil-haram-era-rasulullah-pria-wanita-salat-tak-terpisah ","sumber")</f>
        <v>sumber</v>
      </c>
      <c r="G164" s="11" t="s">
        <v>1</v>
      </c>
      <c r="H164" s="14"/>
      <c r="I164" s="11">
        <v>4</v>
      </c>
      <c r="J164" s="11">
        <v>4</v>
      </c>
      <c r="K164" s="11" t="s">
        <v>373</v>
      </c>
      <c r="L164" s="11">
        <v>0</v>
      </c>
      <c r="M164" s="11">
        <v>0</v>
      </c>
      <c r="N164" s="15">
        <v>0</v>
      </c>
      <c r="O164" s="11">
        <v>0</v>
      </c>
      <c r="P164" s="11">
        <v>0</v>
      </c>
      <c r="Q164" s="11">
        <v>0</v>
      </c>
      <c r="R164" s="11">
        <v>1</v>
      </c>
      <c r="S164" s="14"/>
      <c r="T164" s="11">
        <v>0</v>
      </c>
      <c r="U164" s="11">
        <v>0</v>
      </c>
      <c r="V164" s="11">
        <v>0</v>
      </c>
      <c r="W164" s="14"/>
      <c r="X164" s="14"/>
      <c r="Y164" s="14"/>
    </row>
    <row r="165" spans="1:25" ht="14.4">
      <c r="A165" s="17">
        <v>2</v>
      </c>
      <c r="B165" s="17" t="s">
        <v>374</v>
      </c>
      <c r="C165" s="18">
        <v>38</v>
      </c>
      <c r="D165" s="18">
        <v>1</v>
      </c>
      <c r="E165" s="19"/>
      <c r="F165" s="20" t="str">
        <f>HYPERLINK("https://news.detik.com/berita/d-4572700/masjid-pelayan-umat-di-singapura ","sumber")</f>
        <v>sumber</v>
      </c>
      <c r="G165" s="18" t="s">
        <v>1</v>
      </c>
      <c r="H165" s="19"/>
      <c r="I165" s="19"/>
      <c r="J165" s="18">
        <v>4</v>
      </c>
      <c r="K165" s="19"/>
      <c r="L165" s="19"/>
      <c r="M165" s="19"/>
      <c r="N165" s="19"/>
      <c r="O165" s="19"/>
      <c r="P165" s="19"/>
      <c r="Q165" s="19"/>
      <c r="R165" s="19"/>
      <c r="S165" s="19"/>
      <c r="T165" s="19"/>
      <c r="U165" s="19"/>
      <c r="V165" s="19"/>
      <c r="W165" s="19"/>
      <c r="X165" s="19"/>
      <c r="Y165" s="19"/>
    </row>
    <row r="166" spans="1:25" ht="26.4">
      <c r="A166" s="2">
        <v>1</v>
      </c>
      <c r="B166" s="2" t="s">
        <v>375</v>
      </c>
      <c r="C166" s="3">
        <v>39</v>
      </c>
      <c r="D166" s="3">
        <v>7</v>
      </c>
      <c r="E166" s="3" t="s">
        <v>180</v>
      </c>
      <c r="F166" s="5" t="str">
        <f>HYPERLINK("https://www.tribunnews.com/regional/2019/05/31/demi-bhineka-tunggal-ika-sudah-20-tahun-istri-gus-dur-ny-sinta-gelar-sahur-bareng-umat-lintas-agama","sumber")</f>
        <v>sumber</v>
      </c>
      <c r="G166" s="3" t="s">
        <v>1</v>
      </c>
      <c r="H166" s="3">
        <v>241</v>
      </c>
      <c r="I166" s="3">
        <v>3</v>
      </c>
      <c r="J166" s="3">
        <v>4</v>
      </c>
      <c r="K166" s="3" t="s">
        <v>376</v>
      </c>
      <c r="L166" s="3">
        <v>0</v>
      </c>
      <c r="M166" s="3">
        <v>0</v>
      </c>
      <c r="N166" s="16">
        <v>0</v>
      </c>
      <c r="O166" s="3">
        <v>0</v>
      </c>
      <c r="P166" s="3">
        <v>0</v>
      </c>
      <c r="Q166" s="3" t="s">
        <v>99</v>
      </c>
      <c r="R166" s="3" t="s">
        <v>377</v>
      </c>
      <c r="S166" s="7"/>
      <c r="T166" s="3">
        <v>0</v>
      </c>
      <c r="U166" s="3">
        <v>0</v>
      </c>
      <c r="V166" s="3">
        <v>0</v>
      </c>
      <c r="W166" s="7"/>
      <c r="X166" s="7"/>
      <c r="Y166" s="7"/>
    </row>
    <row r="167" spans="1:25" ht="14.4">
      <c r="A167" s="17">
        <v>2</v>
      </c>
      <c r="B167" s="17" t="s">
        <v>378</v>
      </c>
      <c r="C167" s="18">
        <v>40</v>
      </c>
      <c r="D167" s="18">
        <v>3</v>
      </c>
      <c r="E167" s="19"/>
      <c r="F167" s="20" t="str">
        <f>HYPERLINK("https://news.okezone.com/read/2019/06/10/18/2065058/ditahan-sejak-berumur-13-tahun-remaja-arab-saudi-terancam-hukuman-mati ","sumber")</f>
        <v>sumber</v>
      </c>
      <c r="G167" s="18" t="s">
        <v>1</v>
      </c>
      <c r="H167" s="19"/>
      <c r="I167" s="19"/>
      <c r="J167" s="18">
        <v>4</v>
      </c>
      <c r="K167" s="19"/>
      <c r="L167" s="19"/>
      <c r="M167" s="19"/>
      <c r="N167" s="19"/>
      <c r="O167" s="19"/>
      <c r="P167" s="19"/>
      <c r="Q167" s="19"/>
      <c r="R167" s="19"/>
      <c r="S167" s="19"/>
      <c r="T167" s="19"/>
      <c r="U167" s="19"/>
      <c r="V167" s="19"/>
      <c r="W167" s="19"/>
      <c r="X167" s="19"/>
      <c r="Y167" s="19"/>
    </row>
    <row r="168" spans="1:25" ht="14.4">
      <c r="A168" s="17">
        <v>2</v>
      </c>
      <c r="B168" s="17" t="s">
        <v>379</v>
      </c>
      <c r="C168" s="18">
        <v>41</v>
      </c>
      <c r="D168" s="18">
        <v>8</v>
      </c>
      <c r="E168" s="19"/>
      <c r="F168" s="20" t="str">
        <f>HYPERLINK("https://www.suara.com/news/2019/06/10/180028/ditahan-sejak-13-tahun-aktivis-cilik-arab-saudi-mau-dipancung-dan-disalib ","sumber")</f>
        <v>sumber</v>
      </c>
      <c r="G168" s="18" t="s">
        <v>1</v>
      </c>
      <c r="H168" s="19"/>
      <c r="I168" s="19"/>
      <c r="J168" s="18">
        <v>4</v>
      </c>
      <c r="K168" s="19"/>
      <c r="L168" s="19"/>
      <c r="M168" s="19"/>
      <c r="N168" s="19"/>
      <c r="O168" s="19"/>
      <c r="P168" s="19"/>
      <c r="Q168" s="19"/>
      <c r="R168" s="19"/>
      <c r="S168" s="19"/>
      <c r="T168" s="19"/>
      <c r="U168" s="19"/>
      <c r="V168" s="19"/>
      <c r="W168" s="19"/>
      <c r="X168" s="19"/>
      <c r="Y168" s="19"/>
    </row>
    <row r="169" spans="1:25" ht="14.4">
      <c r="A169" s="17">
        <v>2</v>
      </c>
      <c r="B169" s="17" t="s">
        <v>380</v>
      </c>
      <c r="C169" s="18">
        <v>42</v>
      </c>
      <c r="D169" s="18">
        <v>9</v>
      </c>
      <c r="E169" s="19"/>
      <c r="F169" s="20" t="str">
        <f>HYPERLINK("https://internasional.republika.co.id/berita/internasional/timur-tengah/pt868k366/houthi-kembali-luncurkan-serangan-rudal-ke-bandara-abha ","sumber")</f>
        <v>sumber</v>
      </c>
      <c r="G169" s="18" t="s">
        <v>1</v>
      </c>
      <c r="H169" s="19"/>
      <c r="I169" s="19"/>
      <c r="J169" s="18">
        <v>4</v>
      </c>
      <c r="K169" s="19"/>
      <c r="L169" s="19"/>
      <c r="M169" s="19"/>
      <c r="N169" s="19"/>
      <c r="O169" s="19"/>
      <c r="P169" s="19"/>
      <c r="Q169" s="19"/>
      <c r="R169" s="19"/>
      <c r="S169" s="19"/>
      <c r="T169" s="19"/>
      <c r="U169" s="19"/>
      <c r="V169" s="19"/>
      <c r="W169" s="19"/>
      <c r="X169" s="19"/>
      <c r="Y169" s="19"/>
    </row>
    <row r="170" spans="1:25" ht="14.4">
      <c r="A170" s="10">
        <v>1</v>
      </c>
      <c r="B170" s="10" t="s">
        <v>381</v>
      </c>
      <c r="C170" s="11">
        <v>43</v>
      </c>
      <c r="D170" s="11">
        <v>6</v>
      </c>
      <c r="E170" s="11" t="s">
        <v>382</v>
      </c>
      <c r="F170" s="13" t="str">
        <f>HYPERLINK("https://regional.kompas.com/read/2019/06/18/14413951/jemaah-ahmadiyah-akan-direlokasi-ke-kecamatan-sembalun-di-lombok-timur ","sumber")</f>
        <v>sumber</v>
      </c>
      <c r="G170" s="11" t="s">
        <v>1</v>
      </c>
      <c r="H170" s="11">
        <v>208</v>
      </c>
      <c r="I170" s="11">
        <v>1</v>
      </c>
      <c r="J170" s="11">
        <v>4</v>
      </c>
      <c r="K170" s="11" t="s">
        <v>383</v>
      </c>
      <c r="L170" s="11">
        <v>0</v>
      </c>
      <c r="M170" s="11">
        <v>0</v>
      </c>
      <c r="N170" s="15">
        <v>0</v>
      </c>
      <c r="O170" s="11">
        <v>0</v>
      </c>
      <c r="P170" s="11">
        <v>0</v>
      </c>
      <c r="Q170" s="11">
        <v>0</v>
      </c>
      <c r="R170" s="11">
        <v>0</v>
      </c>
      <c r="S170" s="14"/>
      <c r="T170" s="11">
        <v>0</v>
      </c>
      <c r="U170" s="11">
        <v>0</v>
      </c>
      <c r="V170" s="11">
        <v>0</v>
      </c>
      <c r="W170" s="14"/>
      <c r="X170" s="14"/>
      <c r="Y170" s="14"/>
    </row>
    <row r="171" spans="1:25" ht="14.4">
      <c r="A171" s="17">
        <v>2</v>
      </c>
      <c r="B171" s="17" t="s">
        <v>384</v>
      </c>
      <c r="C171" s="18">
        <v>44</v>
      </c>
      <c r="D171" s="18">
        <v>4</v>
      </c>
      <c r="E171" s="19"/>
      <c r="F171" s="20" t="str">
        <f>HYPERLINK("https://www.liputan6.com/global/read/3992634/arab-saudi-tembak-dua-drone-bermuatan-bom-houthi-menyasar-kawasan-abha ","sumber")</f>
        <v>sumber</v>
      </c>
      <c r="G171" s="18" t="s">
        <v>1</v>
      </c>
      <c r="H171" s="19"/>
      <c r="I171" s="19"/>
      <c r="J171" s="18">
        <v>4</v>
      </c>
      <c r="K171" s="19"/>
      <c r="L171" s="19"/>
      <c r="M171" s="19"/>
      <c r="N171" s="19"/>
      <c r="O171" s="19"/>
      <c r="P171" s="19"/>
      <c r="Q171" s="19"/>
      <c r="R171" s="19"/>
      <c r="S171" s="19"/>
      <c r="T171" s="19"/>
      <c r="U171" s="19"/>
      <c r="V171" s="19"/>
      <c r="W171" s="19"/>
      <c r="X171" s="19"/>
      <c r="Y171" s="19"/>
    </row>
    <row r="172" spans="1:25" ht="14.4">
      <c r="A172" s="17">
        <v>2</v>
      </c>
      <c r="B172" s="17" t="s">
        <v>385</v>
      </c>
      <c r="C172" s="18">
        <v>45</v>
      </c>
      <c r="D172" s="18">
        <v>9</v>
      </c>
      <c r="E172" s="19"/>
      <c r="F172" s="20" t="str">
        <f>HYPERLINK("https://khazanah.republika.co.id/berita/dunia-islam/islam-nusantara/ptchqq320/islamic-science-park-madura-dilengkapi-piramida-wali-songo ","sumber")</f>
        <v>sumber</v>
      </c>
      <c r="G172" s="18" t="s">
        <v>1</v>
      </c>
      <c r="H172" s="19"/>
      <c r="I172" s="19"/>
      <c r="J172" s="18">
        <v>4</v>
      </c>
      <c r="K172" s="19"/>
      <c r="L172" s="19"/>
      <c r="M172" s="19"/>
      <c r="N172" s="19"/>
      <c r="O172" s="19"/>
      <c r="P172" s="19"/>
      <c r="Q172" s="19"/>
      <c r="R172" s="19"/>
      <c r="S172" s="19"/>
      <c r="T172" s="19"/>
      <c r="U172" s="19"/>
      <c r="V172" s="19"/>
      <c r="W172" s="19"/>
      <c r="X172" s="19"/>
      <c r="Y172" s="19"/>
    </row>
    <row r="173" spans="1:25" ht="14.4">
      <c r="A173" s="17">
        <v>2</v>
      </c>
      <c r="B173" s="17" t="s">
        <v>386</v>
      </c>
      <c r="C173" s="18">
        <v>46</v>
      </c>
      <c r="D173" s="18">
        <v>3</v>
      </c>
      <c r="E173" s="19"/>
      <c r="F173" s="20" t="str">
        <f>HYPERLINK("https://news.okezone.com/read/2019/06/21/18/2069413/ledakan-bom-di-masjid-baghdad-tewaskan-tujuh-orang ","sumber")</f>
        <v>sumber</v>
      </c>
      <c r="G173" s="18" t="s">
        <v>1</v>
      </c>
      <c r="H173" s="19"/>
      <c r="I173" s="19"/>
      <c r="J173" s="18">
        <v>4</v>
      </c>
      <c r="K173" s="19"/>
      <c r="L173" s="19"/>
      <c r="M173" s="19"/>
      <c r="N173" s="19"/>
      <c r="O173" s="19"/>
      <c r="P173" s="19"/>
      <c r="Q173" s="19"/>
      <c r="R173" s="19"/>
      <c r="S173" s="19"/>
      <c r="T173" s="19"/>
      <c r="U173" s="19"/>
      <c r="V173" s="19"/>
      <c r="W173" s="19"/>
      <c r="X173" s="19"/>
      <c r="Y173" s="19"/>
    </row>
    <row r="174" spans="1:25" ht="26.4">
      <c r="A174" s="2">
        <v>1</v>
      </c>
      <c r="B174" s="2" t="s">
        <v>387</v>
      </c>
      <c r="C174" s="3">
        <v>47</v>
      </c>
      <c r="D174" s="3">
        <v>10</v>
      </c>
      <c r="E174" s="3" t="s">
        <v>388</v>
      </c>
      <c r="F174" s="5" t="str">
        <f>HYPERLINK("https://dunia.tempo.co/read/1215458/tak-jadi-dieksekusi-mati-remaja-arab-saudi-divonis-12-tahun","sumber")</f>
        <v>sumber</v>
      </c>
      <c r="G174" s="3" t="s">
        <v>1</v>
      </c>
      <c r="H174" s="3">
        <v>470</v>
      </c>
      <c r="I174" s="3">
        <v>1</v>
      </c>
      <c r="J174" s="3">
        <v>4</v>
      </c>
      <c r="K174" s="3" t="s">
        <v>389</v>
      </c>
      <c r="L174" s="3">
        <v>0</v>
      </c>
      <c r="M174" s="3">
        <v>1</v>
      </c>
      <c r="N174" s="16">
        <v>0</v>
      </c>
      <c r="O174" s="3">
        <v>0</v>
      </c>
      <c r="P174" s="3">
        <v>0</v>
      </c>
      <c r="Q174" s="3" t="s">
        <v>29</v>
      </c>
      <c r="R174" s="3" t="s">
        <v>29</v>
      </c>
      <c r="S174" s="7"/>
      <c r="T174" s="3">
        <v>0</v>
      </c>
      <c r="U174" s="3">
        <v>0</v>
      </c>
      <c r="V174" s="3">
        <v>0</v>
      </c>
      <c r="W174" s="7"/>
      <c r="X174" s="7"/>
      <c r="Y174" s="7"/>
    </row>
    <row r="175" spans="1:25" ht="14.4">
      <c r="A175" s="2">
        <v>1</v>
      </c>
      <c r="B175" s="2" t="s">
        <v>390</v>
      </c>
      <c r="C175" s="3">
        <v>48</v>
      </c>
      <c r="D175" s="3">
        <v>1</v>
      </c>
      <c r="E175" s="4">
        <v>43591</v>
      </c>
      <c r="F175" s="5" t="str">
        <f>HYPERLINK("https://news.detik.com/berita/d-4576804/tradisi-azan-magrib-dua-kali-di-lebanon","sumber")</f>
        <v>sumber</v>
      </c>
      <c r="G175" s="3" t="s">
        <v>1</v>
      </c>
      <c r="H175" s="3">
        <v>896</v>
      </c>
      <c r="I175" s="3">
        <v>2</v>
      </c>
      <c r="J175" s="3">
        <v>4</v>
      </c>
      <c r="K175" s="3" t="s">
        <v>391</v>
      </c>
      <c r="L175" s="3">
        <v>0</v>
      </c>
      <c r="M175" s="3">
        <v>0</v>
      </c>
      <c r="N175" s="16">
        <v>0</v>
      </c>
      <c r="O175" s="3">
        <v>0</v>
      </c>
      <c r="P175" s="3">
        <v>0</v>
      </c>
      <c r="Q175" s="3">
        <v>0</v>
      </c>
      <c r="R175" s="3">
        <v>0</v>
      </c>
      <c r="S175" s="7"/>
      <c r="T175" s="3">
        <v>0</v>
      </c>
      <c r="U175" s="3">
        <v>0</v>
      </c>
      <c r="V175" s="3">
        <v>0</v>
      </c>
      <c r="W175" s="7"/>
      <c r="X175" s="7"/>
      <c r="Y175" s="7"/>
    </row>
    <row r="176" spans="1:25" ht="14.4">
      <c r="A176" s="17">
        <v>2</v>
      </c>
      <c r="B176" s="17" t="s">
        <v>392</v>
      </c>
      <c r="C176" s="18">
        <v>49</v>
      </c>
      <c r="D176" s="18">
        <v>9</v>
      </c>
      <c r="E176" s="19"/>
      <c r="F176" s="20" t="str">
        <f>HYPERLINK("https://khazanah.republika.co.id/berita/dunia-islam/dunia/ptqemb313/menelusuri-jejak-islam-di-finlandia ","sumber")</f>
        <v>sumber</v>
      </c>
      <c r="G176" s="18" t="s">
        <v>1</v>
      </c>
      <c r="H176" s="19"/>
      <c r="I176" s="19"/>
      <c r="J176" s="18">
        <v>4</v>
      </c>
      <c r="K176" s="19"/>
      <c r="L176" s="19"/>
      <c r="M176" s="19"/>
      <c r="N176" s="19"/>
      <c r="O176" s="19"/>
      <c r="P176" s="19"/>
      <c r="Q176" s="19"/>
      <c r="R176" s="19"/>
      <c r="S176" s="19"/>
      <c r="T176" s="19"/>
      <c r="U176" s="19"/>
      <c r="V176" s="19"/>
      <c r="W176" s="19"/>
      <c r="X176" s="19"/>
      <c r="Y176" s="19"/>
    </row>
    <row r="177" spans="1:25" ht="14.4">
      <c r="A177" s="17">
        <v>2</v>
      </c>
      <c r="B177" s="17" t="s">
        <v>393</v>
      </c>
      <c r="C177" s="18">
        <v>50</v>
      </c>
      <c r="D177" s="18">
        <v>9</v>
      </c>
      <c r="E177" s="19"/>
      <c r="F177" s="20" t="str">
        <f>HYPERLINK("https://khazanah.republika.co.id/berita/pu3fsj313/tiga-pesantren-bersejarah-di-sumatera ","sumber")</f>
        <v>sumber</v>
      </c>
      <c r="G177" s="18" t="s">
        <v>1</v>
      </c>
      <c r="H177" s="19"/>
      <c r="I177" s="19"/>
      <c r="J177" s="18">
        <v>4</v>
      </c>
      <c r="K177" s="19"/>
      <c r="L177" s="19"/>
      <c r="M177" s="19"/>
      <c r="N177" s="19"/>
      <c r="O177" s="19"/>
      <c r="P177" s="19"/>
      <c r="Q177" s="19"/>
      <c r="R177" s="19"/>
      <c r="S177" s="19"/>
      <c r="T177" s="19"/>
      <c r="U177" s="19"/>
      <c r="V177" s="19"/>
      <c r="W177" s="19"/>
      <c r="X177" s="19"/>
      <c r="Y177" s="19"/>
    </row>
    <row r="178" spans="1:25" ht="14.4">
      <c r="A178" s="17">
        <v>2</v>
      </c>
      <c r="B178" s="17" t="s">
        <v>394</v>
      </c>
      <c r="C178" s="18">
        <v>51</v>
      </c>
      <c r="D178" s="18">
        <v>9</v>
      </c>
      <c r="E178" s="19"/>
      <c r="F178" s="20" t="str">
        <f>HYPERLINK("https://khazanah.republika.co.id/berita/pu9qa4313/tiga-masjid-terkenal-di-selandia-baru ","sumber")</f>
        <v>sumber</v>
      </c>
      <c r="G178" s="18" t="s">
        <v>1</v>
      </c>
      <c r="H178" s="19"/>
      <c r="I178" s="19"/>
      <c r="J178" s="18">
        <v>4</v>
      </c>
      <c r="K178" s="19"/>
      <c r="L178" s="19"/>
      <c r="M178" s="19"/>
      <c r="N178" s="19"/>
      <c r="O178" s="19"/>
      <c r="P178" s="19"/>
      <c r="Q178" s="19"/>
      <c r="R178" s="19"/>
      <c r="S178" s="19"/>
      <c r="T178" s="19"/>
      <c r="U178" s="19"/>
      <c r="V178" s="19"/>
      <c r="W178" s="19"/>
      <c r="X178" s="19"/>
      <c r="Y178" s="19"/>
    </row>
    <row r="179" spans="1:25" ht="14.4">
      <c r="A179" s="17">
        <v>2</v>
      </c>
      <c r="B179" s="17" t="s">
        <v>395</v>
      </c>
      <c r="C179" s="18">
        <v>52</v>
      </c>
      <c r="D179" s="18">
        <v>4</v>
      </c>
      <c r="E179" s="19"/>
      <c r="F179" s="20" t="str">
        <f>HYPERLINK("https://www.liputan6.com/news/read/4007462/diumumkan-besok-ini-daftar-laman-cek-sbmptn-2019 ","sumber")</f>
        <v>sumber</v>
      </c>
      <c r="G179" s="18" t="s">
        <v>1</v>
      </c>
      <c r="H179" s="19"/>
      <c r="I179" s="19"/>
      <c r="J179" s="18">
        <v>4</v>
      </c>
      <c r="K179" s="19"/>
      <c r="L179" s="19"/>
      <c r="M179" s="19"/>
      <c r="N179" s="19"/>
      <c r="O179" s="19"/>
      <c r="P179" s="19"/>
      <c r="Q179" s="19"/>
      <c r="R179" s="19"/>
      <c r="S179" s="19"/>
      <c r="T179" s="19"/>
      <c r="U179" s="19"/>
      <c r="V179" s="19"/>
      <c r="W179" s="19"/>
      <c r="X179" s="19"/>
      <c r="Y179" s="19"/>
    </row>
    <row r="180" spans="1:25" ht="14.4">
      <c r="A180" s="17">
        <v>2</v>
      </c>
      <c r="B180" s="17" t="s">
        <v>396</v>
      </c>
      <c r="C180" s="18">
        <v>53</v>
      </c>
      <c r="D180" s="18">
        <v>4</v>
      </c>
      <c r="E180" s="19"/>
      <c r="F180" s="20" t="str">
        <f>HYPERLINK("https://www.liputan6.com/global/read/4011229/iran-peringatkan-kekuatan-barat-untuk-tinggalkan-teluk-persia ","sumber")</f>
        <v>sumber</v>
      </c>
      <c r="G180" s="18" t="s">
        <v>1</v>
      </c>
      <c r="H180" s="19"/>
      <c r="I180" s="19"/>
      <c r="J180" s="18">
        <v>4</v>
      </c>
      <c r="K180" s="19"/>
      <c r="L180" s="19"/>
      <c r="M180" s="19"/>
      <c r="N180" s="19"/>
      <c r="O180" s="19"/>
      <c r="P180" s="19"/>
      <c r="Q180" s="19"/>
      <c r="R180" s="19"/>
      <c r="S180" s="19"/>
      <c r="T180" s="19"/>
      <c r="U180" s="19"/>
      <c r="V180" s="19"/>
      <c r="W180" s="19"/>
      <c r="X180" s="19"/>
      <c r="Y180" s="19"/>
    </row>
    <row r="181" spans="1:25" ht="14.4">
      <c r="A181" s="17">
        <v>2</v>
      </c>
      <c r="B181" s="17" t="s">
        <v>397</v>
      </c>
      <c r="C181" s="18">
        <v>54</v>
      </c>
      <c r="D181" s="18">
        <v>2</v>
      </c>
      <c r="E181" s="19"/>
      <c r="F181" s="20" t="str">
        <f>HYPERLINK("https://www.cnnindonesia.com/internasional/20190718123638-106-413231/myanmar-protes-as-karena-beri-sanksi-panglima-militer ","sumber")</f>
        <v>sumber</v>
      </c>
      <c r="G181" s="18" t="s">
        <v>1</v>
      </c>
      <c r="H181" s="19"/>
      <c r="I181" s="19"/>
      <c r="J181" s="18">
        <v>4</v>
      </c>
      <c r="K181" s="19"/>
      <c r="L181" s="19"/>
      <c r="M181" s="19"/>
      <c r="N181" s="19"/>
      <c r="O181" s="19"/>
      <c r="P181" s="19"/>
      <c r="Q181" s="19"/>
      <c r="R181" s="19"/>
      <c r="S181" s="19"/>
      <c r="T181" s="19"/>
      <c r="U181" s="19"/>
      <c r="V181" s="19"/>
      <c r="W181" s="19"/>
      <c r="X181" s="19"/>
      <c r="Y181" s="19"/>
    </row>
    <row r="182" spans="1:25" ht="14.4">
      <c r="A182" s="10">
        <v>1</v>
      </c>
      <c r="B182" s="10" t="s">
        <v>398</v>
      </c>
      <c r="C182" s="11">
        <v>55</v>
      </c>
      <c r="D182" s="11">
        <v>2</v>
      </c>
      <c r="E182" s="11" t="s">
        <v>399</v>
      </c>
      <c r="F182" s="13" t="str">
        <f>HYPERLINK("https://www.cnnindonesia.com/nasional/20190723172746-12-414828/jokowi-resmikan-pencatatan-perkawinan-penghayat-kepercayaan ","sumber")</f>
        <v>sumber</v>
      </c>
      <c r="G182" s="11" t="s">
        <v>1</v>
      </c>
      <c r="H182" s="11">
        <v>564</v>
      </c>
      <c r="I182" s="11">
        <v>4</v>
      </c>
      <c r="J182" s="11">
        <v>4</v>
      </c>
      <c r="K182" s="11" t="s">
        <v>400</v>
      </c>
      <c r="L182" s="11">
        <v>0</v>
      </c>
      <c r="M182" s="11">
        <v>0</v>
      </c>
      <c r="N182" s="15">
        <v>0</v>
      </c>
      <c r="O182" s="11">
        <v>0</v>
      </c>
      <c r="P182" s="11">
        <v>0</v>
      </c>
      <c r="Q182" s="11">
        <v>0</v>
      </c>
      <c r="R182" s="11">
        <v>0</v>
      </c>
      <c r="S182" s="14"/>
      <c r="T182" s="11">
        <v>0</v>
      </c>
      <c r="U182" s="11">
        <v>0</v>
      </c>
      <c r="V182" s="11">
        <v>1</v>
      </c>
      <c r="W182" s="14"/>
      <c r="X182" s="14"/>
      <c r="Y182" s="14"/>
    </row>
    <row r="183" spans="1:25" ht="14.4">
      <c r="A183" s="17">
        <v>2</v>
      </c>
      <c r="B183" s="17" t="s">
        <v>401</v>
      </c>
      <c r="C183" s="18">
        <v>56</v>
      </c>
      <c r="D183" s="18">
        <v>6</v>
      </c>
      <c r="E183" s="19"/>
      <c r="F183" s="20" t="str">
        <f>HYPERLINK("https://regional.kompas.com/read/2019/07/23/07000021/kisah-pilu-tkw-turini-tak-digaji-21-tahun-hingga-dipenjara-dalam-rumah ","sumber")</f>
        <v>sumber</v>
      </c>
      <c r="G183" s="18" t="s">
        <v>1</v>
      </c>
      <c r="H183" s="19"/>
      <c r="I183" s="19"/>
      <c r="J183" s="18">
        <v>4</v>
      </c>
      <c r="K183" s="19"/>
      <c r="L183" s="19"/>
      <c r="M183" s="19"/>
      <c r="N183" s="19"/>
      <c r="O183" s="19"/>
      <c r="P183" s="19"/>
      <c r="Q183" s="19"/>
      <c r="R183" s="19"/>
      <c r="S183" s="19"/>
      <c r="T183" s="19"/>
      <c r="U183" s="19"/>
      <c r="V183" s="19"/>
      <c r="W183" s="19"/>
      <c r="X183" s="19"/>
      <c r="Y183" s="19"/>
    </row>
    <row r="184" spans="1:25" ht="14.4">
      <c r="A184" s="17">
        <v>2</v>
      </c>
      <c r="B184" s="17" t="s">
        <v>402</v>
      </c>
      <c r="C184" s="18">
        <v>57</v>
      </c>
      <c r="D184" s="18">
        <v>2</v>
      </c>
      <c r="E184" s="19"/>
      <c r="F184" s="20" t="str">
        <f>HYPERLINK("https://www.cnnindonesia.com/nasional/20190724104052-32-415001/dpr-tegaskan-harus-ada-batasan-akses-data-penduduk-ke-swasta ","sumber")</f>
        <v>sumber</v>
      </c>
      <c r="G184" s="18" t="s">
        <v>1</v>
      </c>
      <c r="H184" s="19"/>
      <c r="I184" s="19"/>
      <c r="J184" s="18">
        <v>4</v>
      </c>
      <c r="K184" s="19"/>
      <c r="L184" s="19"/>
      <c r="M184" s="19"/>
      <c r="N184" s="19"/>
      <c r="O184" s="19"/>
      <c r="P184" s="19"/>
      <c r="Q184" s="19"/>
      <c r="R184" s="19"/>
      <c r="S184" s="19"/>
      <c r="T184" s="19"/>
      <c r="U184" s="19"/>
      <c r="V184" s="19"/>
      <c r="W184" s="19"/>
      <c r="X184" s="19"/>
      <c r="Y184" s="19"/>
    </row>
    <row r="185" spans="1:25" ht="14.4">
      <c r="A185" s="17">
        <v>2</v>
      </c>
      <c r="B185" s="17" t="s">
        <v>403</v>
      </c>
      <c r="C185" s="18">
        <v>58</v>
      </c>
      <c r="D185" s="18">
        <v>7</v>
      </c>
      <c r="E185" s="19"/>
      <c r="F185" s="20" t="str">
        <f>HYPERLINK("https://www.tribunnews.com/australia-plus/2019/07/24/pembakar-masjid-syiah-di-melbourne-dipenjarakan-lebih-dari-16-tahun ","sumber")</f>
        <v>sumber</v>
      </c>
      <c r="G185" s="18" t="s">
        <v>1</v>
      </c>
      <c r="H185" s="19"/>
      <c r="I185" s="19"/>
      <c r="J185" s="18">
        <v>4</v>
      </c>
      <c r="K185" s="19"/>
      <c r="L185" s="19"/>
      <c r="M185" s="19"/>
      <c r="N185" s="19"/>
      <c r="O185" s="19"/>
      <c r="P185" s="19"/>
      <c r="Q185" s="19"/>
      <c r="R185" s="19"/>
      <c r="S185" s="19"/>
      <c r="T185" s="19"/>
      <c r="U185" s="19"/>
      <c r="V185" s="19"/>
      <c r="W185" s="19"/>
      <c r="X185" s="19"/>
      <c r="Y185" s="19"/>
    </row>
    <row r="186" spans="1:25" ht="14.4">
      <c r="A186" s="17">
        <v>2</v>
      </c>
      <c r="B186" s="17" t="s">
        <v>404</v>
      </c>
      <c r="C186" s="18">
        <v>59</v>
      </c>
      <c r="D186" s="18">
        <v>4</v>
      </c>
      <c r="E186" s="19"/>
      <c r="F186" s="20" t="str">
        <f>HYPERLINK("https://www.liputan6.com/global/read/4025835/5-orang-tewas-usai-motor-pembawa-bom-meledak-di-pakistan ","sumber")</f>
        <v>sumber</v>
      </c>
      <c r="G186" s="18" t="s">
        <v>1</v>
      </c>
      <c r="H186" s="19"/>
      <c r="I186" s="19"/>
      <c r="J186" s="18">
        <v>4</v>
      </c>
      <c r="K186" s="19"/>
      <c r="L186" s="19"/>
      <c r="M186" s="19"/>
      <c r="N186" s="19"/>
      <c r="O186" s="19"/>
      <c r="P186" s="19"/>
      <c r="Q186" s="19"/>
      <c r="R186" s="19"/>
      <c r="S186" s="19"/>
      <c r="T186" s="19"/>
      <c r="U186" s="19"/>
      <c r="V186" s="19"/>
      <c r="W186" s="19"/>
      <c r="X186" s="19"/>
      <c r="Y186" s="19"/>
    </row>
    <row r="187" spans="1:25" ht="14.4">
      <c r="A187" s="17">
        <v>2</v>
      </c>
      <c r="B187" s="17" t="s">
        <v>405</v>
      </c>
      <c r="C187" s="18">
        <v>60</v>
      </c>
      <c r="D187" s="18">
        <v>8</v>
      </c>
      <c r="E187" s="19"/>
      <c r="F187" s="20" t="str">
        <f>HYPERLINK("https://www.suara.com/news/2019/08/01/165528/politikus-pkb-ngaku-pernah-dipukuli-oknum-fpi-awit-mashuri-jangan-cengeng ","sumber")</f>
        <v>sumber</v>
      </c>
      <c r="G187" s="18" t="s">
        <v>1</v>
      </c>
      <c r="H187" s="19"/>
      <c r="I187" s="19"/>
      <c r="J187" s="18">
        <v>4</v>
      </c>
      <c r="K187" s="19"/>
      <c r="L187" s="19"/>
      <c r="M187" s="19"/>
      <c r="N187" s="19"/>
      <c r="O187" s="19"/>
      <c r="P187" s="19"/>
      <c r="Q187" s="19"/>
      <c r="R187" s="19"/>
      <c r="S187" s="19"/>
      <c r="T187" s="19"/>
      <c r="U187" s="19"/>
      <c r="V187" s="19"/>
      <c r="W187" s="19"/>
      <c r="X187" s="19"/>
      <c r="Y187" s="19"/>
    </row>
    <row r="188" spans="1:25" ht="14.4">
      <c r="A188" s="17">
        <v>2</v>
      </c>
      <c r="B188" s="17" t="s">
        <v>406</v>
      </c>
      <c r="C188" s="18">
        <v>61</v>
      </c>
      <c r="D188" s="18">
        <v>4</v>
      </c>
      <c r="E188" s="19"/>
      <c r="F188" s="20" t="str">
        <f>HYPERLINK("https://www.liputan6.com/global/read/4019232/nasib-pengungsi-terlunta-lunta-di-indonesia-ditolak-negeri-impian ","sumber")</f>
        <v>sumber</v>
      </c>
      <c r="G188" s="18" t="s">
        <v>1</v>
      </c>
      <c r="H188" s="19"/>
      <c r="I188" s="19"/>
      <c r="J188" s="18">
        <v>4</v>
      </c>
      <c r="K188" s="19"/>
      <c r="L188" s="19"/>
      <c r="M188" s="19"/>
      <c r="N188" s="19"/>
      <c r="O188" s="19"/>
      <c r="P188" s="19"/>
      <c r="Q188" s="19"/>
      <c r="R188" s="19"/>
      <c r="S188" s="19"/>
      <c r="T188" s="19"/>
      <c r="U188" s="19"/>
      <c r="V188" s="19"/>
      <c r="W188" s="19"/>
      <c r="X188" s="19"/>
      <c r="Y188" s="19"/>
    </row>
    <row r="189" spans="1:25" ht="39.6">
      <c r="A189" s="10">
        <v>1</v>
      </c>
      <c r="B189" s="10" t="s">
        <v>407</v>
      </c>
      <c r="C189" s="11">
        <v>62</v>
      </c>
      <c r="D189" s="11">
        <v>6</v>
      </c>
      <c r="E189" s="12">
        <v>43654</v>
      </c>
      <c r="F189" s="13" t="str">
        <f>HYPERLINK("https://regional.kompas.com/read/2019/08/07/22354881/sebanyak-160-ribu-warga-cantumkan-identitas-penghayat-kepercayaan-di-ktp ","sumber")</f>
        <v>sumber</v>
      </c>
      <c r="G189" s="11" t="s">
        <v>1</v>
      </c>
      <c r="H189" s="11">
        <v>398</v>
      </c>
      <c r="I189" s="11">
        <v>4</v>
      </c>
      <c r="J189" s="11">
        <v>4</v>
      </c>
      <c r="K189" s="11" t="s">
        <v>408</v>
      </c>
      <c r="L189" s="11">
        <v>0</v>
      </c>
      <c r="M189" s="11">
        <v>0</v>
      </c>
      <c r="N189" s="15">
        <v>0</v>
      </c>
      <c r="O189" s="11">
        <v>0</v>
      </c>
      <c r="P189" s="11">
        <v>0</v>
      </c>
      <c r="Q189" s="11" t="s">
        <v>87</v>
      </c>
      <c r="R189" s="11" t="s">
        <v>68</v>
      </c>
      <c r="S189" s="14"/>
      <c r="T189" s="11">
        <v>0</v>
      </c>
      <c r="U189" s="11">
        <v>0</v>
      </c>
      <c r="V189" s="11">
        <v>1</v>
      </c>
      <c r="W189" s="14"/>
      <c r="X189" s="14"/>
      <c r="Y189" s="14"/>
    </row>
    <row r="190" spans="1:25" ht="14.4">
      <c r="A190" s="17">
        <v>2</v>
      </c>
      <c r="B190" s="17" t="s">
        <v>409</v>
      </c>
      <c r="C190" s="18">
        <v>63</v>
      </c>
      <c r="D190" s="18">
        <v>5</v>
      </c>
      <c r="E190" s="19"/>
      <c r="F190" s="20" t="str">
        <f>HYPERLINK("https://tirto.id/berita-pindah-agama-cenderung-menyudutkan-penganut-agama-minoritas-efVZ ","sumber")</f>
        <v>sumber</v>
      </c>
      <c r="G190" s="18" t="s">
        <v>1</v>
      </c>
      <c r="H190" s="19"/>
      <c r="I190" s="19"/>
      <c r="J190" s="18">
        <v>4</v>
      </c>
      <c r="K190" s="19"/>
      <c r="L190" s="19"/>
      <c r="M190" s="19"/>
      <c r="N190" s="19"/>
      <c r="O190" s="19"/>
      <c r="P190" s="19"/>
      <c r="Q190" s="19"/>
      <c r="R190" s="19"/>
      <c r="S190" s="19"/>
      <c r="T190" s="19"/>
      <c r="U190" s="19"/>
      <c r="V190" s="19"/>
      <c r="W190" s="19"/>
      <c r="X190" s="19"/>
      <c r="Y190" s="19"/>
    </row>
    <row r="191" spans="1:25" ht="14.4">
      <c r="A191" s="17">
        <v>2</v>
      </c>
      <c r="B191" s="17" t="s">
        <v>410</v>
      </c>
      <c r="C191" s="18">
        <v>64</v>
      </c>
      <c r="D191" s="18">
        <v>10</v>
      </c>
      <c r="E191" s="19"/>
      <c r="F191" s="20" t="str">
        <f>HYPERLINK("https://tekno.tempo.co/read/1238089/daftar-peringkat-100-perguruan-tinggi-non-vokasi-2019 ","sumber")</f>
        <v>sumber</v>
      </c>
      <c r="G191" s="18" t="s">
        <v>1</v>
      </c>
      <c r="H191" s="19"/>
      <c r="I191" s="19"/>
      <c r="J191" s="18">
        <v>4</v>
      </c>
      <c r="K191" s="19"/>
      <c r="L191" s="19"/>
      <c r="M191" s="19"/>
      <c r="N191" s="19"/>
      <c r="O191" s="19"/>
      <c r="P191" s="19"/>
      <c r="Q191" s="19"/>
      <c r="R191" s="19"/>
      <c r="S191" s="19"/>
      <c r="T191" s="19"/>
      <c r="U191" s="19"/>
      <c r="V191" s="19"/>
      <c r="W191" s="19"/>
      <c r="X191" s="19"/>
      <c r="Y191" s="19"/>
    </row>
    <row r="192" spans="1:25" ht="39.6">
      <c r="A192" s="2">
        <v>1</v>
      </c>
      <c r="B192" s="2" t="s">
        <v>411</v>
      </c>
      <c r="C192" s="3">
        <v>65</v>
      </c>
      <c r="D192" s="3">
        <v>2</v>
      </c>
      <c r="E192" s="4">
        <v>43807</v>
      </c>
      <c r="F192" s="5" t="str">
        <f>HYPERLINK("https://www.cnnindonesia.com/nasional/20190812203902-20-420708/lintas-agama-semarang-ingin-mbah-moen-jadi-pahlawan-nasional","sumber")</f>
        <v>sumber</v>
      </c>
      <c r="G192" s="3" t="s">
        <v>1</v>
      </c>
      <c r="H192" s="3">
        <v>565</v>
      </c>
      <c r="I192" s="3">
        <v>2</v>
      </c>
      <c r="J192" s="3">
        <v>4</v>
      </c>
      <c r="K192" s="3" t="s">
        <v>412</v>
      </c>
      <c r="L192" s="3">
        <v>0</v>
      </c>
      <c r="M192" s="3">
        <v>0</v>
      </c>
      <c r="N192" s="16">
        <v>0</v>
      </c>
      <c r="O192" s="3">
        <v>0</v>
      </c>
      <c r="P192" s="3">
        <v>0</v>
      </c>
      <c r="Q192" s="3" t="s">
        <v>159</v>
      </c>
      <c r="R192" s="3" t="s">
        <v>160</v>
      </c>
      <c r="S192" s="7"/>
      <c r="T192" s="3">
        <v>0</v>
      </c>
      <c r="U192" s="3">
        <v>0</v>
      </c>
      <c r="V192" s="3">
        <v>0</v>
      </c>
      <c r="W192" s="7"/>
      <c r="X192" s="7"/>
      <c r="Y192" s="7"/>
    </row>
    <row r="193" spans="1:25" ht="14.4">
      <c r="A193" s="17">
        <v>2</v>
      </c>
      <c r="B193" s="17" t="s">
        <v>413</v>
      </c>
      <c r="C193" s="18">
        <v>66</v>
      </c>
      <c r="D193" s="18">
        <v>4</v>
      </c>
      <c r="E193" s="19"/>
      <c r="F193" s="20" t="str">
        <f>HYPERLINK("https://www.liputan6.com/news/read/4049497/aksi-seru-mahasiswa-bicara-masa-jabatan-presiden-dalam-debat-konstitusi-mpr ","sumber")</f>
        <v>sumber</v>
      </c>
      <c r="G193" s="18" t="s">
        <v>1</v>
      </c>
      <c r="H193" s="19"/>
      <c r="I193" s="19"/>
      <c r="J193" s="18">
        <v>4</v>
      </c>
      <c r="K193" s="19"/>
      <c r="L193" s="19"/>
      <c r="M193" s="19"/>
      <c r="N193" s="19"/>
      <c r="O193" s="19"/>
      <c r="P193" s="19"/>
      <c r="Q193" s="19"/>
      <c r="R193" s="19"/>
      <c r="S193" s="19"/>
      <c r="T193" s="19"/>
      <c r="U193" s="19"/>
      <c r="V193" s="19"/>
      <c r="W193" s="19"/>
      <c r="X193" s="19"/>
      <c r="Y193" s="19"/>
    </row>
    <row r="194" spans="1:25" ht="14.4">
      <c r="A194" s="17">
        <v>2</v>
      </c>
      <c r="B194" s="17" t="s">
        <v>414</v>
      </c>
      <c r="C194" s="18">
        <v>67</v>
      </c>
      <c r="D194" s="18">
        <v>9</v>
      </c>
      <c r="E194" s="19"/>
      <c r="F194" s="20" t="str">
        <f>HYPERLINK("https://nasional.republika.co.id/berita/px7bqv382/jk-pemerintah-akan-kurangi-pegawai-administrasi ","sumber")</f>
        <v>sumber</v>
      </c>
      <c r="G194" s="18" t="s">
        <v>1</v>
      </c>
      <c r="H194" s="19"/>
      <c r="I194" s="19"/>
      <c r="J194" s="18">
        <v>4</v>
      </c>
      <c r="K194" s="19"/>
      <c r="L194" s="19"/>
      <c r="M194" s="19"/>
      <c r="N194" s="19"/>
      <c r="O194" s="19"/>
      <c r="P194" s="19"/>
      <c r="Q194" s="19"/>
      <c r="R194" s="19"/>
      <c r="S194" s="19"/>
      <c r="T194" s="19"/>
      <c r="U194" s="19"/>
      <c r="V194" s="19"/>
      <c r="W194" s="19"/>
      <c r="X194" s="19"/>
      <c r="Y194" s="19"/>
    </row>
    <row r="195" spans="1:25" ht="14.4">
      <c r="A195" s="17">
        <v>2</v>
      </c>
      <c r="B195" s="17" t="s">
        <v>415</v>
      </c>
      <c r="C195" s="18">
        <v>68</v>
      </c>
      <c r="D195" s="18">
        <v>9</v>
      </c>
      <c r="E195" s="19"/>
      <c r="F195" s="20" t="str">
        <f>HYPERLINK("https://republika.co.id/berita/px8oix282/ltemgtquo-vadisltemgt-perang-yaman ","sumber")</f>
        <v>sumber</v>
      </c>
      <c r="G195" s="18" t="s">
        <v>1</v>
      </c>
      <c r="H195" s="19"/>
      <c r="I195" s="19"/>
      <c r="J195" s="18">
        <v>4</v>
      </c>
      <c r="K195" s="19"/>
      <c r="L195" s="19"/>
      <c r="M195" s="19"/>
      <c r="N195" s="19"/>
      <c r="O195" s="19"/>
      <c r="P195" s="19"/>
      <c r="Q195" s="19"/>
      <c r="R195" s="19"/>
      <c r="S195" s="19"/>
      <c r="T195" s="19"/>
      <c r="U195" s="19"/>
      <c r="V195" s="19"/>
      <c r="W195" s="19"/>
      <c r="X195" s="19"/>
      <c r="Y195" s="19"/>
    </row>
    <row r="196" spans="1:25" ht="14.4">
      <c r="A196" s="2">
        <v>1</v>
      </c>
      <c r="B196" s="2" t="s">
        <v>416</v>
      </c>
      <c r="C196" s="3">
        <v>69</v>
      </c>
      <c r="D196" s="3">
        <v>10</v>
      </c>
      <c r="E196" s="3" t="s">
        <v>417</v>
      </c>
      <c r="F196" s="5" t="str">
        <f>HYPERLINK("https://metro.tempo.co/read/1164503/siap-digunakan-jpo-senayan-jadi-incaran-netizen-berselfie","sumber")</f>
        <v>sumber</v>
      </c>
      <c r="G196" s="3" t="s">
        <v>1</v>
      </c>
      <c r="H196" s="3">
        <v>331</v>
      </c>
      <c r="I196" s="3">
        <v>3</v>
      </c>
      <c r="J196" s="3">
        <v>2</v>
      </c>
      <c r="K196" s="3" t="s">
        <v>418</v>
      </c>
      <c r="L196" s="3">
        <v>0</v>
      </c>
      <c r="M196" s="3">
        <v>0</v>
      </c>
      <c r="N196" s="16">
        <v>0</v>
      </c>
      <c r="O196" s="3">
        <v>0</v>
      </c>
      <c r="P196" s="3">
        <v>0</v>
      </c>
      <c r="Q196" s="3" t="s">
        <v>21</v>
      </c>
      <c r="R196" s="3" t="s">
        <v>419</v>
      </c>
      <c r="S196" s="7"/>
      <c r="T196" s="3">
        <v>0</v>
      </c>
      <c r="U196" s="3">
        <v>0</v>
      </c>
      <c r="V196" s="3">
        <v>0</v>
      </c>
      <c r="W196" s="7"/>
      <c r="X196" s="7"/>
      <c r="Y196" s="7"/>
    </row>
    <row r="197" spans="1:25" ht="14.4">
      <c r="A197" s="17">
        <v>2</v>
      </c>
      <c r="B197" s="17" t="s">
        <v>420</v>
      </c>
      <c r="C197" s="18">
        <v>70</v>
      </c>
      <c r="D197" s="18">
        <v>1</v>
      </c>
      <c r="E197" s="19"/>
      <c r="F197" s="20" t="str">
        <f>HYPERLINK("https://health.detik.com/berita-detikhealth/d-4374022/belum-capai-target-imunisasi-penularan-campak-rubella-masih-berisiko ","sumber")</f>
        <v>sumber</v>
      </c>
      <c r="G197" s="18" t="s">
        <v>1</v>
      </c>
      <c r="H197" s="19"/>
      <c r="I197" s="19"/>
      <c r="J197" s="18">
        <v>2</v>
      </c>
      <c r="K197" s="19"/>
      <c r="L197" s="19"/>
      <c r="M197" s="19"/>
      <c r="N197" s="19"/>
      <c r="O197" s="19"/>
      <c r="P197" s="19"/>
      <c r="Q197" s="19"/>
      <c r="R197" s="19"/>
      <c r="S197" s="19"/>
      <c r="T197" s="19"/>
      <c r="U197" s="19"/>
      <c r="V197" s="19"/>
      <c r="W197" s="19"/>
      <c r="X197" s="19"/>
      <c r="Y197" s="19"/>
    </row>
    <row r="198" spans="1:25" ht="14.4">
      <c r="A198" s="10">
        <v>1</v>
      </c>
      <c r="B198" s="10" t="s">
        <v>421</v>
      </c>
      <c r="C198" s="11">
        <v>71</v>
      </c>
      <c r="D198" s="11">
        <v>3</v>
      </c>
      <c r="E198" s="12">
        <v>43770</v>
      </c>
      <c r="F198" s="13" t="str">
        <f>HYPERLINK("https://lifestyle.okezone.com/read/2019/01/11/196/2003285/nyanyikan-langsung-untuk-ganjar-carisa-si-bocah-tunanetra-dapat-pujian","sumber")</f>
        <v>sumber</v>
      </c>
      <c r="G198" s="11" t="s">
        <v>1</v>
      </c>
      <c r="H198" s="11">
        <v>377</v>
      </c>
      <c r="I198" s="11">
        <v>2</v>
      </c>
      <c r="J198" s="11">
        <v>2</v>
      </c>
      <c r="K198" s="11" t="s">
        <v>422</v>
      </c>
      <c r="L198" s="11">
        <v>0</v>
      </c>
      <c r="M198" s="11">
        <v>0</v>
      </c>
      <c r="N198" s="15">
        <v>0</v>
      </c>
      <c r="O198" s="11">
        <v>0</v>
      </c>
      <c r="P198" s="11">
        <v>-1</v>
      </c>
      <c r="Q198" s="11" t="s">
        <v>87</v>
      </c>
      <c r="R198" s="11" t="s">
        <v>182</v>
      </c>
      <c r="S198" s="14"/>
      <c r="T198" s="11">
        <v>0</v>
      </c>
      <c r="U198" s="11">
        <v>0</v>
      </c>
      <c r="V198" s="11">
        <v>0</v>
      </c>
      <c r="W198" s="14"/>
      <c r="X198" s="14"/>
      <c r="Y198" s="14"/>
    </row>
    <row r="199" spans="1:25" ht="14.4">
      <c r="A199" s="17">
        <v>2</v>
      </c>
      <c r="B199" s="17" t="s">
        <v>423</v>
      </c>
      <c r="C199" s="18">
        <v>72</v>
      </c>
      <c r="D199" s="18">
        <v>5</v>
      </c>
      <c r="E199" s="19"/>
      <c r="F199" s="20" t="str">
        <f>HYPERLINK("https://tirto.id/jadwal-sholat-dzuhur-kab-balangan-desember-2018-hari-ini-ddZf ","sumber")</f>
        <v>sumber</v>
      </c>
      <c r="G199" s="18" t="s">
        <v>1</v>
      </c>
      <c r="H199" s="19"/>
      <c r="I199" s="19"/>
      <c r="J199" s="18">
        <v>2</v>
      </c>
      <c r="K199" s="19"/>
      <c r="L199" s="19"/>
      <c r="M199" s="19"/>
      <c r="N199" s="19"/>
      <c r="O199" s="19"/>
      <c r="P199" s="19"/>
      <c r="Q199" s="19"/>
      <c r="R199" s="19"/>
      <c r="S199" s="19"/>
      <c r="T199" s="19"/>
      <c r="U199" s="19"/>
      <c r="V199" s="19"/>
      <c r="W199" s="19"/>
      <c r="X199" s="19"/>
      <c r="Y199" s="19"/>
    </row>
    <row r="200" spans="1:25" ht="14.4">
      <c r="A200" s="10">
        <v>1</v>
      </c>
      <c r="B200" s="10" t="s">
        <v>424</v>
      </c>
      <c r="C200" s="11">
        <v>73</v>
      </c>
      <c r="D200" s="11">
        <v>8</v>
      </c>
      <c r="E200" s="11" t="s">
        <v>425</v>
      </c>
      <c r="F200" s="13" t="str">
        <f>HYPERLINK("https://www.suara.com/lifestyle/2019/01/16/142000/model-down-syndrome-ini-jadi-brand-ambassador-benefit-cosmetics ","sumber")</f>
        <v>sumber</v>
      </c>
      <c r="G200" s="11" t="s">
        <v>1</v>
      </c>
      <c r="H200" s="11">
        <v>214</v>
      </c>
      <c r="I200" s="11">
        <v>2</v>
      </c>
      <c r="J200" s="11">
        <v>2</v>
      </c>
      <c r="K200" s="11" t="s">
        <v>426</v>
      </c>
      <c r="L200" s="11">
        <v>0</v>
      </c>
      <c r="M200" s="11">
        <v>0</v>
      </c>
      <c r="N200" s="15">
        <v>0</v>
      </c>
      <c r="O200" s="11">
        <v>0</v>
      </c>
      <c r="P200" s="11">
        <v>0</v>
      </c>
      <c r="Q200" s="11" t="s">
        <v>178</v>
      </c>
      <c r="R200" s="11" t="s">
        <v>160</v>
      </c>
      <c r="S200" s="11" t="s">
        <v>427</v>
      </c>
      <c r="T200" s="11">
        <v>1</v>
      </c>
      <c r="U200" s="11">
        <v>0</v>
      </c>
      <c r="V200" s="11">
        <v>0</v>
      </c>
      <c r="W200" s="14"/>
      <c r="X200" s="14"/>
      <c r="Y200" s="14"/>
    </row>
    <row r="201" spans="1:25" ht="39.6">
      <c r="A201" s="2">
        <v>1</v>
      </c>
      <c r="B201" s="2" t="s">
        <v>428</v>
      </c>
      <c r="C201" s="3">
        <v>74</v>
      </c>
      <c r="D201" s="3">
        <v>2</v>
      </c>
      <c r="E201" s="4">
        <v>43770</v>
      </c>
      <c r="F201" s="5" t="str">
        <f>HYPERLINK("https://www.cnnindonesia.com/nasional/20190111125340-12-360141/diduga-gangguan-jiwa-oknum-tni-al-tusuk-tetangga-di-koja","sumber")</f>
        <v>sumber</v>
      </c>
      <c r="G201" s="3" t="s">
        <v>1</v>
      </c>
      <c r="H201" s="7"/>
      <c r="I201" s="3">
        <v>1</v>
      </c>
      <c r="J201" s="3">
        <v>2</v>
      </c>
      <c r="K201" s="3" t="s">
        <v>429</v>
      </c>
      <c r="L201" s="3">
        <v>0</v>
      </c>
      <c r="M201" s="3">
        <v>-1</v>
      </c>
      <c r="N201" s="16">
        <v>0</v>
      </c>
      <c r="O201" s="3">
        <v>0</v>
      </c>
      <c r="P201" s="3">
        <v>-1</v>
      </c>
      <c r="Q201" s="3" t="s">
        <v>29</v>
      </c>
      <c r="R201" s="3" t="s">
        <v>29</v>
      </c>
      <c r="S201" s="7"/>
      <c r="T201" s="3">
        <v>0</v>
      </c>
      <c r="U201" s="3">
        <v>0</v>
      </c>
      <c r="V201" s="3">
        <v>0</v>
      </c>
      <c r="W201" s="7"/>
      <c r="X201" s="7"/>
      <c r="Y201" s="7"/>
    </row>
    <row r="202" spans="1:25" ht="14.4">
      <c r="A202" s="17">
        <v>2</v>
      </c>
      <c r="B202" s="17" t="s">
        <v>430</v>
      </c>
      <c r="C202" s="18">
        <v>75</v>
      </c>
      <c r="D202" s="18">
        <v>3</v>
      </c>
      <c r="E202" s="19"/>
      <c r="F202" s="20" t="str">
        <f>HYPERLINK("https://news.okezone.com/read/2019/01/20/525/2006849/viral-warga-indramayu-nyemplung-ke-selokan-gara-gara-ada-orang-kaya-buang-duit-emas ","sumber")</f>
        <v>sumber</v>
      </c>
      <c r="G202" s="18" t="s">
        <v>1</v>
      </c>
      <c r="H202" s="19"/>
      <c r="I202" s="19"/>
      <c r="J202" s="18">
        <v>2</v>
      </c>
      <c r="K202" s="19"/>
      <c r="L202" s="19"/>
      <c r="M202" s="19"/>
      <c r="N202" s="19"/>
      <c r="O202" s="19"/>
      <c r="P202" s="19"/>
      <c r="Q202" s="19"/>
      <c r="R202" s="19"/>
      <c r="S202" s="19"/>
      <c r="T202" s="19"/>
      <c r="U202" s="19"/>
      <c r="V202" s="19"/>
      <c r="W202" s="19"/>
      <c r="X202" s="19"/>
      <c r="Y202" s="19"/>
    </row>
    <row r="203" spans="1:25" ht="14.4">
      <c r="A203" s="17">
        <v>2</v>
      </c>
      <c r="B203" s="17" t="s">
        <v>431</v>
      </c>
      <c r="C203" s="18">
        <v>76</v>
      </c>
      <c r="D203" s="18">
        <v>5</v>
      </c>
      <c r="E203" s="19"/>
      <c r="F203" s="20" t="str">
        <f>HYPERLINK("https://tirto.id/sejarah-keji-westerling-membantai-rakyat-suppa-dan-rajanya-deU1 ","sumber")</f>
        <v>sumber</v>
      </c>
      <c r="G203" s="18" t="s">
        <v>1</v>
      </c>
      <c r="H203" s="19"/>
      <c r="I203" s="19"/>
      <c r="J203" s="18">
        <v>2</v>
      </c>
      <c r="K203" s="19"/>
      <c r="L203" s="19"/>
      <c r="M203" s="19"/>
      <c r="N203" s="19"/>
      <c r="O203" s="19"/>
      <c r="P203" s="19"/>
      <c r="Q203" s="19"/>
      <c r="R203" s="19"/>
      <c r="S203" s="19"/>
      <c r="T203" s="19"/>
      <c r="U203" s="19"/>
      <c r="V203" s="19"/>
      <c r="W203" s="19"/>
      <c r="X203" s="19"/>
      <c r="Y203" s="19"/>
    </row>
    <row r="204" spans="1:25" ht="14.4">
      <c r="A204" s="17">
        <v>2</v>
      </c>
      <c r="B204" s="17" t="s">
        <v>432</v>
      </c>
      <c r="C204" s="18">
        <v>77</v>
      </c>
      <c r="D204" s="18">
        <v>4</v>
      </c>
      <c r="E204" s="19"/>
      <c r="F204" s="20" t="str">
        <f>HYPERLINK("https://www.liputan6.com/citizen6/read/3879848/lagu-berlirik-kuwa-kuwi-ini-bisa-bikin-kamu-tertawa-lepas ","sumber")</f>
        <v>sumber</v>
      </c>
      <c r="G204" s="18" t="s">
        <v>1</v>
      </c>
      <c r="H204" s="19"/>
      <c r="I204" s="19"/>
      <c r="J204" s="18">
        <v>2</v>
      </c>
      <c r="K204" s="19"/>
      <c r="L204" s="19"/>
      <c r="M204" s="19"/>
      <c r="N204" s="19"/>
      <c r="O204" s="19"/>
      <c r="P204" s="19"/>
      <c r="Q204" s="19"/>
      <c r="R204" s="19"/>
      <c r="S204" s="19"/>
      <c r="T204" s="19"/>
      <c r="U204" s="19"/>
      <c r="V204" s="19"/>
      <c r="W204" s="19"/>
      <c r="X204" s="19"/>
      <c r="Y204" s="19"/>
    </row>
    <row r="205" spans="1:25" ht="14.4">
      <c r="A205" s="10">
        <v>1</v>
      </c>
      <c r="B205" s="10" t="s">
        <v>433</v>
      </c>
      <c r="C205" s="11">
        <v>78</v>
      </c>
      <c r="D205" s="11">
        <v>4</v>
      </c>
      <c r="E205" s="11" t="s">
        <v>434</v>
      </c>
      <c r="F205" s="13" t="str">
        <f>HYPERLINK("https://www.liputan6.com/citizen6/read/3883182/kisah-cinta-mengharukan-pria-difabel-sang-kekasih-sering-dikira-suster-pribadi ","sumber")</f>
        <v>sumber</v>
      </c>
      <c r="G205" s="11" t="s">
        <v>1</v>
      </c>
      <c r="H205" s="14"/>
      <c r="I205" s="11">
        <v>2</v>
      </c>
      <c r="J205" s="11">
        <v>2</v>
      </c>
      <c r="K205" s="11" t="s">
        <v>435</v>
      </c>
      <c r="L205" s="11">
        <v>0</v>
      </c>
      <c r="M205" s="11">
        <v>0</v>
      </c>
      <c r="N205" s="15">
        <v>0</v>
      </c>
      <c r="O205" s="11">
        <v>0</v>
      </c>
      <c r="P205" s="11">
        <v>0</v>
      </c>
      <c r="Q205" s="11" t="s">
        <v>48</v>
      </c>
      <c r="R205" s="11" t="s">
        <v>360</v>
      </c>
      <c r="S205" s="14"/>
      <c r="T205" s="11">
        <v>0</v>
      </c>
      <c r="U205" s="11">
        <v>0</v>
      </c>
      <c r="V205" s="11">
        <v>0</v>
      </c>
      <c r="W205" s="14"/>
      <c r="X205" s="14"/>
      <c r="Y205" s="14"/>
    </row>
    <row r="206" spans="1:25" ht="26.4">
      <c r="A206" s="2">
        <v>1</v>
      </c>
      <c r="B206" s="2" t="s">
        <v>436</v>
      </c>
      <c r="C206" s="3">
        <v>79</v>
      </c>
      <c r="D206" s="3">
        <v>2</v>
      </c>
      <c r="E206" s="3" t="s">
        <v>437</v>
      </c>
      <c r="F206" s="5" t="str">
        <f>HYPERLINK("https://www.cnnindonesia.com/gaya-hidup/20190224112311-269-372163/menguji-fasilitas-kursi-roda-di-jakarta","sumber")</f>
        <v>sumber</v>
      </c>
      <c r="G206" s="3" t="s">
        <v>1</v>
      </c>
      <c r="H206" s="7"/>
      <c r="I206" s="3">
        <v>2</v>
      </c>
      <c r="J206" s="3">
        <v>2</v>
      </c>
      <c r="K206" s="3" t="s">
        <v>438</v>
      </c>
      <c r="L206" s="3">
        <v>0</v>
      </c>
      <c r="M206" s="3">
        <v>0</v>
      </c>
      <c r="N206" s="16">
        <v>0</v>
      </c>
      <c r="O206" s="3">
        <v>0</v>
      </c>
      <c r="P206" s="3">
        <v>0</v>
      </c>
      <c r="Q206" s="3" t="s">
        <v>29</v>
      </c>
      <c r="R206" s="3" t="s">
        <v>68</v>
      </c>
      <c r="S206" s="7"/>
      <c r="T206" s="3">
        <v>0</v>
      </c>
      <c r="U206" s="3">
        <v>0</v>
      </c>
      <c r="V206" s="3">
        <v>0</v>
      </c>
      <c r="W206" s="7"/>
      <c r="X206" s="7"/>
      <c r="Y206" s="7"/>
    </row>
    <row r="207" spans="1:25" ht="26.4">
      <c r="A207" s="3">
        <v>1</v>
      </c>
      <c r="B207" s="3" t="s">
        <v>439</v>
      </c>
      <c r="C207" s="3">
        <v>80</v>
      </c>
      <c r="D207" s="3">
        <v>4</v>
      </c>
      <c r="E207" s="4">
        <v>43771</v>
      </c>
      <c r="F207" s="5" t="str">
        <f>HYPERLINK("https://www.liputan6.com/citizen6/read/3889513/alih-alih-sembuh-bayi-malang-buta-permanen-setelah-operasi","sumber")</f>
        <v>sumber</v>
      </c>
      <c r="G207" s="3" t="s">
        <v>1</v>
      </c>
      <c r="H207" s="3">
        <v>221</v>
      </c>
      <c r="I207" s="3">
        <v>1</v>
      </c>
      <c r="J207" s="3">
        <v>2</v>
      </c>
      <c r="K207" s="3" t="s">
        <v>440</v>
      </c>
      <c r="L207" s="3">
        <v>0</v>
      </c>
      <c r="M207" s="3">
        <v>1</v>
      </c>
      <c r="N207" s="16">
        <v>0</v>
      </c>
      <c r="O207" s="3">
        <v>0</v>
      </c>
      <c r="P207" s="3">
        <v>0</v>
      </c>
      <c r="Q207" s="3">
        <v>0</v>
      </c>
      <c r="R207" s="3">
        <v>-1</v>
      </c>
      <c r="S207" s="3" t="s">
        <v>441</v>
      </c>
      <c r="T207" s="3">
        <v>3</v>
      </c>
      <c r="U207" s="3">
        <v>0</v>
      </c>
      <c r="V207" s="3">
        <v>0</v>
      </c>
      <c r="W207" s="7"/>
      <c r="X207" s="7"/>
      <c r="Y207" s="7"/>
    </row>
    <row r="208" spans="1:25" ht="14.4">
      <c r="A208" s="17">
        <v>2</v>
      </c>
      <c r="B208" s="17" t="s">
        <v>442</v>
      </c>
      <c r="C208" s="18">
        <v>81</v>
      </c>
      <c r="D208" s="34">
        <v>6</v>
      </c>
      <c r="E208" s="31">
        <v>43587</v>
      </c>
      <c r="F208" s="20" t="str">
        <f>HYPERLINK("https://internasional.kompas.com/read/2019/02/05/18352221/rusia-uji-coba-senjata-yang-bisa-bikin-halusinasi-dan-muntah ","sumber")</f>
        <v>sumber</v>
      </c>
      <c r="G208" s="18" t="s">
        <v>1</v>
      </c>
      <c r="H208" s="19"/>
      <c r="I208" s="19"/>
      <c r="J208" s="18">
        <v>2</v>
      </c>
      <c r="K208" s="19"/>
      <c r="L208" s="19"/>
      <c r="M208" s="19"/>
      <c r="N208" s="19"/>
      <c r="O208" s="19"/>
      <c r="P208" s="19"/>
      <c r="Q208" s="19"/>
      <c r="R208" s="19"/>
      <c r="S208" s="19"/>
      <c r="T208" s="19"/>
      <c r="U208" s="19"/>
      <c r="V208" s="19"/>
      <c r="W208" s="19"/>
      <c r="X208" s="19"/>
      <c r="Y208" s="19"/>
    </row>
    <row r="209" spans="1:25" ht="14.4">
      <c r="A209" s="2">
        <v>1</v>
      </c>
      <c r="B209" s="2" t="s">
        <v>443</v>
      </c>
      <c r="C209" s="3">
        <v>82</v>
      </c>
      <c r="D209" s="3">
        <v>10</v>
      </c>
      <c r="E209" s="3" t="s">
        <v>444</v>
      </c>
      <c r="F209" s="5" t="str">
        <f>HYPERLINK("https://nasional.tempo.co/read/1177300/ganjar-pranowo-duga-pelaku-teror-terima-pesan-dari-seseorang/full&amp;view=ok","sumber")</f>
        <v>sumber</v>
      </c>
      <c r="G209" s="3" t="s">
        <v>1</v>
      </c>
      <c r="H209" s="3">
        <v>272</v>
      </c>
      <c r="I209" s="3">
        <v>1</v>
      </c>
      <c r="J209" s="3">
        <v>2</v>
      </c>
      <c r="K209" s="3" t="s">
        <v>445</v>
      </c>
      <c r="L209" s="3">
        <v>0</v>
      </c>
      <c r="M209" s="3">
        <v>0</v>
      </c>
      <c r="N209" s="16">
        <v>0</v>
      </c>
      <c r="O209" s="3">
        <v>0</v>
      </c>
      <c r="P209" s="3">
        <v>0</v>
      </c>
      <c r="Q209" s="3">
        <v>0</v>
      </c>
      <c r="R209" s="3">
        <v>-1</v>
      </c>
      <c r="S209" s="3" t="s">
        <v>446</v>
      </c>
      <c r="T209" s="3">
        <v>1</v>
      </c>
      <c r="U209" s="3">
        <v>0</v>
      </c>
      <c r="V209" s="3">
        <v>0</v>
      </c>
      <c r="W209" s="7"/>
      <c r="X209" s="7"/>
      <c r="Y209" s="7"/>
    </row>
    <row r="210" spans="1:25" ht="14.4">
      <c r="A210" s="17">
        <v>2</v>
      </c>
      <c r="B210" s="17" t="s">
        <v>447</v>
      </c>
      <c r="C210" s="18">
        <v>83</v>
      </c>
      <c r="D210" s="18">
        <v>5</v>
      </c>
      <c r="E210" s="31">
        <v>43771</v>
      </c>
      <c r="F210" s="20" t="str">
        <f>HYPERLINK("https://tirto.id/grammy-2019-kacey-musgraves-bawa-pulang-empat-trofi-dgDF ","sumber")</f>
        <v>sumber</v>
      </c>
      <c r="G210" s="18" t="s">
        <v>1</v>
      </c>
      <c r="H210" s="19"/>
      <c r="I210" s="19"/>
      <c r="J210" s="18">
        <v>2</v>
      </c>
      <c r="K210" s="19"/>
      <c r="L210" s="19"/>
      <c r="M210" s="19"/>
      <c r="N210" s="19"/>
      <c r="O210" s="19"/>
      <c r="P210" s="19"/>
      <c r="Q210" s="19"/>
      <c r="R210" s="19"/>
      <c r="S210" s="19"/>
      <c r="T210" s="19"/>
      <c r="U210" s="19"/>
      <c r="V210" s="19"/>
      <c r="W210" s="19"/>
      <c r="X210" s="19"/>
      <c r="Y210" s="19"/>
    </row>
    <row r="211" spans="1:25" ht="39.6">
      <c r="A211" s="10">
        <v>1</v>
      </c>
      <c r="B211" s="10" t="s">
        <v>448</v>
      </c>
      <c r="C211" s="11">
        <v>84</v>
      </c>
      <c r="D211" s="11">
        <v>4</v>
      </c>
      <c r="E211" s="11" t="s">
        <v>76</v>
      </c>
      <c r="F211" s="13" t="str">
        <f>HYPERLINK("https://www.liputan6.com/regional/read/3893905/balada-lanjar-13-tahun-bersama-hydrocephalus ","sumber")</f>
        <v>sumber</v>
      </c>
      <c r="G211" s="11" t="s">
        <v>1</v>
      </c>
      <c r="H211" s="11">
        <v>567</v>
      </c>
      <c r="I211" s="11">
        <v>2</v>
      </c>
      <c r="J211" s="11">
        <v>2</v>
      </c>
      <c r="K211" s="11" t="s">
        <v>449</v>
      </c>
      <c r="L211" s="11">
        <v>0</v>
      </c>
      <c r="M211" s="11">
        <v>0</v>
      </c>
      <c r="N211" s="15">
        <v>0</v>
      </c>
      <c r="O211" s="11">
        <v>0</v>
      </c>
      <c r="P211" s="11">
        <v>0</v>
      </c>
      <c r="Q211" s="11" t="s">
        <v>29</v>
      </c>
      <c r="R211" s="11" t="s">
        <v>160</v>
      </c>
      <c r="S211" s="14"/>
      <c r="T211" s="11">
        <v>0</v>
      </c>
      <c r="U211" s="11">
        <v>0</v>
      </c>
      <c r="V211" s="11">
        <v>0</v>
      </c>
      <c r="W211" s="14"/>
      <c r="X211" s="14"/>
      <c r="Y211" s="14"/>
    </row>
    <row r="212" spans="1:25" ht="14.4">
      <c r="A212" s="2">
        <v>1</v>
      </c>
      <c r="B212" s="2" t="s">
        <v>450</v>
      </c>
      <c r="C212" s="3">
        <v>85</v>
      </c>
      <c r="D212" s="3">
        <v>7</v>
      </c>
      <c r="E212" s="3" t="s">
        <v>437</v>
      </c>
      <c r="F212" s="5" t="str">
        <f>HYPERLINK("https://www.tribunnews.com/regional/2019/02/24/gadis-difabel-ini-ternyata-pernah-dirudapaksa-ayah-bersama-kakak-adik-kandungnya-secara-bergiliran","sumber")</f>
        <v>sumber</v>
      </c>
      <c r="G212" s="3" t="s">
        <v>1</v>
      </c>
      <c r="H212" s="3">
        <v>132</v>
      </c>
      <c r="I212" s="3">
        <v>1</v>
      </c>
      <c r="J212" s="3">
        <v>2</v>
      </c>
      <c r="K212" s="3" t="s">
        <v>451</v>
      </c>
      <c r="L212" s="3">
        <v>0</v>
      </c>
      <c r="M212" s="3">
        <v>0</v>
      </c>
      <c r="N212" s="16">
        <v>0</v>
      </c>
      <c r="O212" s="3">
        <v>1</v>
      </c>
      <c r="P212" s="3">
        <v>-1</v>
      </c>
      <c r="Q212" s="3">
        <v>0</v>
      </c>
      <c r="R212" s="3">
        <v>0</v>
      </c>
      <c r="S212" s="3" t="s">
        <v>452</v>
      </c>
      <c r="T212" s="3">
        <v>1</v>
      </c>
      <c r="U212" s="3">
        <v>0</v>
      </c>
      <c r="V212" s="3">
        <v>0</v>
      </c>
      <c r="W212" s="7"/>
      <c r="X212" s="7"/>
      <c r="Y212" s="7"/>
    </row>
    <row r="213" spans="1:25" ht="26.4">
      <c r="A213" s="10">
        <v>1</v>
      </c>
      <c r="B213" s="10" t="s">
        <v>453</v>
      </c>
      <c r="C213" s="11">
        <v>86</v>
      </c>
      <c r="D213" s="11">
        <v>4</v>
      </c>
      <c r="E213" s="11" t="s">
        <v>444</v>
      </c>
      <c r="F213" s="13" t="str">
        <f>HYPERLINK("https://www.liputan6.com/citizen6/read/3898952/puisi-karya-anak-autis-ini-viral-isinya-bikin-sesenggukan ","sumber")</f>
        <v>sumber</v>
      </c>
      <c r="G213" s="11" t="s">
        <v>1</v>
      </c>
      <c r="H213" s="11">
        <v>551</v>
      </c>
      <c r="I213" s="11">
        <v>2</v>
      </c>
      <c r="J213" s="11">
        <v>2</v>
      </c>
      <c r="K213" s="11" t="s">
        <v>454</v>
      </c>
      <c r="L213" s="11">
        <v>0</v>
      </c>
      <c r="M213" s="11">
        <v>0</v>
      </c>
      <c r="N213" s="15">
        <v>0</v>
      </c>
      <c r="O213" s="11">
        <v>0</v>
      </c>
      <c r="P213" s="11">
        <v>0</v>
      </c>
      <c r="Q213" s="11">
        <v>1</v>
      </c>
      <c r="R213" s="11">
        <v>1</v>
      </c>
      <c r="S213" s="11" t="s">
        <v>455</v>
      </c>
      <c r="T213" s="11">
        <v>3</v>
      </c>
      <c r="U213" s="11">
        <v>0</v>
      </c>
      <c r="V213" s="11">
        <v>0</v>
      </c>
      <c r="W213" s="14"/>
      <c r="X213" s="14"/>
      <c r="Y213" s="14"/>
    </row>
    <row r="214" spans="1:25" ht="52.8">
      <c r="A214" s="2">
        <v>1</v>
      </c>
      <c r="B214" s="2" t="s">
        <v>456</v>
      </c>
      <c r="C214" s="3">
        <v>87</v>
      </c>
      <c r="D214" s="3">
        <v>1</v>
      </c>
      <c r="E214" s="3" t="s">
        <v>457</v>
      </c>
      <c r="F214" s="5" t="str">
        <f>HYPERLINK("https://news.detik.com/berita-jawa-timur/d-4436177/kala-mantan-penderita-gangguan-mental-reuni","sumber")</f>
        <v>sumber</v>
      </c>
      <c r="G214" s="3" t="s">
        <v>1</v>
      </c>
      <c r="H214" s="3">
        <v>279</v>
      </c>
      <c r="I214" s="3">
        <v>2</v>
      </c>
      <c r="J214" s="3">
        <v>2</v>
      </c>
      <c r="K214" s="3" t="s">
        <v>458</v>
      </c>
      <c r="L214" s="3">
        <v>0</v>
      </c>
      <c r="M214" s="3">
        <v>0</v>
      </c>
      <c r="N214" s="16">
        <v>0</v>
      </c>
      <c r="O214" s="3">
        <v>0</v>
      </c>
      <c r="P214" s="3">
        <v>0</v>
      </c>
      <c r="Q214" s="3" t="s">
        <v>87</v>
      </c>
      <c r="R214" s="3" t="s">
        <v>29</v>
      </c>
      <c r="S214" s="3" t="s">
        <v>459</v>
      </c>
      <c r="T214" s="3">
        <v>5</v>
      </c>
      <c r="U214" s="3">
        <v>0</v>
      </c>
      <c r="V214" s="3">
        <v>0</v>
      </c>
      <c r="W214" s="7"/>
      <c r="X214" s="7"/>
      <c r="Y214" s="7"/>
    </row>
    <row r="215" spans="1:25" ht="14.4">
      <c r="A215" s="17">
        <v>2</v>
      </c>
      <c r="B215" s="17" t="s">
        <v>460</v>
      </c>
      <c r="C215" s="18">
        <v>88</v>
      </c>
      <c r="D215" s="18">
        <v>5</v>
      </c>
      <c r="E215" s="18" t="s">
        <v>457</v>
      </c>
      <c r="F215" s="20" t="str">
        <f>HYPERLINK("https://tirto.id/pan-akan-berikan-bantuan-hukum-ketum-pa-212-slamet-maarif-dhpH ","sumber")</f>
        <v>sumber</v>
      </c>
      <c r="G215" s="18" t="s">
        <v>1</v>
      </c>
      <c r="H215" s="19"/>
      <c r="I215" s="19"/>
      <c r="J215" s="18">
        <v>2</v>
      </c>
      <c r="K215" s="19"/>
      <c r="L215" s="19"/>
      <c r="M215" s="19"/>
      <c r="N215" s="19"/>
      <c r="O215" s="19"/>
      <c r="P215" s="19"/>
      <c r="Q215" s="19"/>
      <c r="R215" s="19"/>
      <c r="S215" s="19"/>
      <c r="T215" s="19"/>
      <c r="U215" s="19"/>
      <c r="V215" s="19"/>
      <c r="W215" s="19"/>
      <c r="X215" s="19"/>
      <c r="Y215" s="19"/>
    </row>
    <row r="216" spans="1:25" ht="52.8">
      <c r="A216" s="2">
        <v>1</v>
      </c>
      <c r="B216" s="2" t="s">
        <v>461</v>
      </c>
      <c r="C216" s="3">
        <v>89</v>
      </c>
      <c r="D216" s="3">
        <v>6</v>
      </c>
      <c r="E216" s="4">
        <v>43679</v>
      </c>
      <c r="F216" s="5" t="str">
        <f>HYPERLINK("https://megapolitan.kompas.com/read/2019/02/08/20393731/dki-akan-buat-trotoar-di-gatot-subroto-ramah-penyandang-disabilitas","sumber")</f>
        <v>sumber</v>
      </c>
      <c r="G216" s="3" t="s">
        <v>1</v>
      </c>
      <c r="H216" s="3">
        <v>197</v>
      </c>
      <c r="I216" s="3">
        <v>4</v>
      </c>
      <c r="J216" s="3">
        <v>2</v>
      </c>
      <c r="K216" s="3" t="s">
        <v>462</v>
      </c>
      <c r="L216" s="3">
        <v>0</v>
      </c>
      <c r="M216" s="3">
        <v>0</v>
      </c>
      <c r="N216" s="16">
        <v>0</v>
      </c>
      <c r="O216" s="3">
        <v>0</v>
      </c>
      <c r="P216" s="3">
        <v>0</v>
      </c>
      <c r="Q216" s="3" t="s">
        <v>87</v>
      </c>
      <c r="R216" s="3" t="s">
        <v>182</v>
      </c>
      <c r="S216" s="7"/>
      <c r="T216" s="3">
        <v>0</v>
      </c>
      <c r="U216" s="3">
        <v>0</v>
      </c>
      <c r="V216" s="3">
        <v>1</v>
      </c>
      <c r="W216" s="7"/>
      <c r="X216" s="7"/>
      <c r="Y216" s="7"/>
    </row>
    <row r="217" spans="1:25" ht="39.6">
      <c r="A217" s="2">
        <v>1</v>
      </c>
      <c r="B217" s="2" t="s">
        <v>463</v>
      </c>
      <c r="C217" s="3">
        <v>90</v>
      </c>
      <c r="D217" s="3">
        <v>8</v>
      </c>
      <c r="E217" s="3" t="s">
        <v>464</v>
      </c>
      <c r="F217" s="5" t="str">
        <f>HYPERLINK("https://www.suara.com/news/2019/02/25/161429/selain-perkosa-kakak-yang-difabel-sang-adik-pernah-cabuli-kambing-tetangga","sumber")</f>
        <v>sumber</v>
      </c>
      <c r="G217" s="3" t="s">
        <v>1</v>
      </c>
      <c r="H217" s="3">
        <v>337</v>
      </c>
      <c r="I217" s="3">
        <v>1</v>
      </c>
      <c r="J217" s="3">
        <v>2</v>
      </c>
      <c r="K217" s="3" t="s">
        <v>465</v>
      </c>
      <c r="L217" s="3">
        <v>0</v>
      </c>
      <c r="M217" s="3">
        <v>-1</v>
      </c>
      <c r="N217" s="16">
        <v>0</v>
      </c>
      <c r="O217" s="3">
        <v>1</v>
      </c>
      <c r="P217" s="3">
        <v>0</v>
      </c>
      <c r="Q217" s="3" t="s">
        <v>29</v>
      </c>
      <c r="R217" s="3" t="s">
        <v>29</v>
      </c>
      <c r="S217" s="7"/>
      <c r="T217" s="3">
        <v>0</v>
      </c>
      <c r="U217" s="3">
        <v>0</v>
      </c>
      <c r="V217" s="3">
        <v>0</v>
      </c>
      <c r="W217" s="7"/>
      <c r="X217" s="7"/>
      <c r="Y217" s="7"/>
    </row>
    <row r="218" spans="1:25" ht="14.4">
      <c r="A218" s="10">
        <v>1</v>
      </c>
      <c r="B218" s="10" t="s">
        <v>466</v>
      </c>
      <c r="C218" s="11">
        <v>91</v>
      </c>
      <c r="D218" s="11">
        <v>8</v>
      </c>
      <c r="E218" s="11" t="s">
        <v>325</v>
      </c>
      <c r="F218" s="13" t="str">
        <f>HYPERLINK("https://www.suara.com/news/2019/02/26/140438/edian-bunuh-ibunya-saat-nyuci-pakaian-batang-leher-dipukuli-pakai-balok ","sumber")</f>
        <v>sumber</v>
      </c>
      <c r="G218" s="11" t="s">
        <v>1</v>
      </c>
      <c r="H218" s="14"/>
      <c r="I218" s="11">
        <v>1</v>
      </c>
      <c r="J218" s="11">
        <v>2</v>
      </c>
      <c r="K218" s="11" t="s">
        <v>467</v>
      </c>
      <c r="L218" s="11">
        <v>0</v>
      </c>
      <c r="M218" s="11">
        <v>0</v>
      </c>
      <c r="N218" s="15">
        <v>0</v>
      </c>
      <c r="O218" s="11">
        <v>0</v>
      </c>
      <c r="P218" s="11">
        <v>0</v>
      </c>
      <c r="Q218" s="11">
        <v>0</v>
      </c>
      <c r="R218" s="11">
        <v>0</v>
      </c>
      <c r="S218" s="11" t="s">
        <v>468</v>
      </c>
      <c r="T218" s="11">
        <v>1</v>
      </c>
      <c r="U218" s="11">
        <v>0</v>
      </c>
      <c r="V218" s="11">
        <v>0</v>
      </c>
      <c r="W218" s="14"/>
      <c r="X218" s="14"/>
      <c r="Y218" s="14"/>
    </row>
    <row r="219" spans="1:25" ht="14.4">
      <c r="A219" s="10">
        <v>1</v>
      </c>
      <c r="B219" s="10" t="s">
        <v>469</v>
      </c>
      <c r="C219" s="11">
        <v>92</v>
      </c>
      <c r="D219" s="11">
        <v>2</v>
      </c>
      <c r="E219" s="11" t="s">
        <v>328</v>
      </c>
      <c r="F219" s="13" t="str">
        <f>HYPERLINK("https://www.cnnindonesia.com/nasional/20190227034736-12-372939/pria-bunuh-ibu-kandung-setelah-pulang-dari-rumah-sakit-jiwa ","sumber")</f>
        <v>sumber</v>
      </c>
      <c r="G219" s="11" t="s">
        <v>1</v>
      </c>
      <c r="H219" s="11">
        <v>320</v>
      </c>
      <c r="I219" s="11">
        <v>1</v>
      </c>
      <c r="J219" s="11">
        <v>2</v>
      </c>
      <c r="K219" s="11" t="s">
        <v>470</v>
      </c>
      <c r="L219" s="11">
        <v>0</v>
      </c>
      <c r="M219" s="11">
        <v>-1</v>
      </c>
      <c r="N219" s="11">
        <v>-1</v>
      </c>
      <c r="O219" s="11">
        <v>0</v>
      </c>
      <c r="P219" s="11">
        <v>0</v>
      </c>
      <c r="Q219" s="11">
        <v>0</v>
      </c>
      <c r="R219" s="11">
        <v>0</v>
      </c>
      <c r="S219" s="11" t="s">
        <v>468</v>
      </c>
      <c r="T219" s="11">
        <v>1</v>
      </c>
      <c r="U219" s="11">
        <v>0</v>
      </c>
      <c r="V219" s="11">
        <v>0</v>
      </c>
      <c r="W219" s="14"/>
      <c r="X219" s="14"/>
      <c r="Y219" s="14"/>
    </row>
    <row r="220" spans="1:25" ht="14.4">
      <c r="A220" s="2">
        <v>1</v>
      </c>
      <c r="B220" s="2" t="s">
        <v>471</v>
      </c>
      <c r="C220" s="3">
        <v>93</v>
      </c>
      <c r="D220" s="3">
        <v>6</v>
      </c>
      <c r="E220" s="3" t="s">
        <v>91</v>
      </c>
      <c r="F220" s="5" t="str">
        <f>HYPERLINK("https://megapolitan.kompas.com/read/2019/03/15/12121511/status-hukum-pelaku-penusukan-di-halte-transjakarta-tunggu-hasil","sumber")</f>
        <v>sumber</v>
      </c>
      <c r="G220" s="3" t="s">
        <v>1</v>
      </c>
      <c r="H220" s="3">
        <v>236</v>
      </c>
      <c r="I220" s="3">
        <v>1</v>
      </c>
      <c r="J220" s="3">
        <v>2</v>
      </c>
      <c r="K220" s="3" t="s">
        <v>472</v>
      </c>
      <c r="L220" s="3">
        <v>0</v>
      </c>
      <c r="M220" s="3">
        <v>-1</v>
      </c>
      <c r="N220" s="16">
        <v>0</v>
      </c>
      <c r="O220" s="3">
        <v>0</v>
      </c>
      <c r="P220" s="3">
        <v>0</v>
      </c>
      <c r="Q220" s="3">
        <v>0</v>
      </c>
      <c r="R220" s="3">
        <v>0</v>
      </c>
      <c r="S220" s="3" t="s">
        <v>468</v>
      </c>
      <c r="T220" s="3">
        <v>1</v>
      </c>
      <c r="U220" s="3">
        <v>0</v>
      </c>
      <c r="V220" s="3">
        <v>0</v>
      </c>
      <c r="W220" s="7"/>
      <c r="X220" s="7"/>
      <c r="Y220" s="7"/>
    </row>
    <row r="221" spans="1:25" ht="14.4">
      <c r="A221" s="2">
        <v>1</v>
      </c>
      <c r="B221" s="2" t="s">
        <v>473</v>
      </c>
      <c r="C221" s="3">
        <v>94</v>
      </c>
      <c r="D221" s="3">
        <v>4</v>
      </c>
      <c r="E221" s="3" t="s">
        <v>474</v>
      </c>
      <c r="F221" s="5" t="str">
        <f>HYPERLINK("https://www.liputan6.com/lifestyle/read/3924460/sosok-inspiratif-dea-valencia-pengusaha-muda-pemilik-batik-kultur","sumber")</f>
        <v>sumber</v>
      </c>
      <c r="G221" s="3" t="s">
        <v>1</v>
      </c>
      <c r="H221" s="3">
        <v>462</v>
      </c>
      <c r="I221" s="3">
        <v>2</v>
      </c>
      <c r="J221" s="3">
        <v>2</v>
      </c>
      <c r="K221" s="3" t="s">
        <v>475</v>
      </c>
      <c r="L221" s="3">
        <v>0</v>
      </c>
      <c r="M221" s="3">
        <v>0</v>
      </c>
      <c r="N221" s="16">
        <v>0</v>
      </c>
      <c r="O221" s="3">
        <v>0</v>
      </c>
      <c r="P221" s="3">
        <v>0</v>
      </c>
      <c r="Q221" s="3">
        <v>0</v>
      </c>
      <c r="R221" s="3">
        <v>1</v>
      </c>
      <c r="S221" s="7"/>
      <c r="T221" s="3">
        <v>0</v>
      </c>
      <c r="U221" s="3">
        <v>0</v>
      </c>
      <c r="V221" s="3">
        <v>0</v>
      </c>
      <c r="W221" s="7"/>
      <c r="X221" s="7"/>
      <c r="Y221" s="7"/>
    </row>
    <row r="222" spans="1:25" ht="39.6">
      <c r="A222" s="2">
        <v>1</v>
      </c>
      <c r="B222" s="2" t="s">
        <v>476</v>
      </c>
      <c r="C222" s="3">
        <v>95</v>
      </c>
      <c r="D222" s="3">
        <v>3</v>
      </c>
      <c r="E222" s="3" t="s">
        <v>477</v>
      </c>
      <c r="F222" s="5" t="str">
        <f>HYPERLINK("https://news.okezone.com/read/2019/03/20/340/2032667/audi-tewas-usai-loncat-dari-jembatan-di-manado","sumber")</f>
        <v>sumber</v>
      </c>
      <c r="G222" s="3" t="s">
        <v>1</v>
      </c>
      <c r="H222" s="3">
        <v>275</v>
      </c>
      <c r="I222" s="3">
        <v>1</v>
      </c>
      <c r="J222" s="3">
        <v>2</v>
      </c>
      <c r="K222" s="3" t="s">
        <v>478</v>
      </c>
      <c r="L222" s="3">
        <v>0</v>
      </c>
      <c r="M222" s="3">
        <v>0</v>
      </c>
      <c r="N222" s="16">
        <v>0</v>
      </c>
      <c r="O222" s="3">
        <v>0</v>
      </c>
      <c r="P222" s="3">
        <v>0</v>
      </c>
      <c r="Q222" s="3" t="s">
        <v>29</v>
      </c>
      <c r="R222" s="3" t="s">
        <v>29</v>
      </c>
      <c r="S222" s="7"/>
      <c r="T222" s="3">
        <v>0</v>
      </c>
      <c r="U222" s="3">
        <v>0</v>
      </c>
      <c r="V222" s="3">
        <v>0</v>
      </c>
      <c r="W222" s="7"/>
      <c r="X222" s="7"/>
      <c r="Y222" s="7"/>
    </row>
    <row r="223" spans="1:25" ht="14.4">
      <c r="A223" s="17">
        <v>2</v>
      </c>
      <c r="B223" s="17" t="s">
        <v>479</v>
      </c>
      <c r="C223" s="18">
        <v>96</v>
      </c>
      <c r="D223" s="18">
        <v>4</v>
      </c>
      <c r="E223" s="31">
        <v>43680</v>
      </c>
      <c r="F223" s="20" t="str">
        <f>HYPERLINK("https://www.liputan6.com/bola/read/3911944/atlet-one-championship-stefer-dan-engelen-turut-rayakan-nyepi-di-bali ","sumber")</f>
        <v>sumber</v>
      </c>
      <c r="G223" s="18" t="s">
        <v>1</v>
      </c>
      <c r="H223" s="19"/>
      <c r="I223" s="19"/>
      <c r="J223" s="18">
        <v>2</v>
      </c>
      <c r="K223" s="19"/>
      <c r="L223" s="19"/>
      <c r="M223" s="19"/>
      <c r="N223" s="19"/>
      <c r="O223" s="19"/>
      <c r="P223" s="19"/>
      <c r="Q223" s="19"/>
      <c r="R223" s="19"/>
      <c r="S223" s="19"/>
      <c r="T223" s="19"/>
      <c r="U223" s="19"/>
      <c r="V223" s="19"/>
      <c r="W223" s="19"/>
      <c r="X223" s="19"/>
      <c r="Y223" s="19"/>
    </row>
    <row r="224" spans="1:25" ht="14.4">
      <c r="A224" s="17">
        <v>2</v>
      </c>
      <c r="B224" s="17" t="s">
        <v>480</v>
      </c>
      <c r="C224" s="18">
        <v>97</v>
      </c>
      <c r="D224" s="18">
        <v>5</v>
      </c>
      <c r="E224" s="31">
        <v>43772</v>
      </c>
      <c r="F224" s="20" t="str">
        <f>HYPERLINK("https://tirto.id/respons-lion-air-garuda-usai-boeing-737-max-8-dilarang-terbang-djbX ","sumber")</f>
        <v>sumber</v>
      </c>
      <c r="G224" s="18" t="s">
        <v>1</v>
      </c>
      <c r="H224" s="19"/>
      <c r="I224" s="19"/>
      <c r="J224" s="18">
        <v>2</v>
      </c>
      <c r="K224" s="19"/>
      <c r="L224" s="19"/>
      <c r="M224" s="19"/>
      <c r="N224" s="19"/>
      <c r="O224" s="19"/>
      <c r="P224" s="19"/>
      <c r="Q224" s="19"/>
      <c r="R224" s="19"/>
      <c r="S224" s="19"/>
      <c r="T224" s="19"/>
      <c r="U224" s="19"/>
      <c r="V224" s="19"/>
      <c r="W224" s="19"/>
      <c r="X224" s="19"/>
      <c r="Y224" s="19"/>
    </row>
    <row r="225" spans="1:25" ht="26.4">
      <c r="A225" s="10">
        <v>1</v>
      </c>
      <c r="B225" s="10" t="s">
        <v>481</v>
      </c>
      <c r="C225" s="11">
        <v>98</v>
      </c>
      <c r="D225" s="11">
        <v>6</v>
      </c>
      <c r="E225" s="11" t="s">
        <v>110</v>
      </c>
      <c r="F225" s="13" t="str">
        <f>HYPERLINK("https://regional.kompas.com/read/2019/03/14/13084521/ayah-angkat-beri-uang-rp-1-juta-untuk-eksekutor-pembunuh-anaknya ","sumber")</f>
        <v>sumber</v>
      </c>
      <c r="G225" s="11" t="s">
        <v>1</v>
      </c>
      <c r="H225" s="11">
        <v>200</v>
      </c>
      <c r="I225" s="11">
        <v>1</v>
      </c>
      <c r="J225" s="11">
        <v>2</v>
      </c>
      <c r="K225" s="11" t="s">
        <v>482</v>
      </c>
      <c r="L225" s="11">
        <v>0</v>
      </c>
      <c r="M225" s="11">
        <v>-1</v>
      </c>
      <c r="N225" s="15">
        <v>0</v>
      </c>
      <c r="O225" s="11">
        <v>0</v>
      </c>
      <c r="P225" s="11">
        <v>0</v>
      </c>
      <c r="Q225" s="11">
        <v>0</v>
      </c>
      <c r="R225" s="11">
        <v>0</v>
      </c>
      <c r="S225" s="11" t="s">
        <v>483</v>
      </c>
      <c r="T225" s="11">
        <v>1</v>
      </c>
      <c r="U225" s="11">
        <v>0</v>
      </c>
      <c r="V225" s="11">
        <v>0</v>
      </c>
      <c r="W225" s="14"/>
      <c r="X225" s="14"/>
      <c r="Y225" s="14"/>
    </row>
    <row r="226" spans="1:25" ht="14.4">
      <c r="A226" s="2">
        <v>1</v>
      </c>
      <c r="B226" s="2" t="s">
        <v>484</v>
      </c>
      <c r="C226" s="3">
        <v>99</v>
      </c>
      <c r="D226" s="3">
        <v>6</v>
      </c>
      <c r="E226" s="3" t="s">
        <v>115</v>
      </c>
      <c r="F226" s="5" t="str">
        <f>HYPERLINK("https://megapolitan.kompas.com/read/2019/03/16/20555471/cerita-cheta-penyandang-disabilitas-jajal-mrt","sumber")</f>
        <v>sumber</v>
      </c>
      <c r="G226" s="3" t="s">
        <v>1</v>
      </c>
      <c r="H226" s="3">
        <v>236</v>
      </c>
      <c r="I226" s="3">
        <v>2</v>
      </c>
      <c r="J226" s="3">
        <v>2</v>
      </c>
      <c r="K226" s="3" t="s">
        <v>485</v>
      </c>
      <c r="L226" s="3">
        <v>0</v>
      </c>
      <c r="M226" s="3">
        <v>0</v>
      </c>
      <c r="N226" s="16">
        <v>0</v>
      </c>
      <c r="O226" s="3">
        <v>0</v>
      </c>
      <c r="P226" s="3">
        <v>0</v>
      </c>
      <c r="Q226" s="3">
        <v>2</v>
      </c>
      <c r="R226" s="3">
        <v>1</v>
      </c>
      <c r="S226" s="7"/>
      <c r="T226" s="3">
        <v>0</v>
      </c>
      <c r="U226" s="3">
        <v>0</v>
      </c>
      <c r="V226" s="3">
        <v>0</v>
      </c>
      <c r="W226" s="7"/>
      <c r="X226" s="7"/>
      <c r="Y226" s="7"/>
    </row>
    <row r="227" spans="1:25" ht="14.4">
      <c r="A227" s="17">
        <v>2</v>
      </c>
      <c r="B227" s="17" t="s">
        <v>486</v>
      </c>
      <c r="C227" s="18">
        <v>100</v>
      </c>
      <c r="D227" s="18">
        <v>6</v>
      </c>
      <c r="E227" s="18" t="s">
        <v>118</v>
      </c>
      <c r="F227" s="20" t="str">
        <f>HYPERLINK("https://megapolitan.kompas.com/read/2019/03/17/11494331/kuota-uji-coba-publik-mrt-ditambah-hampir-dua-kali-lipat ","sumber")</f>
        <v>sumber</v>
      </c>
      <c r="G227" s="18" t="s">
        <v>1</v>
      </c>
      <c r="H227" s="19"/>
      <c r="I227" s="19"/>
      <c r="J227" s="18">
        <v>2</v>
      </c>
      <c r="K227" s="19"/>
      <c r="L227" s="19"/>
      <c r="M227" s="19"/>
      <c r="N227" s="19"/>
      <c r="O227" s="19"/>
      <c r="P227" s="19"/>
      <c r="Q227" s="19"/>
      <c r="R227" s="19"/>
      <c r="S227" s="19"/>
      <c r="T227" s="19"/>
      <c r="U227" s="19"/>
      <c r="V227" s="19"/>
      <c r="W227" s="19"/>
      <c r="X227" s="19"/>
      <c r="Y227" s="19"/>
    </row>
    <row r="228" spans="1:25" ht="66">
      <c r="A228" s="2">
        <v>1</v>
      </c>
      <c r="B228" s="2" t="s">
        <v>487</v>
      </c>
      <c r="C228" s="3">
        <v>101</v>
      </c>
      <c r="D228" s="3">
        <v>5</v>
      </c>
      <c r="E228" s="4">
        <v>43527</v>
      </c>
      <c r="F228" s="5" t="str">
        <f>HYPERLINK("https://tirto.id/bagaimana-mendeteksi-dan-mencegah-gangguan-pendengaran-difi","sumber")</f>
        <v>sumber</v>
      </c>
      <c r="G228" s="3" t="s">
        <v>1</v>
      </c>
      <c r="H228" s="3">
        <v>792</v>
      </c>
      <c r="I228" s="3">
        <v>5</v>
      </c>
      <c r="J228" s="3">
        <v>2</v>
      </c>
      <c r="K228" s="3" t="s">
        <v>488</v>
      </c>
      <c r="L228" s="3">
        <v>0</v>
      </c>
      <c r="M228" s="3">
        <v>0</v>
      </c>
      <c r="N228" s="16">
        <v>0</v>
      </c>
      <c r="O228" s="3">
        <v>0</v>
      </c>
      <c r="P228" s="3">
        <v>0</v>
      </c>
      <c r="Q228" s="3" t="s">
        <v>29</v>
      </c>
      <c r="R228" s="3" t="s">
        <v>29</v>
      </c>
      <c r="S228" s="3" t="s">
        <v>489</v>
      </c>
      <c r="T228" s="3">
        <v>3</v>
      </c>
      <c r="U228" s="3">
        <v>0</v>
      </c>
      <c r="V228" s="3">
        <v>0</v>
      </c>
      <c r="W228" s="7"/>
      <c r="X228" s="7"/>
      <c r="Y228" s="7"/>
    </row>
    <row r="229" spans="1:25" ht="14.4">
      <c r="A229" s="17">
        <v>2</v>
      </c>
      <c r="B229" s="17" t="s">
        <v>490</v>
      </c>
      <c r="C229" s="18">
        <v>102</v>
      </c>
      <c r="D229" s="18">
        <v>2</v>
      </c>
      <c r="E229" s="18" t="s">
        <v>491</v>
      </c>
      <c r="F229" s="20" t="str">
        <f>HYPERLINK("https://www.cnnindonesia.com/internasional/20190319130005-113-378666/usai-teror-warga-selandia-baru-serahkan-senjata-ke-polisi ","sumber")</f>
        <v>sumber</v>
      </c>
      <c r="G229" s="18" t="s">
        <v>1</v>
      </c>
      <c r="H229" s="19"/>
      <c r="I229" s="19"/>
      <c r="J229" s="18">
        <v>2</v>
      </c>
      <c r="K229" s="19"/>
      <c r="L229" s="19"/>
      <c r="M229" s="19"/>
      <c r="N229" s="19"/>
      <c r="O229" s="19"/>
      <c r="P229" s="19"/>
      <c r="Q229" s="19"/>
      <c r="R229" s="19"/>
      <c r="S229" s="19"/>
      <c r="T229" s="19"/>
      <c r="U229" s="19"/>
      <c r="V229" s="19"/>
      <c r="W229" s="19"/>
      <c r="X229" s="19"/>
      <c r="Y229" s="19"/>
    </row>
    <row r="230" spans="1:25" ht="14.4">
      <c r="A230" s="17">
        <v>2</v>
      </c>
      <c r="B230" s="17" t="s">
        <v>492</v>
      </c>
      <c r="C230" s="18">
        <v>103</v>
      </c>
      <c r="D230" s="18">
        <v>10</v>
      </c>
      <c r="E230" s="18" t="s">
        <v>493</v>
      </c>
      <c r="F230" s="20" t="str">
        <f>HYPERLINK("https://otomotif.tempo.co/read/1187965/mobil-anak-bangsa-sanggup-produksi-100-bus-listrik-sebulan ","sumber")</f>
        <v>sumber</v>
      </c>
      <c r="G230" s="18" t="s">
        <v>1</v>
      </c>
      <c r="H230" s="19"/>
      <c r="I230" s="19"/>
      <c r="J230" s="18">
        <v>2</v>
      </c>
      <c r="K230" s="19"/>
      <c r="L230" s="19"/>
      <c r="M230" s="19"/>
      <c r="N230" s="19"/>
      <c r="O230" s="19"/>
      <c r="P230" s="19"/>
      <c r="Q230" s="19"/>
      <c r="R230" s="19"/>
      <c r="S230" s="19"/>
      <c r="T230" s="19"/>
      <c r="U230" s="19"/>
      <c r="V230" s="19"/>
      <c r="W230" s="19"/>
      <c r="X230" s="19"/>
      <c r="Y230" s="19"/>
    </row>
    <row r="231" spans="1:25" ht="14.4">
      <c r="A231" s="2">
        <v>1</v>
      </c>
      <c r="B231" s="2" t="s">
        <v>494</v>
      </c>
      <c r="C231" s="3">
        <v>104</v>
      </c>
      <c r="D231" s="3">
        <v>10</v>
      </c>
      <c r="E231" s="3" t="s">
        <v>118</v>
      </c>
      <c r="F231" s="5" t="str">
        <f>HYPERLINK("https://nasional.tempo.co/read/1186291/prabowo-kita-lebaran-di-tps-jangan-sampai-tuyul-nyoblos/full&amp;view=ok","sumber")</f>
        <v>sumber</v>
      </c>
      <c r="G231" s="3" t="s">
        <v>1</v>
      </c>
      <c r="H231" s="3">
        <v>311</v>
      </c>
      <c r="I231" s="3">
        <v>3</v>
      </c>
      <c r="J231" s="3">
        <v>2</v>
      </c>
      <c r="K231" s="3" t="s">
        <v>495</v>
      </c>
      <c r="L231" s="3">
        <v>0</v>
      </c>
      <c r="M231" s="3">
        <v>0</v>
      </c>
      <c r="N231" s="16">
        <v>0</v>
      </c>
      <c r="O231" s="3">
        <v>0</v>
      </c>
      <c r="P231" s="3">
        <v>0</v>
      </c>
      <c r="Q231" s="3">
        <v>0</v>
      </c>
      <c r="R231" s="3">
        <v>-1</v>
      </c>
      <c r="S231" s="7"/>
      <c r="T231" s="3">
        <v>0</v>
      </c>
      <c r="U231" s="3">
        <v>0</v>
      </c>
      <c r="V231" s="3">
        <v>0</v>
      </c>
      <c r="W231" s="7"/>
      <c r="X231" s="7"/>
      <c r="Y231" s="7"/>
    </row>
    <row r="232" spans="1:25" ht="14.4">
      <c r="A232" s="17">
        <v>2</v>
      </c>
      <c r="B232" s="17" t="s">
        <v>496</v>
      </c>
      <c r="C232" s="18">
        <v>105</v>
      </c>
      <c r="D232" s="18">
        <v>8</v>
      </c>
      <c r="E232" s="18" t="s">
        <v>497</v>
      </c>
      <c r="F232" s="20" t="str">
        <f>HYPERLINK("https://www.suara.com/entertainment/2019/03/27/073000/merasa-geram-nikita-mirzani-laporkan-balik-indra-tarigan ","sumber")</f>
        <v>sumber</v>
      </c>
      <c r="G232" s="18" t="s">
        <v>1</v>
      </c>
      <c r="H232" s="19"/>
      <c r="I232" s="19"/>
      <c r="J232" s="18">
        <v>2</v>
      </c>
      <c r="K232" s="19"/>
      <c r="L232" s="19"/>
      <c r="M232" s="19"/>
      <c r="N232" s="19"/>
      <c r="O232" s="19"/>
      <c r="P232" s="19"/>
      <c r="Q232" s="19"/>
      <c r="R232" s="19"/>
      <c r="S232" s="19"/>
      <c r="T232" s="19"/>
      <c r="U232" s="19"/>
      <c r="V232" s="19"/>
      <c r="W232" s="19"/>
      <c r="X232" s="19"/>
      <c r="Y232" s="19"/>
    </row>
    <row r="233" spans="1:25" ht="39.6">
      <c r="A233" s="2">
        <v>1</v>
      </c>
      <c r="B233" s="2" t="s">
        <v>498</v>
      </c>
      <c r="C233" s="3">
        <v>106</v>
      </c>
      <c r="D233" s="3">
        <v>7</v>
      </c>
      <c r="E233" s="3" t="s">
        <v>477</v>
      </c>
      <c r="F233" s="5" t="str">
        <f>HYPERLINK(" http://www.tribunnews.com/nasional/2019/03/20/antisipasi-ada-caleg-gangguan-jiwa-pasca-pemilu-rsud-purwakarta-siapkan-2-dokter-spesialis ","sumber")</f>
        <v>sumber</v>
      </c>
      <c r="G233" s="3" t="s">
        <v>1</v>
      </c>
      <c r="H233" s="3">
        <v>227</v>
      </c>
      <c r="I233" s="3">
        <v>1</v>
      </c>
      <c r="J233" s="3">
        <v>2</v>
      </c>
      <c r="K233" s="3" t="s">
        <v>499</v>
      </c>
      <c r="L233" s="3">
        <v>0</v>
      </c>
      <c r="M233" s="3">
        <v>0</v>
      </c>
      <c r="N233" s="16">
        <v>0</v>
      </c>
      <c r="O233" s="3">
        <v>0</v>
      </c>
      <c r="P233" s="3">
        <v>0</v>
      </c>
      <c r="Q233" s="3" t="s">
        <v>29</v>
      </c>
      <c r="R233" s="3" t="s">
        <v>29</v>
      </c>
      <c r="S233" s="3" t="s">
        <v>500</v>
      </c>
      <c r="T233" s="3">
        <v>4</v>
      </c>
      <c r="U233" s="3">
        <v>0</v>
      </c>
      <c r="V233" s="3">
        <v>0</v>
      </c>
      <c r="W233" s="7"/>
      <c r="X233" s="7"/>
      <c r="Y233" s="7"/>
    </row>
    <row r="234" spans="1:25" ht="14.4">
      <c r="A234" s="17">
        <v>2</v>
      </c>
      <c r="B234" s="17" t="s">
        <v>501</v>
      </c>
      <c r="C234" s="18">
        <v>107</v>
      </c>
      <c r="D234" s="18">
        <v>4</v>
      </c>
      <c r="E234" s="18" t="s">
        <v>502</v>
      </c>
      <c r="F234" s="20" t="str">
        <f>HYPERLINK("https://www.liputan6.com/news/read/3927592/acungan-jempol-hercules-usai-vonis-8-bulan-bui ","sumber")</f>
        <v>sumber</v>
      </c>
      <c r="G234" s="18" t="s">
        <v>1</v>
      </c>
      <c r="H234" s="19"/>
      <c r="I234" s="19"/>
      <c r="J234" s="18">
        <v>2</v>
      </c>
      <c r="K234" s="19"/>
      <c r="L234" s="19"/>
      <c r="M234" s="19"/>
      <c r="N234" s="19"/>
      <c r="O234" s="19"/>
      <c r="P234" s="19"/>
      <c r="Q234" s="19"/>
      <c r="R234" s="19"/>
      <c r="S234" s="19"/>
      <c r="T234" s="19"/>
      <c r="U234" s="19"/>
      <c r="V234" s="19"/>
      <c r="W234" s="19"/>
      <c r="X234" s="19"/>
      <c r="Y234" s="19"/>
    </row>
    <row r="235" spans="1:25" ht="14.4">
      <c r="A235" s="17">
        <v>2</v>
      </c>
      <c r="B235" s="17" t="s">
        <v>503</v>
      </c>
      <c r="C235" s="18">
        <v>108</v>
      </c>
      <c r="D235" s="18">
        <v>7</v>
      </c>
      <c r="E235" s="18" t="s">
        <v>504</v>
      </c>
      <c r="F235" s="20" t="str">
        <f>HYPERLINK("http://www.tribunnews.com/regional/2019/03/29/pelaku-nekat-bunuh-gadis-cantik-calon-pendeta-karena-sakit-hati-cinta-ditolak-dan-katai-jelek ","sumber")</f>
        <v>sumber</v>
      </c>
      <c r="G235" s="18" t="s">
        <v>1</v>
      </c>
      <c r="H235" s="19"/>
      <c r="I235" s="19"/>
      <c r="J235" s="18">
        <v>2</v>
      </c>
      <c r="K235" s="19"/>
      <c r="L235" s="19"/>
      <c r="M235" s="19"/>
      <c r="N235" s="19"/>
      <c r="O235" s="19"/>
      <c r="P235" s="19"/>
      <c r="Q235" s="19"/>
      <c r="R235" s="19"/>
      <c r="S235" s="19"/>
      <c r="T235" s="19"/>
      <c r="U235" s="19"/>
      <c r="V235" s="19"/>
      <c r="W235" s="19"/>
      <c r="X235" s="19"/>
      <c r="Y235" s="19"/>
    </row>
    <row r="236" spans="1:25" ht="14.4">
      <c r="A236" s="17">
        <v>2</v>
      </c>
      <c r="B236" s="17" t="s">
        <v>505</v>
      </c>
      <c r="C236" s="18">
        <v>109</v>
      </c>
      <c r="D236" s="18">
        <v>7</v>
      </c>
      <c r="E236" s="31">
        <v>43469</v>
      </c>
      <c r="F236" s="20" t="str">
        <f>HYPERLINK("https://tirto.id/jadwal-sholat-dan-masjid-terdekat-di-kota-palopo-dkGg ","sumber")</f>
        <v>sumber</v>
      </c>
      <c r="G236" s="18" t="s">
        <v>1</v>
      </c>
      <c r="H236" s="19"/>
      <c r="I236" s="19"/>
      <c r="J236" s="18">
        <v>2</v>
      </c>
      <c r="K236" s="19"/>
      <c r="L236" s="19"/>
      <c r="M236" s="19"/>
      <c r="N236" s="19"/>
      <c r="O236" s="19"/>
      <c r="P236" s="19"/>
      <c r="Q236" s="19"/>
      <c r="R236" s="19"/>
      <c r="S236" s="19"/>
      <c r="T236" s="19"/>
      <c r="U236" s="19"/>
      <c r="V236" s="19"/>
      <c r="W236" s="19"/>
      <c r="X236" s="19"/>
      <c r="Y236" s="19"/>
    </row>
    <row r="237" spans="1:25" ht="14.4">
      <c r="A237" s="17">
        <v>2</v>
      </c>
      <c r="B237" s="17" t="s">
        <v>506</v>
      </c>
      <c r="C237" s="18">
        <v>110</v>
      </c>
      <c r="D237" s="18">
        <v>1</v>
      </c>
      <c r="E237" s="31">
        <v>43589</v>
      </c>
      <c r="F237" s="20" t="str">
        <f>HYPERLINK("https://sport.detik.com/sepakbola/liga-inggris/d-4498217/manchester-city-vs-brighton-statistik-gila-the-citizens-di-piala-fa ","sumber")</f>
        <v>sumber</v>
      </c>
      <c r="G237" s="18" t="s">
        <v>1</v>
      </c>
      <c r="H237" s="19"/>
      <c r="I237" s="19"/>
      <c r="J237" s="18">
        <v>2</v>
      </c>
      <c r="K237" s="19"/>
      <c r="L237" s="19"/>
      <c r="M237" s="19"/>
      <c r="N237" s="19"/>
      <c r="O237" s="19"/>
      <c r="P237" s="19"/>
      <c r="Q237" s="19"/>
      <c r="R237" s="19"/>
      <c r="S237" s="19"/>
      <c r="T237" s="19"/>
      <c r="U237" s="19"/>
      <c r="V237" s="19"/>
      <c r="W237" s="19"/>
      <c r="X237" s="19"/>
      <c r="Y237" s="19"/>
    </row>
    <row r="238" spans="1:25" ht="14.4">
      <c r="A238" s="10">
        <v>1</v>
      </c>
      <c r="B238" s="10" t="s">
        <v>507</v>
      </c>
      <c r="C238" s="11">
        <v>111</v>
      </c>
      <c r="D238" s="11">
        <v>8</v>
      </c>
      <c r="E238" s="12">
        <v>43620</v>
      </c>
      <c r="F238" s="13" t="str">
        <f>HYPERLINK("https://www.suara.com/lifestyle/2019/04/06/080500/bikin-haru-bocah-ini-menggendong-teman-sekolahnya-setiap-hari ","sumber")</f>
        <v>sumber</v>
      </c>
      <c r="G238" s="11" t="s">
        <v>1</v>
      </c>
      <c r="H238" s="11">
        <v>235</v>
      </c>
      <c r="I238" s="11">
        <v>2</v>
      </c>
      <c r="J238" s="11">
        <v>2</v>
      </c>
      <c r="K238" s="11" t="s">
        <v>508</v>
      </c>
      <c r="L238" s="11">
        <v>0</v>
      </c>
      <c r="M238" s="11">
        <v>0</v>
      </c>
      <c r="N238" s="15">
        <v>0</v>
      </c>
      <c r="O238" s="11">
        <v>0</v>
      </c>
      <c r="P238" s="35">
        <v>0</v>
      </c>
      <c r="Q238" s="11" t="s">
        <v>29</v>
      </c>
      <c r="R238" s="11" t="s">
        <v>68</v>
      </c>
      <c r="S238" s="11" t="s">
        <v>509</v>
      </c>
      <c r="T238" s="11">
        <v>1</v>
      </c>
      <c r="U238" s="11">
        <v>0</v>
      </c>
      <c r="V238" s="11">
        <v>0</v>
      </c>
      <c r="W238" s="14"/>
      <c r="X238" s="14"/>
      <c r="Y238" s="14"/>
    </row>
    <row r="239" spans="1:25" ht="14.4">
      <c r="A239" s="36">
        <v>1</v>
      </c>
      <c r="B239" s="36" t="s">
        <v>510</v>
      </c>
      <c r="C239" s="37">
        <v>112</v>
      </c>
      <c r="D239" s="37">
        <v>10</v>
      </c>
      <c r="E239" s="38">
        <v>43620</v>
      </c>
      <c r="F239" s="39" t="str">
        <f>HYPERLINK("https://metro.tempo.co/read/1192901/jpo-pasar-minggu-dibongkar-begini-desain-barunya-kelak ","sumber")</f>
        <v>sumber</v>
      </c>
      <c r="G239" s="37" t="s">
        <v>1</v>
      </c>
      <c r="H239" s="37">
        <v>291</v>
      </c>
      <c r="I239" s="37">
        <v>4</v>
      </c>
      <c r="J239" s="37">
        <v>2</v>
      </c>
      <c r="K239" s="37" t="s">
        <v>511</v>
      </c>
      <c r="L239" s="37">
        <v>0</v>
      </c>
      <c r="M239" s="11">
        <v>0</v>
      </c>
      <c r="N239" s="15">
        <v>0</v>
      </c>
      <c r="O239" s="11">
        <v>0</v>
      </c>
      <c r="P239" s="37">
        <v>0</v>
      </c>
      <c r="Q239" s="37">
        <v>0</v>
      </c>
      <c r="R239" s="37">
        <v>0</v>
      </c>
      <c r="S239" s="40"/>
      <c r="T239" s="37">
        <v>0</v>
      </c>
      <c r="U239" s="37">
        <v>0</v>
      </c>
      <c r="V239" s="37">
        <v>1</v>
      </c>
      <c r="W239" s="40"/>
      <c r="X239" s="40"/>
      <c r="Y239" s="40"/>
    </row>
    <row r="240" spans="1:25" ht="39.6">
      <c r="A240" s="10">
        <v>1</v>
      </c>
      <c r="B240" s="10" t="s">
        <v>512</v>
      </c>
      <c r="C240" s="11">
        <v>113</v>
      </c>
      <c r="D240" s="11">
        <v>6</v>
      </c>
      <c r="E240" s="12">
        <v>43712</v>
      </c>
      <c r="F240" s="13" t="str">
        <f>HYPERLINK("https://lifestyle.kompas.com/read/2019/04/09/150716620/tak-hanya-lansia-katarak-juga-hantui-penduduk-usia-produktif ","sumber")</f>
        <v>sumber</v>
      </c>
      <c r="G240" s="11" t="s">
        <v>1</v>
      </c>
      <c r="H240" s="11">
        <v>721</v>
      </c>
      <c r="I240" s="11">
        <v>3</v>
      </c>
      <c r="J240" s="11">
        <v>2</v>
      </c>
      <c r="K240" s="11" t="s">
        <v>513</v>
      </c>
      <c r="L240" s="11">
        <v>0</v>
      </c>
      <c r="M240" s="11">
        <v>0</v>
      </c>
      <c r="N240" s="15">
        <v>0</v>
      </c>
      <c r="O240" s="11">
        <v>0</v>
      </c>
      <c r="P240" s="37">
        <v>0</v>
      </c>
      <c r="Q240" s="11" t="s">
        <v>48</v>
      </c>
      <c r="R240" s="11" t="s">
        <v>514</v>
      </c>
      <c r="S240" s="14"/>
      <c r="T240" s="11">
        <v>0</v>
      </c>
      <c r="U240" s="11">
        <v>0</v>
      </c>
      <c r="V240" s="11">
        <v>0</v>
      </c>
      <c r="W240" s="14"/>
      <c r="X240" s="14"/>
      <c r="Y240" s="14"/>
    </row>
    <row r="241" spans="1:25" ht="14.4">
      <c r="A241" s="10">
        <v>1</v>
      </c>
      <c r="B241" s="10" t="s">
        <v>515</v>
      </c>
      <c r="C241" s="11">
        <v>114</v>
      </c>
      <c r="D241" s="11">
        <v>10</v>
      </c>
      <c r="E241" s="11" t="s">
        <v>516</v>
      </c>
      <c r="F241" s="13" t="str">
        <f>HYPERLINK("https://dunia.tempo.co/read/1195680/julian-assange-pernah-sembunyi-di-loteng-sebelum-cari-suaka ","sumber")</f>
        <v>sumber</v>
      </c>
      <c r="G241" s="11" t="s">
        <v>1</v>
      </c>
      <c r="H241" s="14"/>
      <c r="I241" s="11">
        <v>1</v>
      </c>
      <c r="J241" s="11">
        <v>2</v>
      </c>
      <c r="K241" s="11" t="s">
        <v>517</v>
      </c>
      <c r="L241" s="11">
        <v>0</v>
      </c>
      <c r="M241" s="11">
        <v>0</v>
      </c>
      <c r="N241" s="15">
        <v>0</v>
      </c>
      <c r="O241" s="11">
        <v>0</v>
      </c>
      <c r="P241" s="11">
        <v>0</v>
      </c>
      <c r="Q241" s="11" t="s">
        <v>29</v>
      </c>
      <c r="R241" s="11" t="s">
        <v>68</v>
      </c>
      <c r="S241" s="14"/>
      <c r="T241" s="11">
        <v>0</v>
      </c>
      <c r="U241" s="11">
        <v>0</v>
      </c>
      <c r="V241" s="11">
        <v>0</v>
      </c>
      <c r="W241" s="14"/>
      <c r="X241" s="14"/>
      <c r="Y241" s="14"/>
    </row>
    <row r="242" spans="1:25" ht="26.4">
      <c r="A242" s="2">
        <v>1</v>
      </c>
      <c r="B242" s="2" t="s">
        <v>518</v>
      </c>
      <c r="C242" s="3">
        <v>115</v>
      </c>
      <c r="D242" s="3">
        <v>4</v>
      </c>
      <c r="E242" s="3" t="s">
        <v>354</v>
      </c>
      <c r="F242" s="5" t="str">
        <f>HYPERLINK("https://hot.liputan6.com/read/3952572/4-jenis-autisme-pada-anak-yang-perlu-diketahui-ada-yang-punya-teman-imajinatif ","sumber")</f>
        <v>sumber</v>
      </c>
      <c r="G242" s="3" t="s">
        <v>1</v>
      </c>
      <c r="H242" s="3">
        <v>552</v>
      </c>
      <c r="I242" s="3">
        <v>5</v>
      </c>
      <c r="J242" s="3">
        <v>2</v>
      </c>
      <c r="K242" s="3"/>
      <c r="L242" s="3">
        <v>0</v>
      </c>
      <c r="M242" s="3">
        <v>0</v>
      </c>
      <c r="N242" s="16">
        <v>0</v>
      </c>
      <c r="O242" s="3">
        <v>0</v>
      </c>
      <c r="P242" s="3">
        <v>0</v>
      </c>
      <c r="Q242" s="3"/>
      <c r="R242" s="3"/>
      <c r="S242" s="3" t="s">
        <v>519</v>
      </c>
      <c r="T242" s="3">
        <v>2</v>
      </c>
      <c r="U242" s="3">
        <v>0</v>
      </c>
      <c r="V242" s="3">
        <v>0</v>
      </c>
      <c r="W242" s="7"/>
      <c r="X242" s="7"/>
      <c r="Y242" s="7"/>
    </row>
    <row r="243" spans="1:25" ht="39.6">
      <c r="A243" s="2">
        <v>1</v>
      </c>
      <c r="B243" s="2" t="s">
        <v>520</v>
      </c>
      <c r="C243" s="3">
        <v>116</v>
      </c>
      <c r="D243" s="3">
        <v>7</v>
      </c>
      <c r="E243" s="3" t="s">
        <v>521</v>
      </c>
      <c r="F243" s="5" t="str">
        <f>HYPERLINK("http://www.tribunnews.com/kesehatan/2019/04/25/orang-yang-suka-pamerkan-organ-intimnya-alami-gangguan-jiwa","sumber")</f>
        <v>sumber</v>
      </c>
      <c r="G243" s="3" t="s">
        <v>1</v>
      </c>
      <c r="H243" s="3">
        <v>202</v>
      </c>
      <c r="I243" s="3">
        <v>1</v>
      </c>
      <c r="J243" s="3">
        <v>2</v>
      </c>
      <c r="K243" s="3" t="s">
        <v>522</v>
      </c>
      <c r="L243" s="3">
        <v>0</v>
      </c>
      <c r="M243" s="3">
        <v>-1</v>
      </c>
      <c r="N243" s="16">
        <v>0</v>
      </c>
      <c r="O243" s="3">
        <v>0</v>
      </c>
      <c r="P243" s="3">
        <v>0</v>
      </c>
      <c r="Q243" s="3">
        <v>0</v>
      </c>
      <c r="R243" s="3">
        <v>0</v>
      </c>
      <c r="S243" s="3" t="s">
        <v>523</v>
      </c>
      <c r="T243" s="3">
        <v>1</v>
      </c>
      <c r="U243" s="3">
        <v>0</v>
      </c>
      <c r="V243" s="3">
        <v>0</v>
      </c>
      <c r="W243" s="7"/>
      <c r="X243" s="7"/>
      <c r="Y243" s="7"/>
    </row>
    <row r="244" spans="1:25" ht="26.4">
      <c r="A244" s="10">
        <v>1</v>
      </c>
      <c r="B244" s="10" t="s">
        <v>524</v>
      </c>
      <c r="C244" s="11">
        <v>117</v>
      </c>
      <c r="D244" s="11">
        <v>7</v>
      </c>
      <c r="E244" s="11" t="s">
        <v>525</v>
      </c>
      <c r="F244" s="13" t="str">
        <f>HYPERLINK("http://www.tribunnews.com/regional/2019/04/19/wanita-gangguan-jiwa-ini-gigit-jarinya-hingga-putus ","sumber")</f>
        <v>sumber</v>
      </c>
      <c r="G244" s="11" t="s">
        <v>1</v>
      </c>
      <c r="H244" s="11">
        <v>361</v>
      </c>
      <c r="I244" s="11">
        <v>2</v>
      </c>
      <c r="J244" s="11">
        <v>2</v>
      </c>
      <c r="K244" s="11" t="s">
        <v>526</v>
      </c>
      <c r="L244" s="11">
        <v>0</v>
      </c>
      <c r="M244" s="11">
        <v>0</v>
      </c>
      <c r="N244" s="15">
        <v>0</v>
      </c>
      <c r="O244" s="11">
        <v>0</v>
      </c>
      <c r="P244" s="11">
        <v>-1</v>
      </c>
      <c r="Q244" s="11" t="s">
        <v>68</v>
      </c>
      <c r="R244" s="11" t="s">
        <v>29</v>
      </c>
      <c r="S244" s="11" t="s">
        <v>527</v>
      </c>
      <c r="T244" s="11">
        <v>1</v>
      </c>
      <c r="U244" s="11">
        <v>0</v>
      </c>
      <c r="V244" s="11">
        <v>0</v>
      </c>
      <c r="W244" s="14"/>
      <c r="X244" s="14"/>
      <c r="Y244" s="14"/>
    </row>
    <row r="245" spans="1:25" ht="14.4">
      <c r="A245" s="17">
        <v>2</v>
      </c>
      <c r="B245" s="17" t="s">
        <v>528</v>
      </c>
      <c r="C245" s="18">
        <v>118</v>
      </c>
      <c r="D245" s="18">
        <v>4</v>
      </c>
      <c r="E245" s="18" t="s">
        <v>529</v>
      </c>
      <c r="F245" s="20" t="str">
        <f>HYPERLINK("https://www.liputan6.com/showbiz/read/3946719/hina-capres-erin-taulany-terancam-hukuman-4-tahun-penjara ","sumber")</f>
        <v>sumber</v>
      </c>
      <c r="G245" s="18" t="s">
        <v>1</v>
      </c>
      <c r="H245" s="19"/>
      <c r="I245" s="19"/>
      <c r="J245" s="18">
        <v>2</v>
      </c>
      <c r="K245" s="19"/>
      <c r="L245" s="19"/>
      <c r="M245" s="19"/>
      <c r="N245" s="19"/>
      <c r="O245" s="19"/>
      <c r="P245" s="19"/>
      <c r="Q245" s="19"/>
      <c r="R245" s="19"/>
      <c r="S245" s="19"/>
      <c r="T245" s="19"/>
      <c r="U245" s="19"/>
      <c r="V245" s="19"/>
      <c r="W245" s="19"/>
      <c r="X245" s="19"/>
      <c r="Y245" s="19"/>
    </row>
    <row r="246" spans="1:25" ht="14.4">
      <c r="A246" s="17">
        <v>2</v>
      </c>
      <c r="B246" s="17" t="s">
        <v>530</v>
      </c>
      <c r="C246" s="18">
        <v>119</v>
      </c>
      <c r="D246" s="18">
        <v>8</v>
      </c>
      <c r="E246" s="18" t="s">
        <v>529</v>
      </c>
      <c r="F246" s="20" t="str">
        <f>HYPERLINK("https://www.suara.com/news/2019/04/21/170800/diduga-menghina-prabowo-istri-andre-taulany-dilaporkan-ke-polda-metro-jaya ","sumber")</f>
        <v>sumber</v>
      </c>
      <c r="G246" s="18" t="s">
        <v>1</v>
      </c>
      <c r="H246" s="19"/>
      <c r="I246" s="19"/>
      <c r="J246" s="18">
        <v>2</v>
      </c>
      <c r="K246" s="19"/>
      <c r="L246" s="19"/>
      <c r="M246" s="19"/>
      <c r="N246" s="19"/>
      <c r="O246" s="19"/>
      <c r="P246" s="19"/>
      <c r="Q246" s="19"/>
      <c r="R246" s="19"/>
      <c r="S246" s="19"/>
      <c r="T246" s="19"/>
      <c r="U246" s="19"/>
      <c r="V246" s="19"/>
      <c r="W246" s="19"/>
      <c r="X246" s="19"/>
      <c r="Y246" s="19"/>
    </row>
    <row r="247" spans="1:25" ht="14.4">
      <c r="A247" s="2">
        <v>1</v>
      </c>
      <c r="B247" s="2" t="s">
        <v>531</v>
      </c>
      <c r="C247" s="3">
        <v>120</v>
      </c>
      <c r="D247" s="3">
        <v>3</v>
      </c>
      <c r="E247" s="3" t="s">
        <v>157</v>
      </c>
      <c r="F247" s="5" t="str">
        <f>HYPERLINK("https://news.okezone.com/read/2019/04/22/18/2046333/pelaut-buta-jepang-catat-rekor-dengan-berlayar-lintasi-pasifik-tanpa-henti","sumber")</f>
        <v>sumber</v>
      </c>
      <c r="G247" s="3" t="s">
        <v>1</v>
      </c>
      <c r="H247" s="3">
        <v>299</v>
      </c>
      <c r="I247" s="3">
        <v>2</v>
      </c>
      <c r="J247" s="3">
        <v>2</v>
      </c>
      <c r="K247" s="3" t="s">
        <v>532</v>
      </c>
      <c r="L247" s="3">
        <v>0</v>
      </c>
      <c r="M247" s="3">
        <v>0</v>
      </c>
      <c r="N247" s="16">
        <v>0</v>
      </c>
      <c r="O247" s="3">
        <v>0</v>
      </c>
      <c r="P247" s="3">
        <v>0</v>
      </c>
      <c r="Q247" s="3">
        <v>2</v>
      </c>
      <c r="R247" s="3">
        <v>0</v>
      </c>
      <c r="S247" s="7"/>
      <c r="T247" s="3">
        <v>0</v>
      </c>
      <c r="U247" s="3">
        <v>0</v>
      </c>
      <c r="V247" s="3">
        <v>0</v>
      </c>
      <c r="W247" s="7"/>
      <c r="X247" s="7"/>
      <c r="Y247" s="7"/>
    </row>
    <row r="248" spans="1:25" ht="26.4">
      <c r="A248" s="10">
        <v>1</v>
      </c>
      <c r="B248" s="10" t="s">
        <v>533</v>
      </c>
      <c r="C248" s="11">
        <v>121</v>
      </c>
      <c r="D248" s="11">
        <v>8</v>
      </c>
      <c r="E248" s="11" t="s">
        <v>165</v>
      </c>
      <c r="F248" s="13" t="str">
        <f>HYPERLINK("https://www.suara.com/health/2019/04/24/174041/gangguan-jiwa-bukan-halangan-lelaki-ini-luncurkan-lima-novel ","sumber")</f>
        <v>sumber</v>
      </c>
      <c r="G248" s="11" t="s">
        <v>1</v>
      </c>
      <c r="H248" s="11">
        <v>577</v>
      </c>
      <c r="I248" s="11">
        <v>2</v>
      </c>
      <c r="J248" s="11">
        <v>2</v>
      </c>
      <c r="K248" s="11" t="s">
        <v>534</v>
      </c>
      <c r="L248" s="11">
        <v>0</v>
      </c>
      <c r="M248" s="11">
        <v>0</v>
      </c>
      <c r="N248" s="15">
        <v>0</v>
      </c>
      <c r="O248" s="11">
        <v>0</v>
      </c>
      <c r="P248" s="11">
        <v>0</v>
      </c>
      <c r="Q248" s="11" t="s">
        <v>178</v>
      </c>
      <c r="R248" s="11" t="s">
        <v>68</v>
      </c>
      <c r="S248" s="11" t="s">
        <v>535</v>
      </c>
      <c r="T248" s="11">
        <v>1</v>
      </c>
      <c r="U248" s="11">
        <v>0</v>
      </c>
      <c r="V248" s="11">
        <v>0</v>
      </c>
      <c r="W248" s="14"/>
      <c r="X248" s="14"/>
      <c r="Y248" s="14"/>
    </row>
    <row r="249" spans="1:25" ht="26.4">
      <c r="A249" s="2">
        <v>1</v>
      </c>
      <c r="B249" s="2" t="s">
        <v>536</v>
      </c>
      <c r="C249" s="3">
        <v>122</v>
      </c>
      <c r="D249" s="3">
        <v>1</v>
      </c>
      <c r="E249" s="3" t="s">
        <v>537</v>
      </c>
      <c r="F249" s="5" t="str">
        <f>HYPERLINK(" https://health.detik.com/berita-detikhealth/d-4515562/kemenangan-tanpa-selebrasi-di-tps-khusus-pengidap-gangguan-jiwa ","sumber")</f>
        <v>sumber</v>
      </c>
      <c r="G249" s="3" t="s">
        <v>1</v>
      </c>
      <c r="H249" s="3">
        <v>410</v>
      </c>
      <c r="I249" s="3">
        <v>3</v>
      </c>
      <c r="J249" s="3">
        <v>2</v>
      </c>
      <c r="K249" s="3" t="s">
        <v>538</v>
      </c>
      <c r="L249" s="3">
        <v>0</v>
      </c>
      <c r="M249" s="3">
        <v>0</v>
      </c>
      <c r="N249" s="16">
        <v>0</v>
      </c>
      <c r="O249" s="3">
        <v>0</v>
      </c>
      <c r="P249" s="3">
        <v>0</v>
      </c>
      <c r="Q249" s="3" t="s">
        <v>29</v>
      </c>
      <c r="R249" s="3" t="s">
        <v>29</v>
      </c>
      <c r="S249" s="3" t="s">
        <v>468</v>
      </c>
      <c r="T249" s="3">
        <v>1</v>
      </c>
      <c r="U249" s="3">
        <v>0</v>
      </c>
      <c r="V249" s="3">
        <v>0</v>
      </c>
      <c r="W249" s="7"/>
      <c r="X249" s="7"/>
      <c r="Y249" s="7"/>
    </row>
    <row r="250" spans="1:25" ht="14.4">
      <c r="A250" s="17">
        <v>2</v>
      </c>
      <c r="B250" s="17" t="s">
        <v>539</v>
      </c>
      <c r="C250" s="18">
        <v>123</v>
      </c>
      <c r="D250" s="18">
        <v>9</v>
      </c>
      <c r="E250" s="18" t="s">
        <v>521</v>
      </c>
      <c r="F250" s="20" t="str">
        <f>HYPERLINK("https://khazanah.republika.co.id/berita/dunia-islam/hikmah/pqh3kv313/perangkap-iblis ","sumber")</f>
        <v>sumber</v>
      </c>
      <c r="G250" s="18" t="s">
        <v>1</v>
      </c>
      <c r="H250" s="19"/>
      <c r="I250" s="19"/>
      <c r="J250" s="18">
        <v>2</v>
      </c>
      <c r="K250" s="19"/>
      <c r="L250" s="19"/>
      <c r="M250" s="19"/>
      <c r="N250" s="19"/>
      <c r="O250" s="19"/>
      <c r="P250" s="19"/>
      <c r="Q250" s="19"/>
      <c r="R250" s="19"/>
      <c r="S250" s="19"/>
      <c r="T250" s="19"/>
      <c r="U250" s="19"/>
      <c r="V250" s="19"/>
      <c r="W250" s="19"/>
      <c r="X250" s="19"/>
      <c r="Y250" s="19"/>
    </row>
    <row r="251" spans="1:25" ht="26.4">
      <c r="A251" s="2">
        <v>1</v>
      </c>
      <c r="B251" s="2" t="s">
        <v>540</v>
      </c>
      <c r="C251" s="3">
        <v>124</v>
      </c>
      <c r="D251" s="3">
        <v>8</v>
      </c>
      <c r="E251" s="4">
        <v>43559</v>
      </c>
      <c r="F251" s="5" t="str">
        <f>HYPERLINK("https://www.suara.com/bisnis/2019/04/04/112501/intip-bakti-kemenpupr-untuk-penyandang-disabilitas ","sumber")</f>
        <v>sumber</v>
      </c>
      <c r="G251" s="3" t="s">
        <v>1</v>
      </c>
      <c r="H251" s="3">
        <v>347</v>
      </c>
      <c r="I251" s="3">
        <v>4</v>
      </c>
      <c r="J251" s="3">
        <v>2</v>
      </c>
      <c r="K251" s="3" t="s">
        <v>541</v>
      </c>
      <c r="L251" s="3">
        <v>0</v>
      </c>
      <c r="M251" s="3">
        <v>0</v>
      </c>
      <c r="N251" s="16">
        <v>0</v>
      </c>
      <c r="O251" s="3">
        <v>0</v>
      </c>
      <c r="P251" s="3">
        <v>0</v>
      </c>
      <c r="Q251" s="3">
        <v>0</v>
      </c>
      <c r="R251" s="3">
        <v>1</v>
      </c>
      <c r="S251" s="7"/>
      <c r="T251" s="3">
        <v>0</v>
      </c>
      <c r="U251" s="3">
        <v>0</v>
      </c>
      <c r="V251" s="3">
        <v>1</v>
      </c>
      <c r="W251" s="7"/>
      <c r="X251" s="7"/>
      <c r="Y251" s="7"/>
    </row>
    <row r="252" spans="1:25" ht="14.4">
      <c r="A252" s="10">
        <v>1</v>
      </c>
      <c r="B252" s="10" t="s">
        <v>542</v>
      </c>
      <c r="C252" s="11">
        <v>125</v>
      </c>
      <c r="D252" s="11">
        <v>10</v>
      </c>
      <c r="E252" s="11" t="s">
        <v>521</v>
      </c>
      <c r="F252" s="13" t="str">
        <f>HYPERLINK("https://dunia.tempo.co/read/1198968/kisah-pilu-bayi-dalam-kantong-plastik-penuh-belatung-di-vietnam ","sumber")</f>
        <v>sumber</v>
      </c>
      <c r="G252" s="11" t="s">
        <v>1</v>
      </c>
      <c r="H252" s="11">
        <v>311</v>
      </c>
      <c r="I252" s="11">
        <v>2</v>
      </c>
      <c r="J252" s="11">
        <v>2</v>
      </c>
      <c r="K252" s="11"/>
      <c r="L252" s="11">
        <v>0</v>
      </c>
      <c r="M252" s="11">
        <v>0</v>
      </c>
      <c r="N252" s="15">
        <v>0</v>
      </c>
      <c r="O252" s="11">
        <v>0</v>
      </c>
      <c r="P252" s="11">
        <v>0</v>
      </c>
      <c r="Q252" s="14"/>
      <c r="R252" s="14"/>
      <c r="S252" s="14"/>
      <c r="T252" s="11">
        <v>0</v>
      </c>
      <c r="U252" s="11">
        <v>0</v>
      </c>
      <c r="V252" s="11">
        <v>0</v>
      </c>
      <c r="W252" s="14"/>
      <c r="X252" s="14"/>
      <c r="Y252" s="14"/>
    </row>
    <row r="253" spans="1:25" ht="26.4">
      <c r="A253" s="2">
        <v>1</v>
      </c>
      <c r="B253" s="42" t="s">
        <v>543</v>
      </c>
      <c r="C253" s="3">
        <v>126</v>
      </c>
      <c r="D253" s="3">
        <v>9</v>
      </c>
      <c r="E253" s="4">
        <v>43529</v>
      </c>
      <c r="F253" s="5" t="str">
        <f>HYPERLINK("https://gayahidup.republika.co.id/berita/gaya-hidup/travelling/pqwqmy459/anakanak-difabel-diajak-berwista-ke-jakarta-aquarium ","sumber")</f>
        <v>sumber</v>
      </c>
      <c r="G253" s="3" t="s">
        <v>1</v>
      </c>
      <c r="H253" s="7"/>
      <c r="I253" s="3">
        <v>3</v>
      </c>
      <c r="J253" s="3">
        <v>2</v>
      </c>
      <c r="K253" s="3" t="s">
        <v>544</v>
      </c>
      <c r="L253" s="3">
        <v>0</v>
      </c>
      <c r="M253" s="3">
        <v>0</v>
      </c>
      <c r="N253" s="16">
        <v>0</v>
      </c>
      <c r="O253" s="3">
        <v>0</v>
      </c>
      <c r="P253" s="3">
        <v>0</v>
      </c>
      <c r="Q253" s="3">
        <v>0</v>
      </c>
      <c r="R253" s="3">
        <v>0</v>
      </c>
      <c r="S253" s="7"/>
      <c r="T253" s="3">
        <v>0</v>
      </c>
      <c r="U253" s="3">
        <v>0</v>
      </c>
      <c r="V253" s="3">
        <v>0</v>
      </c>
      <c r="W253" s="7"/>
      <c r="X253" s="7"/>
      <c r="Y253" s="7"/>
    </row>
    <row r="254" spans="1:25" ht="14.4">
      <c r="A254" s="17">
        <v>2</v>
      </c>
      <c r="B254" s="17" t="s">
        <v>545</v>
      </c>
      <c r="C254" s="18">
        <v>127</v>
      </c>
      <c r="D254" s="18">
        <v>9</v>
      </c>
      <c r="E254" s="31">
        <v>43621</v>
      </c>
      <c r="F254" s="20" t="str">
        <f>HYPERLINK("https://nasional.republika.co.id/berita/nasional/politik/pr2oo7335/bpjs-ketenagakerjaan-sudah-santuni-30-kpps-yang-meninggal ","sumber")</f>
        <v>sumber</v>
      </c>
      <c r="G254" s="18" t="s">
        <v>1</v>
      </c>
      <c r="H254" s="19"/>
      <c r="I254" s="19"/>
      <c r="J254" s="18">
        <v>2</v>
      </c>
      <c r="K254" s="19"/>
      <c r="L254" s="19"/>
      <c r="M254" s="19"/>
      <c r="N254" s="19"/>
      <c r="O254" s="19"/>
      <c r="P254" s="19"/>
      <c r="Q254" s="19"/>
      <c r="R254" s="19"/>
      <c r="S254" s="19"/>
      <c r="T254" s="19"/>
      <c r="U254" s="19"/>
      <c r="V254" s="19"/>
      <c r="W254" s="19"/>
      <c r="X254" s="19"/>
      <c r="Y254" s="19"/>
    </row>
    <row r="255" spans="1:25" ht="14.4">
      <c r="A255" s="17">
        <v>2</v>
      </c>
      <c r="B255" s="17" t="s">
        <v>546</v>
      </c>
      <c r="C255" s="18">
        <v>128</v>
      </c>
      <c r="D255" s="18">
        <v>4</v>
      </c>
      <c r="E255" s="31">
        <v>43682</v>
      </c>
      <c r="F255" s="20" t="str">
        <f>HYPERLINK("https://www.liputan6.com/bola/read/3960350/lolos-ke-final-liga-champions-fans-liverpool-minta-bantuan-suporter-city ","sumber")</f>
        <v>sumber</v>
      </c>
      <c r="G255" s="18" t="s">
        <v>1</v>
      </c>
      <c r="H255" s="19"/>
      <c r="I255" s="19"/>
      <c r="J255" s="18">
        <v>2</v>
      </c>
      <c r="K255" s="19"/>
      <c r="L255" s="19"/>
      <c r="M255" s="19"/>
      <c r="N255" s="19"/>
      <c r="O255" s="19"/>
      <c r="P255" s="19"/>
      <c r="Q255" s="19"/>
      <c r="R255" s="19"/>
      <c r="S255" s="19"/>
      <c r="T255" s="19"/>
      <c r="U255" s="19"/>
      <c r="V255" s="19"/>
      <c r="W255" s="19"/>
      <c r="X255" s="19"/>
      <c r="Y255" s="19"/>
    </row>
    <row r="256" spans="1:25" ht="14.4">
      <c r="A256" s="17">
        <v>2</v>
      </c>
      <c r="B256" s="17" t="s">
        <v>547</v>
      </c>
      <c r="C256" s="18">
        <v>129</v>
      </c>
      <c r="D256" s="18">
        <v>9</v>
      </c>
      <c r="E256" s="31">
        <v>43682</v>
      </c>
      <c r="F256" s="20" t="str">
        <f>HYPERLINK("https://nasional.republika.co.id/berita/nasional/daerah/pr6olb291/pilkades-sleman-ltemgtevotingltemgt-pertama-di-diy ","sumber")</f>
        <v>sumber</v>
      </c>
      <c r="G256" s="18" t="s">
        <v>1</v>
      </c>
      <c r="H256" s="19"/>
      <c r="I256" s="19"/>
      <c r="J256" s="18">
        <v>2</v>
      </c>
      <c r="K256" s="19"/>
      <c r="L256" s="19"/>
      <c r="M256" s="19"/>
      <c r="N256" s="19"/>
      <c r="O256" s="19"/>
      <c r="P256" s="19"/>
      <c r="Q256" s="19"/>
      <c r="R256" s="19"/>
      <c r="S256" s="19"/>
      <c r="T256" s="19"/>
      <c r="U256" s="19"/>
      <c r="V256" s="19"/>
      <c r="W256" s="19"/>
      <c r="X256" s="19"/>
      <c r="Y256" s="19"/>
    </row>
    <row r="257" spans="1:25" ht="14.4">
      <c r="A257" s="10">
        <v>1</v>
      </c>
      <c r="B257" s="10" t="s">
        <v>548</v>
      </c>
      <c r="C257" s="11">
        <v>130</v>
      </c>
      <c r="D257" s="11">
        <v>4</v>
      </c>
      <c r="E257" s="11" t="s">
        <v>215</v>
      </c>
      <c r="F257" s="13" t="str">
        <f>HYPERLINK("https://hot.liputan6.com/read/3964962/bocah-ini-lukis-wajah-cristiano-ronaldo-pakai-kaki-hasilnya-mirip-banget ","sumber")</f>
        <v>sumber</v>
      </c>
      <c r="G257" s="11" t="s">
        <v>1</v>
      </c>
      <c r="H257" s="11">
        <v>287</v>
      </c>
      <c r="I257" s="11">
        <v>2</v>
      </c>
      <c r="J257" s="11">
        <v>2</v>
      </c>
      <c r="K257" s="11" t="s">
        <v>549</v>
      </c>
      <c r="L257" s="11">
        <v>0</v>
      </c>
      <c r="M257" s="11">
        <v>0</v>
      </c>
      <c r="N257" s="15">
        <v>0</v>
      </c>
      <c r="O257" s="11">
        <v>0</v>
      </c>
      <c r="P257" s="37">
        <v>-1</v>
      </c>
      <c r="Q257" s="11">
        <v>0</v>
      </c>
      <c r="R257" s="11">
        <v>0</v>
      </c>
      <c r="S257" s="11" t="s">
        <v>550</v>
      </c>
      <c r="T257" s="11">
        <v>1</v>
      </c>
      <c r="U257" s="11">
        <v>0</v>
      </c>
      <c r="V257" s="11">
        <v>0</v>
      </c>
      <c r="W257" s="14"/>
      <c r="X257" s="14"/>
      <c r="Y257" s="14"/>
    </row>
    <row r="258" spans="1:25" ht="39.6">
      <c r="A258" s="2">
        <v>1</v>
      </c>
      <c r="B258" s="2" t="s">
        <v>551</v>
      </c>
      <c r="C258" s="3">
        <v>131</v>
      </c>
      <c r="D258" s="3">
        <v>7</v>
      </c>
      <c r="E258" s="3" t="s">
        <v>200</v>
      </c>
      <c r="F258" s="5" t="str">
        <f>HYPERLINK("http://www.tribunnews.com/metropolitan/2019/05/14/jasad-istri-ditemukan-membusuk-bersama-adik-yang-tanpa-busana-sang-suami-bilangnya-pulang-kampung ","sumber")</f>
        <v>sumber</v>
      </c>
      <c r="G258" s="3" t="s">
        <v>1</v>
      </c>
      <c r="H258" s="3">
        <v>219</v>
      </c>
      <c r="I258" s="3">
        <v>1</v>
      </c>
      <c r="J258" s="3">
        <v>2</v>
      </c>
      <c r="K258" s="3" t="s">
        <v>552</v>
      </c>
      <c r="L258" s="3">
        <v>0</v>
      </c>
      <c r="M258" s="3">
        <v>0</v>
      </c>
      <c r="N258" s="16">
        <v>0</v>
      </c>
      <c r="O258" s="3">
        <v>0</v>
      </c>
      <c r="P258" s="3">
        <v>0</v>
      </c>
      <c r="Q258" s="3" t="s">
        <v>21</v>
      </c>
      <c r="R258" s="3" t="s">
        <v>21</v>
      </c>
      <c r="S258" s="3" t="s">
        <v>553</v>
      </c>
      <c r="T258" s="3">
        <v>1</v>
      </c>
      <c r="U258" s="3">
        <v>0</v>
      </c>
      <c r="V258" s="3">
        <v>0</v>
      </c>
      <c r="W258" s="7"/>
      <c r="X258" s="7"/>
      <c r="Y258" s="7"/>
    </row>
    <row r="259" spans="1:25" ht="14.4">
      <c r="A259" s="17">
        <v>2</v>
      </c>
      <c r="B259" s="17" t="s">
        <v>554</v>
      </c>
      <c r="C259" s="18">
        <v>132</v>
      </c>
      <c r="D259" s="18">
        <v>7</v>
      </c>
      <c r="E259" s="18" t="s">
        <v>358</v>
      </c>
      <c r="F259" s="20" t="str">
        <f>HYPERLINK("http://www.tribunnews.com/nasional/2019/05/19/koalisi-masyarakat-sipil-minta-jokowi-mempertimbangkan-rekam-jejak-pansel-calon-pimpinan-kpk ","sumber")</f>
        <v>sumber</v>
      </c>
      <c r="G259" s="18" t="s">
        <v>1</v>
      </c>
      <c r="H259" s="19"/>
      <c r="I259" s="19"/>
      <c r="J259" s="18">
        <v>2</v>
      </c>
      <c r="K259" s="19"/>
      <c r="L259" s="19"/>
      <c r="M259" s="19"/>
      <c r="N259" s="19"/>
      <c r="O259" s="19"/>
      <c r="P259" s="19"/>
      <c r="Q259" s="19"/>
      <c r="R259" s="19"/>
      <c r="S259" s="19"/>
      <c r="T259" s="19"/>
      <c r="U259" s="19"/>
      <c r="V259" s="19"/>
      <c r="W259" s="19"/>
      <c r="X259" s="19"/>
      <c r="Y259" s="19"/>
    </row>
    <row r="260" spans="1:25" ht="28.8">
      <c r="A260" s="17">
        <v>2</v>
      </c>
      <c r="B260" s="17" t="s">
        <v>555</v>
      </c>
      <c r="C260" s="18">
        <v>133</v>
      </c>
      <c r="D260" s="18">
        <v>10</v>
      </c>
      <c r="E260" s="18" t="s">
        <v>556</v>
      </c>
      <c r="F260" s="20" t="str">
        <f>HYPERLINK("https://gaya.tempo.co/read/1207867/kesalahan-penggunaan-pada-car-seat-ini-bisa-bahayakan-bayi ","sumber")</f>
        <v>sumber</v>
      </c>
      <c r="G260" s="18" t="s">
        <v>1</v>
      </c>
      <c r="H260" s="19"/>
      <c r="I260" s="19"/>
      <c r="J260" s="18">
        <v>2</v>
      </c>
      <c r="K260" s="19"/>
      <c r="L260" s="19"/>
      <c r="M260" s="19"/>
      <c r="N260" s="19"/>
      <c r="O260" s="19"/>
      <c r="P260" s="19"/>
      <c r="Q260" s="19"/>
      <c r="R260" s="19"/>
      <c r="S260" s="19"/>
      <c r="T260" s="19"/>
      <c r="U260" s="19"/>
      <c r="V260" s="19"/>
      <c r="W260" s="19"/>
      <c r="X260" s="19"/>
      <c r="Y260" s="19"/>
    </row>
    <row r="261" spans="1:25" ht="28.8">
      <c r="A261" s="17">
        <v>2</v>
      </c>
      <c r="B261" s="17" t="s">
        <v>557</v>
      </c>
      <c r="C261" s="18">
        <v>134</v>
      </c>
      <c r="D261" s="18">
        <v>2</v>
      </c>
      <c r="E261" s="18" t="s">
        <v>558</v>
      </c>
      <c r="F261" s="20" t="str">
        <f>HYPERLINK("https://www.cnnindonesia.com/nasional/20190523012333-20-397629/motor-wartawan-dibakar-massa-aksi-22-mei ","sumber")</f>
        <v>sumber</v>
      </c>
      <c r="G261" s="18" t="s">
        <v>1</v>
      </c>
      <c r="H261" s="19"/>
      <c r="I261" s="19"/>
      <c r="J261" s="18">
        <v>2</v>
      </c>
      <c r="K261" s="19"/>
      <c r="L261" s="19"/>
      <c r="M261" s="19"/>
      <c r="N261" s="19"/>
      <c r="O261" s="19"/>
      <c r="P261" s="19"/>
      <c r="Q261" s="19"/>
      <c r="R261" s="19"/>
      <c r="S261" s="19"/>
      <c r="T261" s="19"/>
      <c r="U261" s="19"/>
      <c r="V261" s="19"/>
      <c r="W261" s="19"/>
      <c r="X261" s="19"/>
      <c r="Y261" s="19"/>
    </row>
    <row r="262" spans="1:25" ht="26.4">
      <c r="A262" s="2">
        <v>1</v>
      </c>
      <c r="B262" s="2" t="s">
        <v>559</v>
      </c>
      <c r="C262" s="3">
        <v>135</v>
      </c>
      <c r="D262" s="3">
        <v>3</v>
      </c>
      <c r="E262" s="3" t="s">
        <v>205</v>
      </c>
      <c r="F262" s="5" t="str">
        <f>HYPERLINK(" https://celebrity.okezone.com/read/2019/05/20/206/2058185/transformasi-akshay-kumar-sebagai-transgender-dalam-laxmi-bomb ","sumber")</f>
        <v>sumber</v>
      </c>
      <c r="G262" s="3" t="s">
        <v>1</v>
      </c>
      <c r="H262" s="3">
        <v>332</v>
      </c>
      <c r="I262" s="3">
        <v>2</v>
      </c>
      <c r="J262" s="3">
        <v>3</v>
      </c>
      <c r="K262" s="3" t="s">
        <v>560</v>
      </c>
      <c r="L262" s="3">
        <v>0</v>
      </c>
      <c r="M262" s="3">
        <v>0</v>
      </c>
      <c r="N262" s="16">
        <v>0</v>
      </c>
      <c r="O262" s="3">
        <v>0</v>
      </c>
      <c r="P262" s="3">
        <v>0</v>
      </c>
      <c r="Q262" s="3" t="s">
        <v>29</v>
      </c>
      <c r="R262" s="3" t="s">
        <v>29</v>
      </c>
      <c r="S262" s="7"/>
      <c r="T262" s="3">
        <v>0</v>
      </c>
      <c r="U262" s="3">
        <v>0</v>
      </c>
      <c r="V262" s="3">
        <v>0</v>
      </c>
      <c r="W262" s="7"/>
      <c r="X262" s="7"/>
      <c r="Y262" s="7"/>
    </row>
    <row r="263" spans="1:25" ht="14.4">
      <c r="A263" s="17">
        <v>2</v>
      </c>
      <c r="B263" s="17" t="s">
        <v>561</v>
      </c>
      <c r="C263" s="18">
        <v>136</v>
      </c>
      <c r="D263" s="18">
        <v>5</v>
      </c>
      <c r="E263" s="18" t="s">
        <v>180</v>
      </c>
      <c r="F263" s="20" t="str">
        <f>HYPERLINK("https://tirto.id/ltmpt-usai-utbk-pendaftaran-sbmptn-2019-dimulai-10-24-juni-2019-d9ld ","sumber")</f>
        <v>sumber</v>
      </c>
      <c r="G263" s="18" t="s">
        <v>1</v>
      </c>
      <c r="H263" s="19"/>
      <c r="I263" s="19"/>
      <c r="J263" s="18">
        <v>2</v>
      </c>
      <c r="K263" s="19"/>
      <c r="L263" s="19"/>
      <c r="M263" s="19"/>
      <c r="N263" s="19"/>
      <c r="O263" s="19"/>
      <c r="P263" s="19"/>
      <c r="Q263" s="19"/>
      <c r="R263" s="19"/>
      <c r="S263" s="19"/>
      <c r="T263" s="19"/>
      <c r="U263" s="19"/>
      <c r="V263" s="19"/>
      <c r="W263" s="19"/>
      <c r="X263" s="19"/>
      <c r="Y263" s="19"/>
    </row>
    <row r="264" spans="1:25" ht="28.8">
      <c r="A264" s="10">
        <v>1</v>
      </c>
      <c r="B264" s="10" t="s">
        <v>562</v>
      </c>
      <c r="C264" s="11">
        <v>137</v>
      </c>
      <c r="D264" s="11">
        <v>2</v>
      </c>
      <c r="E264" s="12">
        <v>43652</v>
      </c>
      <c r="F264" s="13" t="str">
        <f>HYPERLINK("https://www.cnnindonesia.com/nasional/20190607215037-20-401695/atur-lalin-polisi-ditusuk-oleh-orang-tak-dikenal ","sumber")</f>
        <v>sumber</v>
      </c>
      <c r="G264" s="11" t="s">
        <v>1</v>
      </c>
      <c r="H264" s="11">
        <v>291</v>
      </c>
      <c r="I264" s="11">
        <v>1</v>
      </c>
      <c r="J264" s="11">
        <v>2</v>
      </c>
      <c r="K264" s="11" t="s">
        <v>563</v>
      </c>
      <c r="L264" s="11">
        <v>0</v>
      </c>
      <c r="M264" s="11">
        <v>-1</v>
      </c>
      <c r="N264" s="11">
        <v>-1</v>
      </c>
      <c r="O264" s="11">
        <v>0</v>
      </c>
      <c r="P264" s="11">
        <v>0</v>
      </c>
      <c r="Q264" s="11">
        <v>0</v>
      </c>
      <c r="R264" s="11">
        <v>0</v>
      </c>
      <c r="S264" s="11" t="s">
        <v>553</v>
      </c>
      <c r="T264" s="11">
        <v>1</v>
      </c>
      <c r="U264" s="11">
        <v>0</v>
      </c>
      <c r="V264" s="11">
        <v>0</v>
      </c>
      <c r="W264" s="14"/>
      <c r="X264" s="14"/>
      <c r="Y264" s="14"/>
    </row>
    <row r="265" spans="1:25" ht="39.6">
      <c r="A265" s="10">
        <v>1</v>
      </c>
      <c r="B265" s="10" t="s">
        <v>564</v>
      </c>
      <c r="C265" s="11">
        <v>138</v>
      </c>
      <c r="D265" s="11">
        <v>6</v>
      </c>
      <c r="E265" s="12">
        <v>43775</v>
      </c>
      <c r="F265" s="13" t="str">
        <f>HYPERLINK("https://megapolitan.kompas.com/read/2019/06/11/18181911/ditangkap-pelaku-vandalisme-di-masjid-diduga-alami-gangguan-jiwa ","sumber")</f>
        <v>sumber</v>
      </c>
      <c r="G265" s="11" t="s">
        <v>1</v>
      </c>
      <c r="H265" s="11">
        <v>293</v>
      </c>
      <c r="I265" s="11">
        <v>1</v>
      </c>
      <c r="J265" s="11">
        <v>2</v>
      </c>
      <c r="K265" s="11" t="s">
        <v>565</v>
      </c>
      <c r="L265" s="11">
        <v>0</v>
      </c>
      <c r="M265" s="11">
        <v>-1</v>
      </c>
      <c r="N265" s="15">
        <v>0</v>
      </c>
      <c r="O265" s="11">
        <v>0</v>
      </c>
      <c r="P265" s="11">
        <v>0</v>
      </c>
      <c r="Q265" s="11">
        <v>0</v>
      </c>
      <c r="R265" s="11">
        <v>0</v>
      </c>
      <c r="S265" s="11" t="s">
        <v>566</v>
      </c>
      <c r="T265" s="11">
        <v>2</v>
      </c>
      <c r="U265" s="11">
        <v>0</v>
      </c>
      <c r="V265" s="11">
        <v>0</v>
      </c>
      <c r="W265" s="14"/>
      <c r="X265" s="14"/>
      <c r="Y265" s="14"/>
    </row>
    <row r="266" spans="1:25" ht="28.8">
      <c r="A266" s="17">
        <v>2</v>
      </c>
      <c r="B266" s="17" t="s">
        <v>567</v>
      </c>
      <c r="C266" s="18">
        <v>139</v>
      </c>
      <c r="D266" s="18">
        <v>1</v>
      </c>
      <c r="E266" s="31">
        <v>43805</v>
      </c>
      <c r="F266" s="20" t="str">
        <f>HYPERLINK("https://sport.detik.com/sepakbola/liga-spanyol/d-4584147/barcelona-pasang-harga-tinggi-cillessen-sulit-pergi ","sumber")</f>
        <v>sumber</v>
      </c>
      <c r="G266" s="18" t="s">
        <v>1</v>
      </c>
      <c r="H266" s="19"/>
      <c r="I266" s="19"/>
      <c r="J266" s="18">
        <v>2</v>
      </c>
      <c r="K266" s="19"/>
      <c r="L266" s="19"/>
      <c r="M266" s="19"/>
      <c r="N266" s="19"/>
      <c r="O266" s="19"/>
      <c r="P266" s="19"/>
      <c r="Q266" s="19"/>
      <c r="R266" s="19"/>
      <c r="S266" s="19"/>
      <c r="T266" s="19"/>
      <c r="U266" s="19"/>
      <c r="V266" s="19"/>
      <c r="W266" s="19"/>
      <c r="X266" s="19"/>
      <c r="Y266" s="19"/>
    </row>
    <row r="267" spans="1:25" ht="28.8">
      <c r="A267" s="17">
        <v>2</v>
      </c>
      <c r="B267" s="17" t="s">
        <v>568</v>
      </c>
      <c r="C267" s="18">
        <v>140</v>
      </c>
      <c r="D267" s="18">
        <v>9</v>
      </c>
      <c r="E267" s="18" t="s">
        <v>388</v>
      </c>
      <c r="F267" s="20" t="str">
        <f>HYPERLINK("https://nasional.republika.co.id/berita/nasional/hukum/pt8rro384/yasonna-akui-petugas-lalai-dikelabui-setnov ","sumber")</f>
        <v>sumber</v>
      </c>
      <c r="G267" s="18" t="s">
        <v>1</v>
      </c>
      <c r="H267" s="19"/>
      <c r="I267" s="19"/>
      <c r="J267" s="18">
        <v>2</v>
      </c>
      <c r="K267" s="19"/>
      <c r="L267" s="19"/>
      <c r="M267" s="19"/>
      <c r="N267" s="19"/>
      <c r="O267" s="19"/>
      <c r="P267" s="19"/>
      <c r="Q267" s="19"/>
      <c r="R267" s="19"/>
      <c r="S267" s="19"/>
      <c r="T267" s="19"/>
      <c r="U267" s="19"/>
      <c r="V267" s="19"/>
      <c r="W267" s="19"/>
      <c r="X267" s="19"/>
      <c r="Y267" s="19"/>
    </row>
    <row r="268" spans="1:25" ht="28.8">
      <c r="A268" s="17">
        <v>2</v>
      </c>
      <c r="B268" s="17" t="s">
        <v>569</v>
      </c>
      <c r="C268" s="18">
        <v>141</v>
      </c>
      <c r="D268" s="18">
        <v>8</v>
      </c>
      <c r="E268" s="18" t="s">
        <v>388</v>
      </c>
      <c r="F268" s="20" t="str">
        <f>HYPERLINK("https://www.suara.com/health/2019/06/17/081000/liputan-khas-ilmuwan-beberkan-bahaya-tersembunyi-polusi-udara ","sumber")</f>
        <v>sumber</v>
      </c>
      <c r="G268" s="18" t="s">
        <v>1</v>
      </c>
      <c r="H268" s="19"/>
      <c r="I268" s="19"/>
      <c r="J268" s="18">
        <v>2</v>
      </c>
      <c r="K268" s="19"/>
      <c r="L268" s="19"/>
      <c r="M268" s="19"/>
      <c r="N268" s="19"/>
      <c r="O268" s="19"/>
      <c r="P268" s="19"/>
      <c r="Q268" s="19"/>
      <c r="R268" s="19"/>
      <c r="S268" s="19"/>
      <c r="T268" s="19"/>
      <c r="U268" s="19"/>
      <c r="V268" s="19"/>
      <c r="W268" s="19"/>
      <c r="X268" s="19"/>
      <c r="Y268" s="19"/>
    </row>
    <row r="269" spans="1:25" ht="14.4">
      <c r="A269" s="17">
        <v>2</v>
      </c>
      <c r="B269" s="17" t="s">
        <v>570</v>
      </c>
      <c r="C269" s="18">
        <v>142</v>
      </c>
      <c r="D269" s="18">
        <v>5</v>
      </c>
      <c r="E269" s="18" t="s">
        <v>388</v>
      </c>
      <c r="F269" s="20" t="str">
        <f>HYPERLINK("https://tirto.id/ruu-ekstradisi-cina-ribuan-orang-ikut-demonstrasi-di-hong-kong-ecwa ","sumber")</f>
        <v>sumber</v>
      </c>
      <c r="G269" s="18" t="s">
        <v>1</v>
      </c>
      <c r="H269" s="19"/>
      <c r="I269" s="19"/>
      <c r="J269" s="18">
        <v>2</v>
      </c>
      <c r="K269" s="19"/>
      <c r="L269" s="19"/>
      <c r="M269" s="19"/>
      <c r="N269" s="19"/>
      <c r="O269" s="19"/>
      <c r="P269" s="19"/>
      <c r="Q269" s="19"/>
      <c r="R269" s="19"/>
      <c r="S269" s="19"/>
      <c r="T269" s="19"/>
      <c r="U269" s="19"/>
      <c r="V269" s="19"/>
      <c r="W269" s="19"/>
      <c r="X269" s="19"/>
      <c r="Y269" s="19"/>
    </row>
    <row r="270" spans="1:25" ht="14.4">
      <c r="A270" s="17">
        <v>2</v>
      </c>
      <c r="B270" s="17" t="s">
        <v>571</v>
      </c>
      <c r="C270" s="18">
        <v>143</v>
      </c>
      <c r="D270" s="18">
        <v>7</v>
      </c>
      <c r="E270" s="18" t="s">
        <v>388</v>
      </c>
      <c r="F270" s="20" t="str">
        <f>HYPERLINK("http://www.tribunnews.com/nasional/2019/06/17/setya-novanto-huni-kamar-nomor-14-di-rutan-gunung-sindur-begini-pengamanannya-menurut-karutan ","sumber")</f>
        <v>sumber</v>
      </c>
      <c r="G270" s="18" t="s">
        <v>1</v>
      </c>
      <c r="H270" s="19"/>
      <c r="I270" s="19"/>
      <c r="J270" s="18">
        <v>2</v>
      </c>
      <c r="K270" s="19"/>
      <c r="L270" s="19"/>
      <c r="M270" s="19"/>
      <c r="N270" s="19"/>
      <c r="O270" s="19"/>
      <c r="P270" s="19"/>
      <c r="Q270" s="19"/>
      <c r="R270" s="19"/>
      <c r="S270" s="19"/>
      <c r="T270" s="19"/>
      <c r="U270" s="19"/>
      <c r="V270" s="19"/>
      <c r="W270" s="19"/>
      <c r="X270" s="19"/>
      <c r="Y270" s="19"/>
    </row>
    <row r="271" spans="1:25" ht="28.8">
      <c r="A271" s="2">
        <v>1</v>
      </c>
      <c r="B271" s="2" t="s">
        <v>572</v>
      </c>
      <c r="C271" s="3">
        <v>144</v>
      </c>
      <c r="D271" s="3">
        <v>8</v>
      </c>
      <c r="E271" s="4">
        <v>43775</v>
      </c>
      <c r="F271" s="5" t="str">
        <f>HYPERLINK("https://www.suara.com/health/2019/06/11/153500/tim-peneliti-sebut-wanita-dengan-pcos-lebih-berisiko-melahirkan-anak-autis ","sumber")</f>
        <v>sumber</v>
      </c>
      <c r="G271" s="3" t="s">
        <v>1</v>
      </c>
      <c r="H271" s="3">
        <v>227</v>
      </c>
      <c r="I271" s="3">
        <v>5</v>
      </c>
      <c r="J271" s="3">
        <v>2</v>
      </c>
      <c r="K271" s="3" t="s">
        <v>573</v>
      </c>
      <c r="L271" s="3">
        <v>0</v>
      </c>
      <c r="M271" s="3">
        <v>0</v>
      </c>
      <c r="N271" s="16">
        <v>0</v>
      </c>
      <c r="O271" s="3">
        <v>0</v>
      </c>
      <c r="P271" s="3">
        <v>0</v>
      </c>
      <c r="Q271" s="3">
        <v>0</v>
      </c>
      <c r="R271" s="3">
        <v>0</v>
      </c>
      <c r="S271" s="7"/>
      <c r="T271" s="3">
        <v>0</v>
      </c>
      <c r="U271" s="3">
        <v>0</v>
      </c>
      <c r="V271" s="3">
        <v>0</v>
      </c>
      <c r="W271" s="7"/>
      <c r="X271" s="7"/>
      <c r="Y271" s="7"/>
    </row>
    <row r="272" spans="1:25" ht="28.8">
      <c r="A272" s="10">
        <v>1</v>
      </c>
      <c r="B272" s="10" t="s">
        <v>574</v>
      </c>
      <c r="C272" s="11">
        <v>145</v>
      </c>
      <c r="D272" s="11">
        <v>8</v>
      </c>
      <c r="E272" s="11" t="s">
        <v>575</v>
      </c>
      <c r="F272" s="13" t="str">
        <f>HYPERLINK("https://jatim.suara.com/read/2019/06/19/072916/ayah-setahun-hilang-misterius-polisi-temukan-gundukan-aneh-di-rumah-anak ","sumber")</f>
        <v>sumber</v>
      </c>
      <c r="G272" s="11" t="s">
        <v>1</v>
      </c>
      <c r="H272" s="11">
        <v>218</v>
      </c>
      <c r="I272" s="11">
        <v>1</v>
      </c>
      <c r="J272" s="11">
        <v>2</v>
      </c>
      <c r="K272" s="11" t="s">
        <v>576</v>
      </c>
      <c r="L272" s="11">
        <v>0</v>
      </c>
      <c r="M272" s="11">
        <v>-1</v>
      </c>
      <c r="N272" s="15">
        <v>0</v>
      </c>
      <c r="O272" s="11">
        <v>0</v>
      </c>
      <c r="P272" s="11">
        <v>0</v>
      </c>
      <c r="Q272" s="11">
        <v>0</v>
      </c>
      <c r="R272" s="11">
        <v>0</v>
      </c>
      <c r="S272" s="11" t="s">
        <v>468</v>
      </c>
      <c r="T272" s="11">
        <v>1</v>
      </c>
      <c r="U272" s="11">
        <v>0</v>
      </c>
      <c r="V272" s="11">
        <v>0</v>
      </c>
      <c r="W272" s="14"/>
      <c r="X272" s="14"/>
      <c r="Y272" s="14"/>
    </row>
    <row r="273" spans="1:25" ht="28.8">
      <c r="A273" s="17">
        <v>2</v>
      </c>
      <c r="B273" s="17" t="s">
        <v>577</v>
      </c>
      <c r="C273" s="18">
        <v>146</v>
      </c>
      <c r="D273" s="18">
        <v>9</v>
      </c>
      <c r="E273" s="18" t="s">
        <v>220</v>
      </c>
      <c r="F273" s="20" t="str">
        <f>HYPERLINK("https://senggang.republika.co.id/berita/senggang/film/ptf73x459/ltemgttoy-story-4ltemgt-perjalanan-woody-dan-teman-baru ","sumber")</f>
        <v>sumber</v>
      </c>
      <c r="G273" s="18" t="s">
        <v>1</v>
      </c>
      <c r="H273" s="19"/>
      <c r="I273" s="19"/>
      <c r="J273" s="18">
        <v>2</v>
      </c>
      <c r="K273" s="19"/>
      <c r="L273" s="19"/>
      <c r="M273" s="19"/>
      <c r="N273" s="19"/>
      <c r="O273" s="19"/>
      <c r="P273" s="19"/>
      <c r="Q273" s="19"/>
      <c r="R273" s="19"/>
      <c r="S273" s="19"/>
      <c r="T273" s="19"/>
      <c r="U273" s="19"/>
      <c r="V273" s="19"/>
      <c r="W273" s="19"/>
      <c r="X273" s="19"/>
      <c r="Y273" s="19"/>
    </row>
    <row r="274" spans="1:25" ht="14.4">
      <c r="A274" s="17">
        <v>2</v>
      </c>
      <c r="B274" s="17" t="s">
        <v>578</v>
      </c>
      <c r="C274" s="18">
        <v>147</v>
      </c>
      <c r="D274" s="18">
        <v>7</v>
      </c>
      <c r="E274" s="18" t="s">
        <v>220</v>
      </c>
      <c r="F274" s="20" t="str">
        <f>HYPERLINK("http://www.tribunnews.com/regional/2019/06/21/dua-orang-di-sikka-tewas-digigit-anjing-gila ","sumber")</f>
        <v>sumber</v>
      </c>
      <c r="G274" s="18" t="s">
        <v>1</v>
      </c>
      <c r="H274" s="19"/>
      <c r="I274" s="19"/>
      <c r="J274" s="18">
        <v>2</v>
      </c>
      <c r="K274" s="19"/>
      <c r="L274" s="19"/>
      <c r="M274" s="19"/>
      <c r="N274" s="19"/>
      <c r="O274" s="19"/>
      <c r="P274" s="19"/>
      <c r="Q274" s="19"/>
      <c r="R274" s="19"/>
      <c r="S274" s="19"/>
      <c r="T274" s="19"/>
      <c r="U274" s="19"/>
      <c r="V274" s="19"/>
      <c r="W274" s="19"/>
      <c r="X274" s="19"/>
      <c r="Y274" s="19"/>
    </row>
    <row r="275" spans="1:25" ht="28.8">
      <c r="A275" s="2">
        <v>1</v>
      </c>
      <c r="B275" s="2" t="s">
        <v>579</v>
      </c>
      <c r="C275" s="3">
        <v>148</v>
      </c>
      <c r="D275" s="3">
        <v>9</v>
      </c>
      <c r="E275" s="4">
        <v>43683</v>
      </c>
      <c r="F275" s="5" t="str">
        <f>HYPERLINK("https://nasional.republika.co.id/berita/nasional/daerah/psr76r383/polisi-bekuk-pelaku-penusukan-personel-pengamanan-lebaran ","sumber")</f>
        <v>sumber</v>
      </c>
      <c r="G275" s="3" t="s">
        <v>1</v>
      </c>
      <c r="H275" s="3">
        <v>293</v>
      </c>
      <c r="I275" s="3">
        <v>1</v>
      </c>
      <c r="J275" s="3">
        <v>2</v>
      </c>
      <c r="K275" s="3" t="s">
        <v>580</v>
      </c>
      <c r="L275" s="3">
        <v>0</v>
      </c>
      <c r="M275" s="3">
        <v>0</v>
      </c>
      <c r="N275" s="16">
        <v>0</v>
      </c>
      <c r="O275" s="3">
        <v>0</v>
      </c>
      <c r="P275" s="3">
        <v>0</v>
      </c>
      <c r="Q275" s="3">
        <v>0</v>
      </c>
      <c r="R275" s="3">
        <v>0</v>
      </c>
      <c r="S275" s="3" t="s">
        <v>553</v>
      </c>
      <c r="T275" s="3">
        <v>1</v>
      </c>
      <c r="U275" s="3">
        <v>0</v>
      </c>
      <c r="V275" s="3">
        <v>0</v>
      </c>
      <c r="W275" s="7"/>
      <c r="X275" s="7"/>
      <c r="Y275" s="7"/>
    </row>
    <row r="276" spans="1:25" ht="28.8">
      <c r="A276" s="17">
        <v>2</v>
      </c>
      <c r="B276" s="17" t="s">
        <v>581</v>
      </c>
      <c r="C276" s="18">
        <v>149</v>
      </c>
      <c r="D276" s="18">
        <v>8</v>
      </c>
      <c r="E276" s="18" t="s">
        <v>238</v>
      </c>
      <c r="F276" s="20" t="str">
        <f>HYPERLINK("https://www.suara.com/health/2019/06/23/182900/haru-ayah-bikin-tato-mirip-bekas-luka-operasi-jantung-anaknya ","sumber")</f>
        <v>sumber</v>
      </c>
      <c r="G276" s="18" t="s">
        <v>1</v>
      </c>
      <c r="H276" s="19"/>
      <c r="I276" s="19"/>
      <c r="J276" s="18">
        <v>2</v>
      </c>
      <c r="K276" s="19"/>
      <c r="L276" s="19"/>
      <c r="M276" s="19"/>
      <c r="N276" s="19"/>
      <c r="O276" s="19"/>
      <c r="P276" s="19"/>
      <c r="Q276" s="19"/>
      <c r="R276" s="19"/>
      <c r="S276" s="19"/>
      <c r="T276" s="19"/>
      <c r="U276" s="19"/>
      <c r="V276" s="19"/>
      <c r="W276" s="19"/>
      <c r="X276" s="19"/>
      <c r="Y276" s="19"/>
    </row>
    <row r="277" spans="1:25" ht="28.8">
      <c r="A277" s="17">
        <v>2</v>
      </c>
      <c r="B277" s="17" t="s">
        <v>582</v>
      </c>
      <c r="C277" s="18">
        <v>150</v>
      </c>
      <c r="D277" s="18">
        <v>2</v>
      </c>
      <c r="E277" s="18" t="s">
        <v>238</v>
      </c>
      <c r="F277" s="20" t="str">
        <f>HYPERLINK("https://www.cnnindonesia.com/nasional/20190625170721-12-406320/komnas-ham-sebut-masih-banyak-praktik-penyiksaan-di-penjara ","sumber")</f>
        <v>sumber</v>
      </c>
      <c r="G277" s="18" t="s">
        <v>1</v>
      </c>
      <c r="H277" s="19"/>
      <c r="I277" s="19"/>
      <c r="J277" s="18">
        <v>2</v>
      </c>
      <c r="K277" s="19"/>
      <c r="L277" s="19"/>
      <c r="M277" s="19"/>
      <c r="N277" s="19"/>
      <c r="O277" s="19"/>
      <c r="P277" s="19"/>
      <c r="Q277" s="19"/>
      <c r="R277" s="19"/>
      <c r="S277" s="19"/>
      <c r="T277" s="19"/>
      <c r="U277" s="19"/>
      <c r="V277" s="19"/>
      <c r="W277" s="19"/>
      <c r="X277" s="19"/>
      <c r="Y277" s="19"/>
    </row>
    <row r="278" spans="1:25" ht="28.8">
      <c r="A278" s="17">
        <v>2</v>
      </c>
      <c r="B278" s="17" t="s">
        <v>583</v>
      </c>
      <c r="C278" s="18">
        <v>151</v>
      </c>
      <c r="D278" s="18">
        <v>6</v>
      </c>
      <c r="E278" s="18" t="s">
        <v>584</v>
      </c>
      <c r="F278" s="20" t="str">
        <f>HYPERLINK("https://bola.kompas.com/read/2019/06/27/17400058/copa-america-saksi-evolusi-arthur-melo-di-lini-tengah-timnas-brasil ","sumber")</f>
        <v>sumber</v>
      </c>
      <c r="G278" s="18" t="s">
        <v>1</v>
      </c>
      <c r="H278" s="19"/>
      <c r="I278" s="19"/>
      <c r="J278" s="18">
        <v>2</v>
      </c>
      <c r="K278" s="19"/>
      <c r="L278" s="19"/>
      <c r="M278" s="19"/>
      <c r="N278" s="19"/>
      <c r="O278" s="19"/>
      <c r="P278" s="19"/>
      <c r="Q278" s="19"/>
      <c r="R278" s="19"/>
      <c r="S278" s="19"/>
      <c r="T278" s="19"/>
      <c r="U278" s="19"/>
      <c r="V278" s="19"/>
      <c r="W278" s="19"/>
      <c r="X278" s="19"/>
      <c r="Y278" s="19"/>
    </row>
    <row r="279" spans="1:25" ht="26.4">
      <c r="A279" s="10">
        <v>1</v>
      </c>
      <c r="B279" s="10" t="s">
        <v>585</v>
      </c>
      <c r="C279" s="11">
        <v>152</v>
      </c>
      <c r="D279" s="11">
        <v>7</v>
      </c>
      <c r="E279" s="11" t="s">
        <v>584</v>
      </c>
      <c r="F279" s="13" t="str">
        <f>HYPERLINK("http://www.tribunnews.com/regional/2019/06/27/ayah-aniaya-anaknya-berusia-2-tahun-hingga-tewas-pukul-pakai-kayu-lukai-polisi-saat-ditangkap ","sumber")</f>
        <v>sumber</v>
      </c>
      <c r="G279" s="11" t="s">
        <v>1</v>
      </c>
      <c r="H279" s="11">
        <v>168</v>
      </c>
      <c r="I279" s="11">
        <v>1</v>
      </c>
      <c r="J279" s="11">
        <v>2</v>
      </c>
      <c r="K279" s="11" t="s">
        <v>586</v>
      </c>
      <c r="L279" s="11">
        <v>0</v>
      </c>
      <c r="M279" s="11">
        <v>-1</v>
      </c>
      <c r="N279" s="15">
        <v>0</v>
      </c>
      <c r="O279" s="11">
        <v>0</v>
      </c>
      <c r="P279" s="11">
        <v>0</v>
      </c>
      <c r="Q279" s="11" t="s">
        <v>29</v>
      </c>
      <c r="R279" s="11" t="s">
        <v>29</v>
      </c>
      <c r="S279" s="11" t="s">
        <v>468</v>
      </c>
      <c r="T279" s="11">
        <v>1</v>
      </c>
      <c r="U279" s="11">
        <v>0</v>
      </c>
      <c r="V279" s="11">
        <v>0</v>
      </c>
      <c r="W279" s="14"/>
      <c r="X279" s="14"/>
      <c r="Y279" s="14"/>
    </row>
    <row r="280" spans="1:25" ht="14.4">
      <c r="A280" s="17">
        <v>2</v>
      </c>
      <c r="B280" s="17" t="s">
        <v>587</v>
      </c>
      <c r="C280" s="18">
        <v>153</v>
      </c>
      <c r="D280" s="18">
        <v>5</v>
      </c>
      <c r="E280" s="18" t="s">
        <v>241</v>
      </c>
      <c r="F280" s="20" t="str">
        <f>HYPERLINK("https://tirto.id/laporan-keuangan-cacat-garuda-dinilai-ojk-masih-merugi-saat-2018-edgB ","sumber")</f>
        <v>sumber</v>
      </c>
      <c r="G280" s="18" t="s">
        <v>1</v>
      </c>
      <c r="H280" s="19"/>
      <c r="I280" s="19"/>
      <c r="J280" s="18">
        <v>2</v>
      </c>
      <c r="K280" s="19"/>
      <c r="L280" s="19"/>
      <c r="M280" s="19"/>
      <c r="N280" s="19"/>
      <c r="O280" s="19"/>
      <c r="P280" s="19"/>
      <c r="Q280" s="19"/>
      <c r="R280" s="19"/>
      <c r="S280" s="19"/>
      <c r="T280" s="19"/>
      <c r="U280" s="19"/>
      <c r="V280" s="19"/>
      <c r="W280" s="19"/>
      <c r="X280" s="19"/>
      <c r="Y280" s="19"/>
    </row>
    <row r="281" spans="1:25" ht="28.8">
      <c r="A281" s="17">
        <v>2</v>
      </c>
      <c r="B281" s="17" t="s">
        <v>588</v>
      </c>
      <c r="C281" s="18">
        <v>154</v>
      </c>
      <c r="D281" s="18">
        <v>10</v>
      </c>
      <c r="E281" s="18" t="s">
        <v>589</v>
      </c>
      <c r="F281" s="20" t="str">
        <f>HYPERLINK("https://dunia.tempo.co/read/1219790/festival-yulin-di-cina-saat-jutaan-anjing-dikonsumsi ","sumber")</f>
        <v>sumber</v>
      </c>
      <c r="G281" s="18" t="s">
        <v>1</v>
      </c>
      <c r="H281" s="19"/>
      <c r="I281" s="19"/>
      <c r="J281" s="18">
        <v>2</v>
      </c>
      <c r="K281" s="19"/>
      <c r="L281" s="19"/>
      <c r="M281" s="19"/>
      <c r="N281" s="19"/>
      <c r="O281" s="19"/>
      <c r="P281" s="19"/>
      <c r="Q281" s="19"/>
      <c r="R281" s="19"/>
      <c r="S281" s="19"/>
      <c r="T281" s="19"/>
      <c r="U281" s="19"/>
      <c r="V281" s="19"/>
      <c r="W281" s="19"/>
      <c r="X281" s="19"/>
      <c r="Y281" s="19"/>
    </row>
    <row r="282" spans="1:25" ht="39.6">
      <c r="A282" s="36">
        <v>1</v>
      </c>
      <c r="B282" s="36" t="s">
        <v>590</v>
      </c>
      <c r="C282" s="37">
        <v>155</v>
      </c>
      <c r="D282" s="37">
        <v>10</v>
      </c>
      <c r="E282" s="38">
        <v>43472</v>
      </c>
      <c r="F282" s="39" t="str">
        <f>HYPERLINK("https://metro.tempo.co/read/1220184/rs-polri-sebut-tim-dokter-periksa-wanita-bawa-anjing-masuk-masjid ","sumber")</f>
        <v>sumber</v>
      </c>
      <c r="G282" s="37" t="s">
        <v>1</v>
      </c>
      <c r="H282" s="37">
        <v>353</v>
      </c>
      <c r="I282" s="37">
        <v>1</v>
      </c>
      <c r="J282" s="37">
        <v>2</v>
      </c>
      <c r="K282" s="37" t="s">
        <v>591</v>
      </c>
      <c r="L282" s="37">
        <v>0</v>
      </c>
      <c r="M282" s="37">
        <v>-1</v>
      </c>
      <c r="N282" s="43">
        <v>0</v>
      </c>
      <c r="O282" s="37">
        <v>0</v>
      </c>
      <c r="P282" s="37">
        <v>0</v>
      </c>
      <c r="Q282" s="37" t="s">
        <v>29</v>
      </c>
      <c r="R282" s="37" t="s">
        <v>53</v>
      </c>
      <c r="S282" s="37" t="s">
        <v>592</v>
      </c>
      <c r="T282" s="37">
        <v>1</v>
      </c>
      <c r="U282" s="37">
        <v>0</v>
      </c>
      <c r="V282" s="37">
        <v>0</v>
      </c>
      <c r="W282" s="40"/>
      <c r="X282" s="40"/>
      <c r="Y282" s="40"/>
    </row>
    <row r="283" spans="1:25" ht="52.8">
      <c r="A283" s="10">
        <v>1</v>
      </c>
      <c r="B283" s="10" t="s">
        <v>593</v>
      </c>
      <c r="C283" s="11">
        <v>156</v>
      </c>
      <c r="D283" s="11">
        <v>6</v>
      </c>
      <c r="E283" s="12">
        <v>43503</v>
      </c>
      <c r="F283" s="13" t="str">
        <f>HYPERLINK("https://internasional.kompas.com/read/2019/07/02/15150021/sebut-lift-di-istana-osaka-kesalahan-besar-pm-jepang-dikritik ","sumber")</f>
        <v>sumber</v>
      </c>
      <c r="G283" s="11" t="s">
        <v>1</v>
      </c>
      <c r="H283" s="14"/>
      <c r="I283" s="11">
        <v>1</v>
      </c>
      <c r="J283" s="11">
        <v>2</v>
      </c>
      <c r="K283" s="11" t="s">
        <v>594</v>
      </c>
      <c r="L283" s="11">
        <v>0</v>
      </c>
      <c r="M283" s="11">
        <v>0</v>
      </c>
      <c r="N283" s="15">
        <v>0</v>
      </c>
      <c r="O283" s="11">
        <v>0</v>
      </c>
      <c r="P283" s="11">
        <v>0</v>
      </c>
      <c r="Q283" s="11" t="s">
        <v>595</v>
      </c>
      <c r="R283" s="11" t="s">
        <v>596</v>
      </c>
      <c r="S283" s="14"/>
      <c r="T283" s="11">
        <v>0</v>
      </c>
      <c r="U283" s="11">
        <v>0</v>
      </c>
      <c r="V283" s="11">
        <v>0</v>
      </c>
      <c r="W283" s="14"/>
      <c r="X283" s="14"/>
      <c r="Y283" s="14"/>
    </row>
    <row r="284" spans="1:25" ht="52.8">
      <c r="A284" s="10">
        <v>1</v>
      </c>
      <c r="B284" s="10" t="s">
        <v>597</v>
      </c>
      <c r="C284" s="11">
        <v>157</v>
      </c>
      <c r="D284" s="11">
        <v>7</v>
      </c>
      <c r="E284" s="12">
        <v>43531</v>
      </c>
      <c r="F284" s="13" t="str">
        <f>HYPERLINK("http://www.tribunnews.com/regional/2019/07/03/wanita-bawa-anjing-ke-masjid-positif-skizofrenia-dan-tetap-diproses-hukum ","sumber")</f>
        <v>sumber</v>
      </c>
      <c r="G284" s="11" t="s">
        <v>1</v>
      </c>
      <c r="H284" s="11">
        <v>186</v>
      </c>
      <c r="I284" s="11">
        <v>1</v>
      </c>
      <c r="J284" s="11">
        <v>2</v>
      </c>
      <c r="K284" s="11" t="s">
        <v>598</v>
      </c>
      <c r="L284" s="11">
        <v>0</v>
      </c>
      <c r="M284" s="11">
        <v>-1</v>
      </c>
      <c r="N284" s="15">
        <v>0</v>
      </c>
      <c r="O284" s="11">
        <v>0</v>
      </c>
      <c r="P284" s="11">
        <v>0</v>
      </c>
      <c r="Q284" s="11" t="s">
        <v>57</v>
      </c>
      <c r="R284" s="11" t="s">
        <v>599</v>
      </c>
      <c r="S284" s="11" t="s">
        <v>600</v>
      </c>
      <c r="T284" s="11">
        <v>2</v>
      </c>
      <c r="U284" s="11">
        <v>0</v>
      </c>
      <c r="V284" s="11">
        <v>0</v>
      </c>
      <c r="W284" s="14"/>
      <c r="X284" s="14"/>
      <c r="Y284" s="14"/>
    </row>
    <row r="285" spans="1:25" ht="28.8">
      <c r="A285" s="17">
        <v>2</v>
      </c>
      <c r="B285" s="17" t="s">
        <v>601</v>
      </c>
      <c r="C285" s="18">
        <v>158</v>
      </c>
      <c r="D285" s="18">
        <v>6</v>
      </c>
      <c r="E285" s="31">
        <v>43562</v>
      </c>
      <c r="F285" s="20" t="str">
        <f>HYPERLINK("https://megapolitan.kompas.com/read/2019/07/04/06443011/populer-megapolitan-jasad-anjing-jadi-barang-bukti-kasus-sm-i-pembacok ","sumber")</f>
        <v>sumber</v>
      </c>
      <c r="G285" s="18" t="s">
        <v>1</v>
      </c>
      <c r="H285" s="18"/>
      <c r="I285" s="18">
        <v>1</v>
      </c>
      <c r="J285" s="18">
        <v>2</v>
      </c>
      <c r="K285" s="18"/>
      <c r="L285" s="19"/>
      <c r="M285" s="19"/>
      <c r="N285" s="19"/>
      <c r="O285" s="19"/>
      <c r="P285" s="19"/>
      <c r="Q285" s="19"/>
      <c r="R285" s="19"/>
      <c r="S285" s="19"/>
      <c r="T285" s="19"/>
      <c r="U285" s="19"/>
      <c r="V285" s="19"/>
      <c r="W285" s="19"/>
      <c r="X285" s="19"/>
      <c r="Y285" s="19"/>
    </row>
    <row r="286" spans="1:25" ht="28.8">
      <c r="A286" s="17">
        <v>2</v>
      </c>
      <c r="B286" s="17" t="s">
        <v>602</v>
      </c>
      <c r="C286" s="18">
        <v>159</v>
      </c>
      <c r="D286" s="18">
        <v>3</v>
      </c>
      <c r="E286" s="31">
        <v>43592</v>
      </c>
      <c r="F286" s="20" t="str">
        <f>HYPERLINK("https://lifestyle.okezone.com/read/2019/07/05/481/2074965/kenapa-sih-menguap-itu-menular-tanda-tanda-penyakit-kah ","sumber")</f>
        <v>sumber</v>
      </c>
      <c r="G286" s="18" t="s">
        <v>1</v>
      </c>
      <c r="H286" s="19"/>
      <c r="I286" s="19"/>
      <c r="J286" s="18">
        <v>2</v>
      </c>
      <c r="K286" s="19"/>
      <c r="L286" s="19"/>
      <c r="M286" s="19"/>
      <c r="N286" s="19"/>
      <c r="O286" s="19"/>
      <c r="P286" s="19"/>
      <c r="Q286" s="19"/>
      <c r="R286" s="19"/>
      <c r="S286" s="19"/>
      <c r="T286" s="19"/>
      <c r="U286" s="19"/>
      <c r="V286" s="19"/>
      <c r="W286" s="19"/>
      <c r="X286" s="19"/>
      <c r="Y286" s="19"/>
    </row>
    <row r="287" spans="1:25" ht="14.4">
      <c r="A287" s="2">
        <v>1</v>
      </c>
      <c r="B287" s="2" t="s">
        <v>603</v>
      </c>
      <c r="C287" s="3">
        <v>160</v>
      </c>
      <c r="D287" s="3">
        <v>5</v>
      </c>
      <c r="E287" s="4">
        <v>43806</v>
      </c>
      <c r="F287" s="5" t="str">
        <f>HYPERLINK(" https://tirto.id/penyerang-sopir-bus-di-cipali-dipastikan-sakit-jiwa-berpotensi-sp3-ed9M ","sumber")</f>
        <v>sumber</v>
      </c>
      <c r="G287" s="3" t="s">
        <v>1</v>
      </c>
      <c r="H287" s="3">
        <v>302</v>
      </c>
      <c r="I287" s="3">
        <v>1</v>
      </c>
      <c r="J287" s="3">
        <v>2</v>
      </c>
      <c r="K287" s="3" t="s">
        <v>604</v>
      </c>
      <c r="L287" s="3">
        <v>0</v>
      </c>
      <c r="M287" s="3">
        <v>0</v>
      </c>
      <c r="N287" s="16">
        <v>0</v>
      </c>
      <c r="O287" s="3">
        <v>0</v>
      </c>
      <c r="P287" s="3">
        <v>0</v>
      </c>
      <c r="Q287" s="3">
        <v>0</v>
      </c>
      <c r="R287" s="3">
        <v>0</v>
      </c>
      <c r="S287" s="3" t="s">
        <v>605</v>
      </c>
      <c r="T287" s="3">
        <v>1</v>
      </c>
      <c r="U287" s="3">
        <v>0</v>
      </c>
      <c r="V287" s="3">
        <v>0</v>
      </c>
      <c r="W287" s="7"/>
      <c r="X287" s="7"/>
      <c r="Y287" s="7"/>
    </row>
    <row r="288" spans="1:25" ht="28.8">
      <c r="A288" s="17">
        <v>2</v>
      </c>
      <c r="B288" s="17" t="s">
        <v>606</v>
      </c>
      <c r="C288" s="18">
        <v>161</v>
      </c>
      <c r="D288" s="18">
        <v>3</v>
      </c>
      <c r="E288" s="31">
        <v>43653</v>
      </c>
      <c r="F288" s="20" t="str">
        <f>HYPERLINK("https://lifestyle.okezone.com/read/2019/07/06/196/2075541/makna-one-night-stand-menurut-anak-milenial-selalu-negatif ","sumber")</f>
        <v>sumber</v>
      </c>
      <c r="G288" s="18" t="s">
        <v>1</v>
      </c>
      <c r="H288" s="19"/>
      <c r="I288" s="19"/>
      <c r="J288" s="18">
        <v>2</v>
      </c>
      <c r="K288" s="19"/>
      <c r="L288" s="19"/>
      <c r="M288" s="19"/>
      <c r="N288" s="19"/>
      <c r="O288" s="19"/>
      <c r="P288" s="19"/>
      <c r="Q288" s="19"/>
      <c r="R288" s="19"/>
      <c r="S288" s="19"/>
      <c r="T288" s="19"/>
      <c r="U288" s="19"/>
      <c r="V288" s="19"/>
      <c r="W288" s="19"/>
      <c r="X288" s="19"/>
      <c r="Y288" s="19"/>
    </row>
    <row r="289" spans="1:25" ht="26.4">
      <c r="A289" s="2">
        <v>1</v>
      </c>
      <c r="B289" s="2" t="s">
        <v>607</v>
      </c>
      <c r="C289" s="3">
        <v>162</v>
      </c>
      <c r="D289" s="3">
        <v>7</v>
      </c>
      <c r="E289" s="4">
        <v>43592</v>
      </c>
      <c r="F289" s="5" t="str">
        <f>HYPERLINK("http://www.tribunnews.com/kesehatan/2019/07/05/axa-mandiri-rangkul-penyandang-autisme-melalui-cr-week-2019 ","sumber")</f>
        <v>sumber</v>
      </c>
      <c r="G289" s="3" t="s">
        <v>1</v>
      </c>
      <c r="H289" s="3">
        <v>449</v>
      </c>
      <c r="I289" s="3">
        <v>3</v>
      </c>
      <c r="J289" s="3">
        <v>2</v>
      </c>
      <c r="K289" s="3" t="s">
        <v>608</v>
      </c>
      <c r="L289" s="3">
        <v>0</v>
      </c>
      <c r="M289" s="3">
        <v>0</v>
      </c>
      <c r="N289" s="16">
        <v>0</v>
      </c>
      <c r="O289" s="3">
        <v>0</v>
      </c>
      <c r="P289" s="3">
        <v>0</v>
      </c>
      <c r="Q289" s="3">
        <v>0</v>
      </c>
      <c r="R289" s="3">
        <v>-1</v>
      </c>
      <c r="S289" s="7"/>
      <c r="T289" s="3">
        <v>0</v>
      </c>
      <c r="U289" s="3">
        <v>0</v>
      </c>
      <c r="V289" s="3">
        <v>0</v>
      </c>
      <c r="W289" s="7"/>
      <c r="X289" s="7"/>
      <c r="Y289" s="7"/>
    </row>
    <row r="290" spans="1:25" ht="28.8">
      <c r="A290" s="10">
        <v>1</v>
      </c>
      <c r="B290" s="10" t="s">
        <v>609</v>
      </c>
      <c r="C290" s="11">
        <v>163</v>
      </c>
      <c r="D290" s="11">
        <v>1</v>
      </c>
      <c r="E290" s="11" t="s">
        <v>610</v>
      </c>
      <c r="F290" s="13" t="str">
        <f>HYPERLINK("https://news.detik.com/berita/d-4634237/bu-dokter-yang-gagal-jadi-pns-karena-disabilitas-akan-ambil-langkah-hukum ","sumber")</f>
        <v>sumber</v>
      </c>
      <c r="G290" s="11" t="s">
        <v>1</v>
      </c>
      <c r="H290" s="11">
        <v>191</v>
      </c>
      <c r="I290" s="11">
        <v>1</v>
      </c>
      <c r="J290" s="11">
        <v>2</v>
      </c>
      <c r="K290" s="44" t="s">
        <v>611</v>
      </c>
      <c r="L290" s="11">
        <v>0</v>
      </c>
      <c r="M290" s="11">
        <v>1</v>
      </c>
      <c r="N290" s="15">
        <v>0</v>
      </c>
      <c r="O290" s="11">
        <v>0</v>
      </c>
      <c r="P290" s="11">
        <v>0</v>
      </c>
      <c r="Q290" s="11">
        <v>0</v>
      </c>
      <c r="R290" s="11">
        <v>1</v>
      </c>
      <c r="S290" s="14"/>
      <c r="T290" s="11">
        <v>0</v>
      </c>
      <c r="U290" s="11">
        <v>0</v>
      </c>
      <c r="V290" s="11">
        <v>0</v>
      </c>
      <c r="W290" s="14"/>
      <c r="X290" s="14"/>
      <c r="Y290" s="14"/>
    </row>
    <row r="291" spans="1:25" ht="52.8">
      <c r="A291" s="2">
        <v>1</v>
      </c>
      <c r="B291" s="2" t="s">
        <v>612</v>
      </c>
      <c r="C291" s="3">
        <v>164</v>
      </c>
      <c r="D291" s="3">
        <v>4</v>
      </c>
      <c r="E291" s="3" t="s">
        <v>613</v>
      </c>
      <c r="F291" s="5" t="str">
        <f>HYPERLINK(" https://www.liputan6.com/news/read/4011924/pemuda-yang-tusuk-adiknya-hingga-tewas-diduga-dalami-ilmu-kebatinan ","sumber")</f>
        <v>sumber</v>
      </c>
      <c r="G291" s="3" t="s">
        <v>1</v>
      </c>
      <c r="H291" s="3">
        <v>459</v>
      </c>
      <c r="I291" s="3">
        <v>1</v>
      </c>
      <c r="J291" s="3">
        <v>2</v>
      </c>
      <c r="K291" s="3" t="s">
        <v>614</v>
      </c>
      <c r="L291" s="3">
        <v>0</v>
      </c>
      <c r="M291" s="3">
        <v>0</v>
      </c>
      <c r="N291" s="16">
        <v>0</v>
      </c>
      <c r="O291" s="3">
        <v>0</v>
      </c>
      <c r="P291" s="3">
        <v>0</v>
      </c>
      <c r="Q291" s="3" t="s">
        <v>29</v>
      </c>
      <c r="R291" s="3" t="s">
        <v>29</v>
      </c>
      <c r="S291" s="3" t="s">
        <v>615</v>
      </c>
      <c r="T291" s="3">
        <v>3</v>
      </c>
      <c r="U291" s="3">
        <v>0</v>
      </c>
      <c r="V291" s="3">
        <v>0</v>
      </c>
      <c r="W291" s="7"/>
      <c r="X291" s="7"/>
      <c r="Y291" s="7"/>
    </row>
    <row r="292" spans="1:25" ht="28.8">
      <c r="A292" s="17">
        <v>2</v>
      </c>
      <c r="B292" s="17" t="s">
        <v>616</v>
      </c>
      <c r="C292" s="18">
        <v>165</v>
      </c>
      <c r="D292" s="18">
        <v>3</v>
      </c>
      <c r="E292" s="31">
        <v>43504</v>
      </c>
      <c r="F292" s="20" t="str">
        <f>HYPERLINK("https://celebrity.okezone.com/read/2019/08/02/206/2086959/sinopsis-film-victor-frankenstein-ilmuwan-gila-si-pencipta-monster ","sumber")</f>
        <v>sumber</v>
      </c>
      <c r="G292" s="18" t="s">
        <v>1</v>
      </c>
      <c r="H292" s="19"/>
      <c r="I292" s="19"/>
      <c r="J292" s="18">
        <v>2</v>
      </c>
      <c r="K292" s="19"/>
      <c r="L292" s="19"/>
      <c r="M292" s="19"/>
      <c r="N292" s="19"/>
      <c r="O292" s="19"/>
      <c r="P292" s="19"/>
      <c r="Q292" s="19"/>
      <c r="R292" s="19"/>
      <c r="S292" s="19"/>
      <c r="T292" s="19"/>
      <c r="U292" s="19"/>
      <c r="V292" s="19"/>
      <c r="W292" s="19"/>
      <c r="X292" s="19"/>
      <c r="Y292" s="19"/>
    </row>
    <row r="293" spans="1:25" ht="28.8">
      <c r="A293" s="2">
        <v>1</v>
      </c>
      <c r="B293" s="2" t="s">
        <v>617</v>
      </c>
      <c r="C293" s="3">
        <v>166</v>
      </c>
      <c r="D293" s="3">
        <v>6</v>
      </c>
      <c r="E293" s="3" t="s">
        <v>274</v>
      </c>
      <c r="F293" s="5" t="str">
        <f>HYPERLINK(" https://regional.kompas.com/read/2019/08/25/14131851/cerita-penyandang-difabel-kibarkan-bendera-merah-putih-dalam-laut-awalnya ","sumber")</f>
        <v>sumber</v>
      </c>
      <c r="G293" s="3" t="s">
        <v>1</v>
      </c>
      <c r="H293" s="3">
        <v>178</v>
      </c>
      <c r="I293" s="3">
        <v>2</v>
      </c>
      <c r="J293" s="3">
        <v>2</v>
      </c>
      <c r="K293" s="3" t="s">
        <v>618</v>
      </c>
      <c r="L293" s="3">
        <v>0</v>
      </c>
      <c r="M293" s="3">
        <v>0</v>
      </c>
      <c r="N293" s="16">
        <v>0</v>
      </c>
      <c r="O293" s="3">
        <v>0</v>
      </c>
      <c r="P293" s="3">
        <v>0</v>
      </c>
      <c r="Q293" s="3" t="s">
        <v>619</v>
      </c>
      <c r="R293" s="3" t="s">
        <v>68</v>
      </c>
      <c r="S293" s="7"/>
      <c r="T293" s="3">
        <v>0</v>
      </c>
      <c r="U293" s="3">
        <v>0</v>
      </c>
      <c r="V293" s="3">
        <v>0</v>
      </c>
      <c r="W293" s="7"/>
      <c r="X293" s="7"/>
      <c r="Y293" s="7"/>
    </row>
    <row r="294" spans="1:25" ht="28.8">
      <c r="A294" s="2">
        <v>1</v>
      </c>
      <c r="B294" s="2" t="s">
        <v>620</v>
      </c>
      <c r="C294" s="3">
        <v>167</v>
      </c>
      <c r="D294" s="3">
        <v>2</v>
      </c>
      <c r="E294" s="3" t="s">
        <v>283</v>
      </c>
      <c r="F294" s="5" t="str">
        <f>HYPERLINK("https://www.cnnindonesia.com/nasional/20190827191937-12-425140/pelaku-penyerangan-polisi-di-pati-dibawa-ke-rumah-sakit-jiwa ","sumber")</f>
        <v>sumber</v>
      </c>
      <c r="G294" s="3" t="s">
        <v>1</v>
      </c>
      <c r="H294" s="3">
        <v>251</v>
      </c>
      <c r="I294" s="3">
        <v>1</v>
      </c>
      <c r="J294" s="3">
        <v>2</v>
      </c>
      <c r="K294" s="3" t="s">
        <v>621</v>
      </c>
      <c r="L294" s="3">
        <v>0</v>
      </c>
      <c r="M294" s="3">
        <v>0</v>
      </c>
      <c r="N294" s="16">
        <v>0</v>
      </c>
      <c r="O294" s="3">
        <v>0</v>
      </c>
      <c r="P294" s="3">
        <v>0</v>
      </c>
      <c r="Q294" s="3">
        <v>0</v>
      </c>
      <c r="R294" s="3">
        <v>0</v>
      </c>
      <c r="S294" s="3" t="s">
        <v>622</v>
      </c>
      <c r="T294" s="3">
        <v>1</v>
      </c>
      <c r="U294" s="3">
        <v>0</v>
      </c>
      <c r="V294" s="3">
        <v>0</v>
      </c>
      <c r="W294" s="7"/>
      <c r="X294" s="7"/>
      <c r="Y294" s="7"/>
    </row>
    <row r="295" spans="1:25" ht="28.8">
      <c r="A295" s="17">
        <v>2</v>
      </c>
      <c r="B295" s="17" t="s">
        <v>623</v>
      </c>
      <c r="C295" s="18">
        <v>168</v>
      </c>
      <c r="D295" s="18">
        <v>2</v>
      </c>
      <c r="E295" s="18" t="s">
        <v>624</v>
      </c>
      <c r="F295" s="20" t="str">
        <f>HYPERLINK("https://www.cnnindonesia.com/hiburan/20190816171902-241-422059/komunisme-tudingan-orba-yang-tak-terbukti-di-bumi-manusia ","sumber")</f>
        <v>sumber</v>
      </c>
      <c r="G295" s="18" t="s">
        <v>1</v>
      </c>
      <c r="H295" s="19"/>
      <c r="I295" s="19"/>
      <c r="J295" s="18">
        <v>2</v>
      </c>
      <c r="K295" s="19"/>
      <c r="L295" s="19"/>
      <c r="M295" s="19"/>
      <c r="N295" s="19"/>
      <c r="O295" s="19"/>
      <c r="P295" s="19"/>
      <c r="Q295" s="19"/>
      <c r="R295" s="19"/>
      <c r="S295" s="19"/>
      <c r="T295" s="19"/>
      <c r="U295" s="19"/>
      <c r="V295" s="19"/>
      <c r="W295" s="19"/>
      <c r="X295" s="19"/>
      <c r="Y295" s="19"/>
    </row>
    <row r="296" spans="1:25" ht="26.4">
      <c r="A296" s="2">
        <v>1</v>
      </c>
      <c r="B296" s="2" t="s">
        <v>625</v>
      </c>
      <c r="C296" s="3">
        <v>169</v>
      </c>
      <c r="D296" s="3">
        <v>4</v>
      </c>
      <c r="E296" s="4">
        <v>43807</v>
      </c>
      <c r="F296" s="5" t="str">
        <f>HYPERLINK(" https://hot.liputan6.com/read/4035648/aksi-pria-difabel-turun-dari-kursi-roda-demi-selamatkan-anak-kucing-bikin-salut ","sumber")</f>
        <v>sumber</v>
      </c>
      <c r="G296" s="3" t="s">
        <v>1</v>
      </c>
      <c r="H296" s="3">
        <v>391</v>
      </c>
      <c r="I296" s="3">
        <v>2</v>
      </c>
      <c r="J296" s="3">
        <v>2</v>
      </c>
      <c r="K296" s="3" t="s">
        <v>626</v>
      </c>
      <c r="L296" s="3">
        <v>0</v>
      </c>
      <c r="M296" s="3">
        <v>0</v>
      </c>
      <c r="N296" s="16">
        <v>0</v>
      </c>
      <c r="O296" s="3">
        <v>0</v>
      </c>
      <c r="P296" s="3">
        <v>0</v>
      </c>
      <c r="Q296" s="3" t="s">
        <v>245</v>
      </c>
      <c r="R296" s="3" t="s">
        <v>627</v>
      </c>
      <c r="S296" s="3" t="s">
        <v>628</v>
      </c>
      <c r="T296" s="3">
        <v>1</v>
      </c>
      <c r="U296" s="3">
        <v>0</v>
      </c>
      <c r="V296" s="3">
        <v>0</v>
      </c>
      <c r="W296" s="7"/>
      <c r="X296" s="7"/>
      <c r="Y296" s="7"/>
    </row>
    <row r="297" spans="1:25" ht="28.8">
      <c r="A297" s="2">
        <v>1</v>
      </c>
      <c r="B297" s="2" t="s">
        <v>629</v>
      </c>
      <c r="C297" s="3">
        <v>170</v>
      </c>
      <c r="D297" s="3">
        <v>8</v>
      </c>
      <c r="E297" s="4">
        <v>43473</v>
      </c>
      <c r="F297" s="5" t="str">
        <f>HYPERLINK("https://www.suara.com/otomotif/2019/08/01/144528/dituduh-menertawakan-motor-difabel-orang-ini-panen-komentar-pedas ","sumber")</f>
        <v>sumber</v>
      </c>
      <c r="G297" s="3" t="s">
        <v>1</v>
      </c>
      <c r="H297" s="3">
        <v>158</v>
      </c>
      <c r="I297" s="3">
        <v>1</v>
      </c>
      <c r="J297" s="3">
        <v>2</v>
      </c>
      <c r="K297" s="3" t="s">
        <v>630</v>
      </c>
      <c r="L297" s="3">
        <v>0</v>
      </c>
      <c r="M297" s="3">
        <v>0</v>
      </c>
      <c r="N297" s="16">
        <v>0</v>
      </c>
      <c r="O297" s="3">
        <v>0</v>
      </c>
      <c r="P297" s="3">
        <v>0</v>
      </c>
      <c r="Q297" s="3" t="s">
        <v>21</v>
      </c>
      <c r="R297" s="3" t="s">
        <v>631</v>
      </c>
      <c r="S297" s="7"/>
      <c r="T297" s="3">
        <v>0</v>
      </c>
      <c r="U297" s="3">
        <v>0</v>
      </c>
      <c r="V297" s="3">
        <v>0</v>
      </c>
      <c r="W297" s="7"/>
      <c r="X297" s="7"/>
      <c r="Y297" s="7"/>
    </row>
    <row r="298" spans="1:25" ht="28.8">
      <c r="A298" s="10">
        <v>1</v>
      </c>
      <c r="B298" s="10" t="s">
        <v>632</v>
      </c>
      <c r="C298" s="11">
        <v>171</v>
      </c>
      <c r="D298" s="11">
        <v>1</v>
      </c>
      <c r="E298" s="11" t="s">
        <v>633</v>
      </c>
      <c r="F298" s="13" t="str">
        <f>HYPERLINK("https://hot.detik.com/celeb/d-4678715/kerja-keras-jadi-cara-dian-sastro-sembuhkan-anak-dari-autisme ","sumber")</f>
        <v>sumber</v>
      </c>
      <c r="G298" s="11" t="s">
        <v>1</v>
      </c>
      <c r="H298" s="11">
        <v>1486</v>
      </c>
      <c r="I298" s="11">
        <v>2</v>
      </c>
      <c r="J298" s="11">
        <v>2</v>
      </c>
      <c r="K298" s="11" t="s">
        <v>634</v>
      </c>
      <c r="L298" s="11">
        <v>0</v>
      </c>
      <c r="M298" s="11">
        <v>0</v>
      </c>
      <c r="N298" s="15">
        <v>0</v>
      </c>
      <c r="O298" s="11">
        <v>0</v>
      </c>
      <c r="P298" s="11">
        <v>0</v>
      </c>
      <c r="Q298" s="11">
        <v>0</v>
      </c>
      <c r="R298" s="11">
        <v>1</v>
      </c>
      <c r="S298" s="11" t="s">
        <v>635</v>
      </c>
      <c r="T298" s="11">
        <v>2</v>
      </c>
      <c r="U298" s="11">
        <v>0</v>
      </c>
      <c r="V298" s="11">
        <v>0</v>
      </c>
      <c r="W298" s="14"/>
      <c r="X298" s="14"/>
      <c r="Y298" s="14"/>
    </row>
    <row r="299" spans="1:25" ht="28.8">
      <c r="A299" s="10">
        <v>1</v>
      </c>
      <c r="B299" s="10" t="s">
        <v>636</v>
      </c>
      <c r="C299" s="11">
        <v>172</v>
      </c>
      <c r="D299" s="11">
        <v>6</v>
      </c>
      <c r="E299" s="11" t="s">
        <v>633</v>
      </c>
      <c r="F299" s="13" t="str">
        <f>HYPERLINK("https://entertainment.kompas.com/read/2019/08/23/201654010/suami-dian-sastro-awalnya-tak-percaya-putranya-idap-autisme ","sumber")</f>
        <v>sumber</v>
      </c>
      <c r="G299" s="11" t="s">
        <v>1</v>
      </c>
      <c r="H299" s="11">
        <v>258</v>
      </c>
      <c r="I299" s="11">
        <v>2</v>
      </c>
      <c r="J299" s="11">
        <v>2</v>
      </c>
      <c r="K299" s="11" t="s">
        <v>634</v>
      </c>
      <c r="L299" s="11">
        <v>0</v>
      </c>
      <c r="M299" s="11">
        <v>0</v>
      </c>
      <c r="N299" s="15">
        <v>0</v>
      </c>
      <c r="O299" s="11">
        <v>0</v>
      </c>
      <c r="P299" s="11">
        <v>0</v>
      </c>
      <c r="Q299" s="11">
        <v>0</v>
      </c>
      <c r="R299" s="11">
        <v>1</v>
      </c>
      <c r="S299" s="11" t="s">
        <v>637</v>
      </c>
      <c r="T299" s="11">
        <v>1</v>
      </c>
      <c r="U299" s="11">
        <v>0</v>
      </c>
      <c r="V299" s="11">
        <v>0</v>
      </c>
      <c r="W299" s="14"/>
      <c r="X299" s="14"/>
      <c r="Y299" s="14"/>
    </row>
    <row r="300" spans="1:25" ht="14.4">
      <c r="A300" s="10">
        <v>1</v>
      </c>
      <c r="B300" s="10" t="s">
        <v>638</v>
      </c>
      <c r="C300" s="11">
        <v>173</v>
      </c>
      <c r="D300" s="11">
        <v>4</v>
      </c>
      <c r="E300" s="11" t="s">
        <v>9</v>
      </c>
      <c r="F300" s="13" t="str">
        <f>HYPERLINK("https://www.liputan6.com/showbiz/read/4045729/setelah-bertahun-tahun-dian-sastrowardoyo-ungkap-anaknya-autisme ","sumber")</f>
        <v>sumber</v>
      </c>
      <c r="G300" s="11" t="s">
        <v>1</v>
      </c>
      <c r="H300" s="14"/>
      <c r="I300" s="11">
        <v>2</v>
      </c>
      <c r="J300" s="11">
        <v>2</v>
      </c>
      <c r="K300" s="11" t="s">
        <v>634</v>
      </c>
      <c r="L300" s="11">
        <v>0</v>
      </c>
      <c r="M300" s="11">
        <v>0</v>
      </c>
      <c r="N300" s="15">
        <v>0</v>
      </c>
      <c r="O300" s="11">
        <v>0</v>
      </c>
      <c r="P300" s="11">
        <v>0</v>
      </c>
      <c r="Q300" s="11">
        <v>0</v>
      </c>
      <c r="R300" s="11">
        <v>0</v>
      </c>
      <c r="S300" s="14"/>
      <c r="T300" s="11">
        <v>0</v>
      </c>
      <c r="U300" s="11">
        <v>0</v>
      </c>
      <c r="V300" s="11">
        <v>0</v>
      </c>
      <c r="W300" s="14"/>
      <c r="X300" s="14"/>
      <c r="Y300" s="14"/>
    </row>
    <row r="301" spans="1:25" ht="14.4">
      <c r="A301" s="17">
        <v>2</v>
      </c>
      <c r="B301" s="17" t="s">
        <v>639</v>
      </c>
      <c r="C301" s="18">
        <v>174</v>
      </c>
      <c r="D301" s="18">
        <v>5</v>
      </c>
      <c r="E301" s="18" t="s">
        <v>278</v>
      </c>
      <c r="F301" s="20" t="str">
        <f>HYPERLINK("https://tirto.id/pengakuan-petani-jambi-yang-disiksa-polisi-karena-konflik-lahan-eg1K ","sumber")</f>
        <v>sumber</v>
      </c>
      <c r="G301" s="18" t="s">
        <v>1</v>
      </c>
      <c r="H301" s="19"/>
      <c r="I301" s="19"/>
      <c r="J301" s="18">
        <v>2</v>
      </c>
      <c r="K301" s="19"/>
      <c r="L301" s="19"/>
      <c r="M301" s="19"/>
      <c r="N301" s="19"/>
      <c r="O301" s="19"/>
      <c r="P301" s="19"/>
      <c r="Q301" s="19"/>
      <c r="R301" s="19"/>
      <c r="S301" s="19"/>
      <c r="T301" s="19"/>
      <c r="U301" s="19"/>
      <c r="V301" s="19"/>
      <c r="W301" s="19"/>
      <c r="X301" s="19"/>
      <c r="Y301" s="19"/>
    </row>
    <row r="302" spans="1:25" ht="14.4">
      <c r="A302" s="17">
        <v>2</v>
      </c>
      <c r="B302" s="17" t="s">
        <v>640</v>
      </c>
      <c r="C302" s="18">
        <v>175</v>
      </c>
      <c r="D302" s="18">
        <v>5</v>
      </c>
      <c r="E302" s="18" t="s">
        <v>286</v>
      </c>
      <c r="F302" s="20" t="str">
        <f>HYPERLINK("https://tirto.id/soal-twivortiare-produser-raihaanun-dipilih-oleh-reza-rahadian-ehem ","sumber")</f>
        <v>sumber</v>
      </c>
      <c r="G302" s="18" t="s">
        <v>1</v>
      </c>
      <c r="H302" s="19"/>
      <c r="I302" s="19"/>
      <c r="J302" s="18">
        <v>2</v>
      </c>
      <c r="K302" s="19"/>
      <c r="L302" s="19"/>
      <c r="M302" s="19"/>
      <c r="N302" s="19"/>
      <c r="O302" s="19"/>
      <c r="P302" s="19"/>
      <c r="Q302" s="19"/>
      <c r="R302" s="19"/>
      <c r="S302" s="19"/>
      <c r="T302" s="19"/>
      <c r="U302" s="19"/>
      <c r="V302" s="19"/>
      <c r="W302" s="19"/>
      <c r="X302" s="19"/>
      <c r="Y302" s="19"/>
    </row>
    <row r="303" spans="1:25" ht="39.6">
      <c r="A303" s="10">
        <v>1</v>
      </c>
      <c r="B303" s="10" t="s">
        <v>641</v>
      </c>
      <c r="C303" s="11">
        <v>176</v>
      </c>
      <c r="D303" s="11">
        <v>6</v>
      </c>
      <c r="E303" s="12">
        <v>43505</v>
      </c>
      <c r="F303" s="13" t="str">
        <f>HYPERLINK("https://megapolitan.kompas.com/read/2019/09/02/18101191/menengok-rusunami-dp-rp-0-pondok-kelapa-yang-siap-huni","sumber")</f>
        <v>sumber</v>
      </c>
      <c r="G303" s="11" t="s">
        <v>1</v>
      </c>
      <c r="H303" s="14"/>
      <c r="I303" s="11">
        <v>4</v>
      </c>
      <c r="J303" s="11">
        <v>2</v>
      </c>
      <c r="K303" s="11" t="s">
        <v>642</v>
      </c>
      <c r="L303" s="11">
        <v>0</v>
      </c>
      <c r="M303" s="11">
        <v>0</v>
      </c>
      <c r="N303" s="15">
        <v>0</v>
      </c>
      <c r="O303" s="11">
        <v>0</v>
      </c>
      <c r="P303" s="11">
        <v>0</v>
      </c>
      <c r="Q303" s="11" t="s">
        <v>29</v>
      </c>
      <c r="R303" s="11" t="s">
        <v>29</v>
      </c>
      <c r="S303" s="14"/>
      <c r="T303" s="11">
        <v>0</v>
      </c>
      <c r="U303" s="11">
        <v>0</v>
      </c>
      <c r="V303" s="11">
        <v>1</v>
      </c>
      <c r="W303" s="14"/>
      <c r="X303" s="14"/>
      <c r="Y303" s="14"/>
    </row>
    <row r="304" spans="1:25" ht="26.4">
      <c r="A304" s="45">
        <v>1</v>
      </c>
      <c r="B304" s="46" t="s">
        <v>643</v>
      </c>
      <c r="C304" s="3">
        <v>177</v>
      </c>
      <c r="D304" s="3">
        <v>6</v>
      </c>
      <c r="E304" s="4">
        <v>43564</v>
      </c>
      <c r="F304" s="5" t="str">
        <f>HYPERLINK("https://sains.kompas.com/read/2019/09/04/061100223/memahami-gifted-dan-berkebutuhan-khusus-lewat-maria-clara-yubilea","sumber")</f>
        <v>sumber</v>
      </c>
      <c r="G304" s="3" t="s">
        <v>1</v>
      </c>
      <c r="H304" s="7"/>
      <c r="I304" s="3">
        <v>5</v>
      </c>
      <c r="J304" s="3">
        <v>2</v>
      </c>
      <c r="K304" s="3" t="s">
        <v>644</v>
      </c>
      <c r="L304" s="3">
        <v>0</v>
      </c>
      <c r="M304" s="3">
        <v>0</v>
      </c>
      <c r="N304" s="3">
        <v>0</v>
      </c>
      <c r="O304" s="3">
        <v>0</v>
      </c>
      <c r="P304" s="3">
        <v>0</v>
      </c>
      <c r="Q304" s="3" t="s">
        <v>21</v>
      </c>
      <c r="R304" s="3" t="s">
        <v>360</v>
      </c>
      <c r="S304" s="3" t="s">
        <v>645</v>
      </c>
      <c r="T304" s="3">
        <v>1</v>
      </c>
      <c r="U304" s="3">
        <v>0</v>
      </c>
      <c r="V304" s="3">
        <v>0</v>
      </c>
      <c r="W304" s="7"/>
      <c r="X304" s="7"/>
      <c r="Y304" s="7"/>
    </row>
    <row r="305" spans="1:25" ht="28.8">
      <c r="A305" s="17">
        <v>2</v>
      </c>
      <c r="B305" s="17" t="s">
        <v>646</v>
      </c>
      <c r="C305" s="18">
        <v>178</v>
      </c>
      <c r="D305" s="18">
        <v>8</v>
      </c>
      <c r="E305" s="31">
        <v>43564</v>
      </c>
      <c r="F305" s="20" t="str">
        <f>HYPERLINK("https://www.suara.com/lifestyle/2019/09/04/071000/canggih-ini-5-produk-kecantikan-mutakhir-dengan-teknologi-tinggi ","sumber")</f>
        <v>sumber</v>
      </c>
      <c r="G305" s="18" t="s">
        <v>1</v>
      </c>
      <c r="H305" s="19"/>
      <c r="I305" s="19"/>
      <c r="J305" s="18">
        <v>2</v>
      </c>
      <c r="K305" s="19"/>
      <c r="L305" s="19"/>
      <c r="M305" s="19"/>
      <c r="N305" s="19"/>
      <c r="O305" s="19"/>
      <c r="P305" s="19"/>
      <c r="Q305" s="19"/>
      <c r="R305" s="19"/>
      <c r="S305" s="19"/>
      <c r="T305" s="19"/>
      <c r="U305" s="19"/>
      <c r="V305" s="19"/>
      <c r="W305" s="19"/>
      <c r="X305" s="19"/>
      <c r="Y305" s="19"/>
    </row>
    <row r="306" spans="1:25" ht="14.4">
      <c r="A306" s="17">
        <v>2</v>
      </c>
      <c r="B306" s="17" t="s">
        <v>647</v>
      </c>
      <c r="C306" s="18">
        <v>179</v>
      </c>
      <c r="D306" s="18">
        <v>7</v>
      </c>
      <c r="E306" s="18" t="s">
        <v>305</v>
      </c>
      <c r="F306" s="20" t="str">
        <f>HYPERLINK("https://www.tribunnews.com/nasional/2019/09/26/update-cpns-2019-dibuka-197111-formasi-pendaftaran-mulai-oktober-tes-skb-bulan-desember ","sumber")</f>
        <v>sumber</v>
      </c>
      <c r="G306" s="18" t="s">
        <v>1</v>
      </c>
      <c r="H306" s="19"/>
      <c r="I306" s="19"/>
      <c r="J306" s="18">
        <v>2</v>
      </c>
      <c r="K306" s="19"/>
      <c r="L306" s="19"/>
      <c r="M306" s="19"/>
      <c r="N306" s="19"/>
      <c r="O306" s="19"/>
      <c r="P306" s="19"/>
      <c r="Q306" s="19"/>
      <c r="R306" s="19"/>
      <c r="S306" s="19"/>
      <c r="T306" s="19"/>
      <c r="U306" s="19"/>
      <c r="V306" s="19"/>
      <c r="W306" s="19"/>
      <c r="X306" s="19"/>
      <c r="Y306" s="19"/>
    </row>
    <row r="307" spans="1:25" ht="28.8">
      <c r="A307" s="17">
        <v>2</v>
      </c>
      <c r="B307" s="17" t="s">
        <v>648</v>
      </c>
      <c r="C307" s="18">
        <v>180</v>
      </c>
      <c r="D307" s="18">
        <v>3</v>
      </c>
      <c r="E307" s="18" t="s">
        <v>649</v>
      </c>
      <c r="F307" s="20" t="str">
        <f>HYPERLINK("https://lifestyle.okezone.com/read/2019/09/27/298/2110297/5-kedai-kopi-asyik-di-sepanjang-rute-mrt-jangan-lupa-mampir ","sumber")</f>
        <v>sumber</v>
      </c>
      <c r="G307" s="18" t="s">
        <v>1</v>
      </c>
      <c r="H307" s="19"/>
      <c r="I307" s="19"/>
      <c r="J307" s="18">
        <v>2</v>
      </c>
      <c r="K307" s="19"/>
      <c r="L307" s="19"/>
      <c r="M307" s="19"/>
      <c r="N307" s="19"/>
      <c r="O307" s="19"/>
      <c r="P307" s="19"/>
      <c r="Q307" s="19"/>
      <c r="R307" s="19"/>
      <c r="S307" s="19"/>
      <c r="T307" s="19"/>
      <c r="U307" s="19"/>
      <c r="V307" s="19"/>
      <c r="W307" s="19"/>
      <c r="X307" s="19"/>
      <c r="Y307" s="19"/>
    </row>
    <row r="308" spans="1:25" ht="26.4">
      <c r="A308" s="2">
        <v>1</v>
      </c>
      <c r="B308" s="2" t="s">
        <v>650</v>
      </c>
      <c r="C308" s="3">
        <v>181</v>
      </c>
      <c r="D308" s="3">
        <v>4</v>
      </c>
      <c r="E308" s="3" t="s">
        <v>651</v>
      </c>
      <c r="F308" s="5" t="str">
        <f>HYPERLINK(" https://www.liputan6.com/global/read/3878159/mahkamah-agung-as-loloskan-larangan-transgender-jadi-tentara ","sumber")</f>
        <v>sumber</v>
      </c>
      <c r="G308" s="3" t="s">
        <v>1</v>
      </c>
      <c r="H308" s="3">
        <v>421</v>
      </c>
      <c r="I308" s="3">
        <v>4</v>
      </c>
      <c r="J308" s="3">
        <v>3</v>
      </c>
      <c r="K308" s="3" t="s">
        <v>652</v>
      </c>
      <c r="L308" s="3">
        <v>0</v>
      </c>
      <c r="M308" s="3">
        <v>0</v>
      </c>
      <c r="N308" s="16">
        <v>0</v>
      </c>
      <c r="O308" s="3">
        <v>0</v>
      </c>
      <c r="P308" s="3">
        <v>0</v>
      </c>
      <c r="Q308" s="3" t="s">
        <v>29</v>
      </c>
      <c r="R308" s="3" t="s">
        <v>653</v>
      </c>
      <c r="S308" s="7"/>
      <c r="T308" s="3">
        <v>0</v>
      </c>
      <c r="U308" s="3">
        <v>0</v>
      </c>
      <c r="V308" s="3">
        <v>1</v>
      </c>
      <c r="W308" s="7"/>
      <c r="X308" s="7"/>
      <c r="Y308" s="7"/>
    </row>
    <row r="309" spans="1:25" ht="14.4">
      <c r="A309" s="10">
        <v>1</v>
      </c>
      <c r="B309" s="10" t="s">
        <v>654</v>
      </c>
      <c r="C309" s="11">
        <v>182</v>
      </c>
      <c r="D309" s="11">
        <v>2</v>
      </c>
      <c r="E309" s="12">
        <v>43647</v>
      </c>
      <c r="F309" s="13" t="str">
        <f>HYPERLINK("https://www.cnnindonesia.com/teknologi/20190107070739-185-358878/blued-berhentikan-sementara-layanan-di-china ","sumber")</f>
        <v>sumber</v>
      </c>
      <c r="G309" s="11" t="s">
        <v>1</v>
      </c>
      <c r="H309" s="11">
        <v>230</v>
      </c>
      <c r="I309" s="11">
        <v>1</v>
      </c>
      <c r="J309" s="11">
        <v>3</v>
      </c>
      <c r="K309" s="11" t="s">
        <v>655</v>
      </c>
      <c r="L309" s="11">
        <v>0</v>
      </c>
      <c r="M309" s="11">
        <v>0</v>
      </c>
      <c r="N309" s="15">
        <v>0</v>
      </c>
      <c r="O309" s="11">
        <v>0</v>
      </c>
      <c r="P309" s="11">
        <v>0</v>
      </c>
      <c r="Q309" s="11">
        <v>0</v>
      </c>
      <c r="R309" s="11">
        <v>0</v>
      </c>
      <c r="S309" s="14"/>
      <c r="T309" s="11">
        <v>0</v>
      </c>
      <c r="U309" s="11">
        <v>0</v>
      </c>
      <c r="V309" s="11">
        <v>0</v>
      </c>
      <c r="W309" s="14"/>
      <c r="X309" s="14"/>
      <c r="Y309" s="14"/>
    </row>
    <row r="310" spans="1:25" ht="14.4">
      <c r="A310" s="2">
        <v>1</v>
      </c>
      <c r="B310" s="2" t="s">
        <v>656</v>
      </c>
      <c r="C310" s="3">
        <v>183</v>
      </c>
      <c r="D310" s="3">
        <v>8</v>
      </c>
      <c r="E310" s="3" t="s">
        <v>657</v>
      </c>
      <c r="F310" s="5" t="str">
        <f>HYPERLINK(" https://www.suara.com/lifestyle/2019/01/14/010000/lewat-foto-pasangan-ini-kampanyekan-pernikahan-sejenis-di-jepang ","sumber")</f>
        <v>sumber</v>
      </c>
      <c r="G310" s="3" t="s">
        <v>1</v>
      </c>
      <c r="H310" s="3">
        <v>397</v>
      </c>
      <c r="I310" s="3">
        <v>2</v>
      </c>
      <c r="J310" s="3">
        <v>3</v>
      </c>
      <c r="K310" s="3" t="s">
        <v>658</v>
      </c>
      <c r="L310" s="3">
        <v>0</v>
      </c>
      <c r="M310" s="3">
        <v>0</v>
      </c>
      <c r="N310" s="16">
        <v>0</v>
      </c>
      <c r="O310" s="3">
        <v>0</v>
      </c>
      <c r="P310" s="3">
        <v>0</v>
      </c>
      <c r="Q310" s="3">
        <v>2</v>
      </c>
      <c r="R310" s="3">
        <v>1</v>
      </c>
      <c r="S310" s="3"/>
      <c r="T310" s="3">
        <v>0</v>
      </c>
      <c r="U310" s="3">
        <v>0</v>
      </c>
      <c r="V310" s="3">
        <v>0</v>
      </c>
      <c r="W310" s="7"/>
      <c r="X310" s="7"/>
      <c r="Y310" s="7"/>
    </row>
    <row r="311" spans="1:25" ht="26.4">
      <c r="A311" s="10">
        <v>1</v>
      </c>
      <c r="B311" s="10" t="s">
        <v>659</v>
      </c>
      <c r="C311" s="11">
        <v>184</v>
      </c>
      <c r="D311" s="11">
        <v>5</v>
      </c>
      <c r="E311" s="12">
        <v>43739</v>
      </c>
      <c r="F311" s="13" t="str">
        <f>HYPERLINK("https://tirto.id/atlet-transgender-di-dunia-olahraga-kesetaraan-atau-ketidakadilan-ddUr ","sumber")</f>
        <v>sumber</v>
      </c>
      <c r="G311" s="11" t="s">
        <v>1</v>
      </c>
      <c r="H311" s="14"/>
      <c r="I311" s="11">
        <v>1</v>
      </c>
      <c r="J311" s="11">
        <v>3</v>
      </c>
      <c r="K311" s="11" t="s">
        <v>660</v>
      </c>
      <c r="L311" s="11">
        <v>0</v>
      </c>
      <c r="M311" s="11">
        <v>1</v>
      </c>
      <c r="N311" s="15">
        <v>0</v>
      </c>
      <c r="O311" s="11">
        <v>0</v>
      </c>
      <c r="P311" s="11">
        <v>0</v>
      </c>
      <c r="Q311" s="11" t="s">
        <v>29</v>
      </c>
      <c r="R311" s="11" t="s">
        <v>29</v>
      </c>
      <c r="S311" s="14"/>
      <c r="T311" s="11">
        <v>0</v>
      </c>
      <c r="U311" s="11">
        <v>0</v>
      </c>
      <c r="V311" s="11">
        <v>1</v>
      </c>
      <c r="W311" s="14"/>
      <c r="X311" s="14"/>
      <c r="Y311" s="14"/>
    </row>
    <row r="312" spans="1:25" ht="66">
      <c r="A312" s="10">
        <v>1</v>
      </c>
      <c r="B312" s="10" t="s">
        <v>661</v>
      </c>
      <c r="C312" s="11">
        <v>185</v>
      </c>
      <c r="D312" s="11">
        <v>7</v>
      </c>
      <c r="E312" s="11" t="s">
        <v>417</v>
      </c>
      <c r="F312" s="13" t="str">
        <f>HYPERLINK("http://www.tribunnews.com/internasional/2019/01/13/para-orang-suci-transgender-dalam-prosesi-hindu-di-india ","sumber")</f>
        <v>sumber</v>
      </c>
      <c r="G312" s="11" t="s">
        <v>1</v>
      </c>
      <c r="H312" s="14"/>
      <c r="I312" s="11">
        <v>3</v>
      </c>
      <c r="J312" s="11">
        <v>3</v>
      </c>
      <c r="K312" s="11" t="s">
        <v>662</v>
      </c>
      <c r="L312" s="11">
        <v>0</v>
      </c>
      <c r="M312" s="11">
        <v>0</v>
      </c>
      <c r="N312" s="15">
        <v>0</v>
      </c>
      <c r="O312" s="11">
        <v>0</v>
      </c>
      <c r="P312" s="11">
        <v>0</v>
      </c>
      <c r="Q312" s="11" t="s">
        <v>663</v>
      </c>
      <c r="R312" s="11" t="s">
        <v>664</v>
      </c>
      <c r="S312" s="14"/>
      <c r="T312" s="11">
        <v>0</v>
      </c>
      <c r="U312" s="11">
        <v>0</v>
      </c>
      <c r="V312" s="11">
        <v>1</v>
      </c>
      <c r="W312" s="14"/>
      <c r="X312" s="14"/>
      <c r="Y312" s="14"/>
    </row>
    <row r="313" spans="1:25" ht="39.6">
      <c r="A313" s="10">
        <v>1</v>
      </c>
      <c r="B313" s="10" t="s">
        <v>665</v>
      </c>
      <c r="C313" s="11">
        <v>186</v>
      </c>
      <c r="D313" s="11">
        <v>5</v>
      </c>
      <c r="E313" s="11" t="s">
        <v>666</v>
      </c>
      <c r="F313" s="13" t="str">
        <f>HYPERLINK("https://tirto.id/bulu-ketiak-warna-warni-dan-simbol-aktivisme-lgbt-deAa ","sumber")</f>
        <v>sumber</v>
      </c>
      <c r="G313" s="11" t="s">
        <v>1</v>
      </c>
      <c r="H313" s="14"/>
      <c r="I313" s="11">
        <v>2</v>
      </c>
      <c r="J313" s="11">
        <v>3</v>
      </c>
      <c r="K313" s="11" t="s">
        <v>667</v>
      </c>
      <c r="L313" s="11">
        <v>0</v>
      </c>
      <c r="M313" s="11">
        <v>0</v>
      </c>
      <c r="N313" s="15">
        <v>0</v>
      </c>
      <c r="O313" s="11">
        <v>0</v>
      </c>
      <c r="P313" s="11">
        <v>0</v>
      </c>
      <c r="Q313" s="11" t="s">
        <v>170</v>
      </c>
      <c r="R313" s="11" t="s">
        <v>668</v>
      </c>
      <c r="S313" s="14"/>
      <c r="T313" s="11">
        <v>0</v>
      </c>
      <c r="U313" s="11">
        <v>0</v>
      </c>
      <c r="V313" s="11">
        <v>1</v>
      </c>
      <c r="W313" s="14"/>
      <c r="X313" s="14"/>
      <c r="Y313" s="14"/>
    </row>
    <row r="314" spans="1:25" ht="14.4">
      <c r="A314" s="10">
        <v>1</v>
      </c>
      <c r="B314" s="10" t="s">
        <v>669</v>
      </c>
      <c r="C314" s="11">
        <v>187</v>
      </c>
      <c r="D314" s="11">
        <v>7</v>
      </c>
      <c r="E314" s="11" t="s">
        <v>670</v>
      </c>
      <c r="F314" s="13" t="str">
        <f>HYPERLINK("http://www.tribunnews.com/internasional/2019/01/19/kisah-seorang-perempuan-muslim-inggris-yang-menjadi-lesbian ","sumber")</f>
        <v>sumber</v>
      </c>
      <c r="G314" s="11" t="s">
        <v>1</v>
      </c>
      <c r="H314" s="14"/>
      <c r="I314" s="11">
        <v>2</v>
      </c>
      <c r="J314" s="11">
        <v>3</v>
      </c>
      <c r="K314" s="11" t="s">
        <v>671</v>
      </c>
      <c r="L314" s="11">
        <v>0</v>
      </c>
      <c r="M314" s="11">
        <v>0</v>
      </c>
      <c r="N314" s="15">
        <v>0</v>
      </c>
      <c r="O314" s="11">
        <v>0</v>
      </c>
      <c r="P314" s="11">
        <v>0</v>
      </c>
      <c r="Q314" s="11">
        <v>2</v>
      </c>
      <c r="R314" s="11">
        <v>1</v>
      </c>
      <c r="S314" s="14"/>
      <c r="T314" s="11">
        <v>0</v>
      </c>
      <c r="U314" s="11">
        <v>0</v>
      </c>
      <c r="V314" s="11">
        <v>0</v>
      </c>
      <c r="W314" s="14"/>
      <c r="X314" s="14"/>
      <c r="Y314" s="14"/>
    </row>
    <row r="315" spans="1:25" ht="14.4">
      <c r="A315" s="17">
        <v>2</v>
      </c>
      <c r="B315" s="17" t="s">
        <v>672</v>
      </c>
      <c r="C315" s="18">
        <v>188</v>
      </c>
      <c r="D315" s="18">
        <v>5</v>
      </c>
      <c r="E315" s="19"/>
      <c r="F315" s="20" t="str">
        <f>HYPERLINK("https://tirto.id/getafe-vs-valencia-prediksi-skor-h2h-perempat-final-copa-del-rey-deNY ","sumber")</f>
        <v>sumber</v>
      </c>
      <c r="G315" s="18" t="s">
        <v>1</v>
      </c>
      <c r="H315" s="19"/>
      <c r="I315" s="19"/>
      <c r="J315" s="18">
        <v>3</v>
      </c>
      <c r="K315" s="19"/>
      <c r="L315" s="19"/>
      <c r="M315" s="19"/>
      <c r="N315" s="19"/>
      <c r="O315" s="19"/>
      <c r="P315" s="19"/>
      <c r="Q315" s="19"/>
      <c r="R315" s="19"/>
      <c r="S315" s="19"/>
      <c r="T315" s="19"/>
      <c r="U315" s="19"/>
      <c r="V315" s="19"/>
      <c r="W315" s="19"/>
      <c r="X315" s="19"/>
      <c r="Y315" s="19"/>
    </row>
    <row r="316" spans="1:25" ht="14.4">
      <c r="A316" s="2">
        <v>1</v>
      </c>
      <c r="B316" s="2" t="s">
        <v>673</v>
      </c>
      <c r="C316" s="3">
        <v>189</v>
      </c>
      <c r="D316" s="3">
        <v>8</v>
      </c>
      <c r="E316" s="4">
        <v>43709</v>
      </c>
      <c r="F316" s="5" t="str">
        <f>HYPERLINK("https://www.suara.com/lifestyle/2019/01/09/200000/punya-fantasi-seksual-sesama-jenis-indikasi-homoseksual","sumber")</f>
        <v>sumber</v>
      </c>
      <c r="G316" s="3" t="s">
        <v>1</v>
      </c>
      <c r="H316" s="3">
        <v>362</v>
      </c>
      <c r="I316" s="3">
        <v>5</v>
      </c>
      <c r="J316" s="3">
        <v>3</v>
      </c>
      <c r="K316" s="3" t="s">
        <v>674</v>
      </c>
      <c r="L316" s="3">
        <v>0</v>
      </c>
      <c r="M316" s="3">
        <v>0</v>
      </c>
      <c r="N316" s="16">
        <v>0</v>
      </c>
      <c r="O316" s="3">
        <v>0</v>
      </c>
      <c r="P316" s="3">
        <v>0</v>
      </c>
      <c r="Q316" s="3">
        <v>0</v>
      </c>
      <c r="R316" s="3">
        <v>0</v>
      </c>
      <c r="S316" s="7"/>
      <c r="T316" s="3">
        <v>0</v>
      </c>
      <c r="U316" s="3">
        <v>0</v>
      </c>
      <c r="V316" s="3">
        <v>0</v>
      </c>
      <c r="W316" s="7"/>
      <c r="X316" s="7"/>
      <c r="Y316" s="7"/>
    </row>
    <row r="317" spans="1:25" ht="52.8">
      <c r="A317" s="10">
        <v>1</v>
      </c>
      <c r="B317" s="10" t="s">
        <v>675</v>
      </c>
      <c r="C317" s="11">
        <v>190</v>
      </c>
      <c r="D317" s="11">
        <v>5</v>
      </c>
      <c r="E317" s="11" t="s">
        <v>676</v>
      </c>
      <c r="F317" s="13" t="str">
        <f>HYPERLINK("https://tirto.id/perburuan-lgbt-chechnya-di-bawah-rezim-ramzan-kadyrov-dfa8 ","sumber")</f>
        <v>sumber</v>
      </c>
      <c r="G317" s="11" t="s">
        <v>1</v>
      </c>
      <c r="H317" s="14"/>
      <c r="I317" s="11">
        <v>1</v>
      </c>
      <c r="J317" s="11">
        <v>3</v>
      </c>
      <c r="K317" s="11" t="s">
        <v>677</v>
      </c>
      <c r="L317" s="11">
        <v>0</v>
      </c>
      <c r="M317" s="11">
        <v>1</v>
      </c>
      <c r="N317" s="15">
        <v>0</v>
      </c>
      <c r="O317" s="11">
        <v>0</v>
      </c>
      <c r="P317" s="11">
        <v>0</v>
      </c>
      <c r="Q317" s="11" t="s">
        <v>678</v>
      </c>
      <c r="R317" s="11" t="s">
        <v>679</v>
      </c>
      <c r="S317" s="14"/>
      <c r="T317" s="11">
        <v>0</v>
      </c>
      <c r="U317" s="11">
        <v>0</v>
      </c>
      <c r="V317" s="11">
        <v>1</v>
      </c>
      <c r="W317" s="14"/>
      <c r="X317" s="14"/>
      <c r="Y317" s="14"/>
    </row>
    <row r="318" spans="1:25" ht="26.4">
      <c r="A318" s="10">
        <v>1</v>
      </c>
      <c r="B318" s="10" t="s">
        <v>680</v>
      </c>
      <c r="C318" s="11">
        <v>191</v>
      </c>
      <c r="D318" s="11">
        <v>1</v>
      </c>
      <c r="E318" s="11" t="s">
        <v>66</v>
      </c>
      <c r="F318" s="13" t="str">
        <f>HYPERLINK("https://news.detik.com/berita/d-4408640/psi-laporkan-soal-spanduk-hargai-hak-hak-lgbt-ke-bawaslu-dki ","sumber")</f>
        <v>sumber</v>
      </c>
      <c r="G318" s="11" t="s">
        <v>1</v>
      </c>
      <c r="H318" s="14"/>
      <c r="I318" s="11">
        <v>1</v>
      </c>
      <c r="J318" s="11">
        <v>3</v>
      </c>
      <c r="K318" s="11" t="s">
        <v>681</v>
      </c>
      <c r="L318" s="11">
        <v>0</v>
      </c>
      <c r="M318" s="11">
        <v>-1</v>
      </c>
      <c r="N318" s="15">
        <v>0</v>
      </c>
      <c r="O318" s="11">
        <v>0</v>
      </c>
      <c r="P318" s="11">
        <v>0</v>
      </c>
      <c r="Q318" s="11" t="s">
        <v>29</v>
      </c>
      <c r="R318" s="11" t="s">
        <v>30</v>
      </c>
      <c r="S318" s="14"/>
      <c r="T318" s="11">
        <v>0</v>
      </c>
      <c r="U318" s="11">
        <v>0</v>
      </c>
      <c r="V318" s="11">
        <v>0</v>
      </c>
      <c r="W318" s="14"/>
      <c r="X318" s="14"/>
      <c r="Y318" s="14"/>
    </row>
    <row r="319" spans="1:25" ht="26.4">
      <c r="A319" s="10">
        <v>1</v>
      </c>
      <c r="B319" s="10" t="s">
        <v>682</v>
      </c>
      <c r="C319" s="11">
        <v>192</v>
      </c>
      <c r="D319" s="11">
        <v>6</v>
      </c>
      <c r="E319" s="11" t="s">
        <v>66</v>
      </c>
      <c r="F319" s="13" t="str">
        <f>HYPERLINK("https://megapolitan.kompas.com/read/2019/01/31/13294731/psi-laporkan-pencatutan-nama-partai-di-spanduk-ke-bawaslu-dki ","sumber")</f>
        <v>sumber</v>
      </c>
      <c r="G319" s="11" t="s">
        <v>1</v>
      </c>
      <c r="H319" s="14"/>
      <c r="I319" s="11">
        <v>1</v>
      </c>
      <c r="J319" s="11">
        <v>3</v>
      </c>
      <c r="K319" s="11" t="s">
        <v>683</v>
      </c>
      <c r="L319" s="11">
        <v>0</v>
      </c>
      <c r="M319" s="11">
        <v>-1</v>
      </c>
      <c r="N319" s="15">
        <v>0</v>
      </c>
      <c r="O319" s="11">
        <v>0</v>
      </c>
      <c r="P319" s="11">
        <v>0</v>
      </c>
      <c r="Q319" s="11" t="s">
        <v>29</v>
      </c>
      <c r="R319" s="11" t="s">
        <v>30</v>
      </c>
      <c r="S319" s="14"/>
      <c r="T319" s="11">
        <v>0</v>
      </c>
      <c r="U319" s="11">
        <v>0</v>
      </c>
      <c r="V319" s="11">
        <v>0</v>
      </c>
      <c r="W319" s="14"/>
      <c r="X319" s="14"/>
      <c r="Y319" s="14"/>
    </row>
    <row r="320" spans="1:25" ht="14.4">
      <c r="A320" s="17">
        <v>2</v>
      </c>
      <c r="B320" s="17" t="s">
        <v>684</v>
      </c>
      <c r="C320" s="18">
        <v>193</v>
      </c>
      <c r="D320" s="18">
        <v>6</v>
      </c>
      <c r="E320" s="19"/>
      <c r="F320" s="20" t="str">
        <f>HYPERLINK("https://sains.kompas.com/read/2019/02/01/180600023/sebuah-kisah-dari-homo-erectus-nenek-moyang-kita-yang-misterius ","sumber")</f>
        <v>sumber</v>
      </c>
      <c r="G320" s="18" t="s">
        <v>1</v>
      </c>
      <c r="H320" s="19"/>
      <c r="I320" s="19"/>
      <c r="J320" s="18">
        <v>3</v>
      </c>
      <c r="K320" s="19"/>
      <c r="L320" s="19"/>
      <c r="M320" s="19"/>
      <c r="N320" s="19"/>
      <c r="O320" s="19"/>
      <c r="P320" s="19"/>
      <c r="Q320" s="19"/>
      <c r="R320" s="19"/>
      <c r="S320" s="19"/>
      <c r="T320" s="19"/>
      <c r="U320" s="19"/>
      <c r="V320" s="19"/>
      <c r="W320" s="19"/>
      <c r="X320" s="19"/>
      <c r="Y320" s="19"/>
    </row>
    <row r="321" spans="1:25" ht="14.4">
      <c r="A321" s="2">
        <v>1</v>
      </c>
      <c r="B321" s="2" t="s">
        <v>685</v>
      </c>
      <c r="C321" s="3">
        <v>194</v>
      </c>
      <c r="D321" s="3">
        <v>8</v>
      </c>
      <c r="E321" s="4">
        <v>43740</v>
      </c>
      <c r="F321" s="5" t="str">
        <f>HYPERLINK("https://www.suara.com/news/2019/02/10/153947/heboh-akun-komik-muslim-gay-di-instagram ","sumber")</f>
        <v>sumber</v>
      </c>
      <c r="G321" s="3" t="s">
        <v>1</v>
      </c>
      <c r="H321" s="3">
        <v>272</v>
      </c>
      <c r="I321" s="3">
        <v>1</v>
      </c>
      <c r="J321" s="3">
        <v>3</v>
      </c>
      <c r="K321" s="3" t="s">
        <v>248</v>
      </c>
      <c r="L321" s="3">
        <v>0</v>
      </c>
      <c r="M321" s="3">
        <v>-1</v>
      </c>
      <c r="N321" s="16">
        <v>0</v>
      </c>
      <c r="O321" s="3">
        <v>0</v>
      </c>
      <c r="P321" s="3">
        <v>0</v>
      </c>
      <c r="Q321" s="3" t="s">
        <v>21</v>
      </c>
      <c r="R321" s="3" t="s">
        <v>686</v>
      </c>
      <c r="S321" s="7"/>
      <c r="T321" s="3">
        <v>0</v>
      </c>
      <c r="U321" s="3">
        <v>0</v>
      </c>
      <c r="V321" s="3">
        <v>0</v>
      </c>
      <c r="W321" s="7"/>
      <c r="X321" s="7"/>
      <c r="Y321" s="7"/>
    </row>
    <row r="322" spans="1:25" ht="14.4">
      <c r="A322" s="17">
        <v>2</v>
      </c>
      <c r="B322" s="17" t="s">
        <v>687</v>
      </c>
      <c r="C322" s="18">
        <v>195</v>
      </c>
      <c r="D322" s="18">
        <v>6</v>
      </c>
      <c r="E322" s="19"/>
      <c r="F322" s="20" t="str">
        <f>HYPERLINK("https://travel.kompas.com/read/2019/02/23/220800327/berapa-harga-kisaran-paket-wisata-ke-afrika-selatan-dan-maroko- ","sumber")</f>
        <v>sumber</v>
      </c>
      <c r="G322" s="18" t="s">
        <v>1</v>
      </c>
      <c r="H322" s="19"/>
      <c r="I322" s="19"/>
      <c r="J322" s="18">
        <v>3</v>
      </c>
      <c r="K322" s="19"/>
      <c r="L322" s="19"/>
      <c r="M322" s="19"/>
      <c r="N322" s="19"/>
      <c r="O322" s="19"/>
      <c r="P322" s="19"/>
      <c r="Q322" s="19"/>
      <c r="R322" s="19"/>
      <c r="S322" s="19"/>
      <c r="T322" s="19"/>
      <c r="U322" s="19"/>
      <c r="V322" s="19"/>
      <c r="W322" s="19"/>
      <c r="X322" s="19"/>
      <c r="Y322" s="19"/>
    </row>
    <row r="323" spans="1:25" ht="26.4">
      <c r="A323" s="2">
        <v>1</v>
      </c>
      <c r="B323" s="2" t="s">
        <v>688</v>
      </c>
      <c r="C323" s="3">
        <v>196</v>
      </c>
      <c r="D323" s="3">
        <v>6</v>
      </c>
      <c r="E323" s="3" t="s">
        <v>689</v>
      </c>
      <c r="F323" s="5" t="str">
        <f>HYPERLINK("https://regional.kompas.com/read/2019/02/18/07295601/seorang-waria-ditemukan-tewas-diduga-korban-pembunuhan ","sumber")</f>
        <v>sumber</v>
      </c>
      <c r="G323" s="3" t="s">
        <v>1</v>
      </c>
      <c r="H323" s="3">
        <v>226</v>
      </c>
      <c r="I323" s="3">
        <v>1</v>
      </c>
      <c r="J323" s="3">
        <v>3</v>
      </c>
      <c r="K323" s="3" t="s">
        <v>690</v>
      </c>
      <c r="L323" s="3">
        <v>0</v>
      </c>
      <c r="M323" s="3">
        <v>0</v>
      </c>
      <c r="N323" s="16">
        <v>0</v>
      </c>
      <c r="O323" s="3">
        <v>0</v>
      </c>
      <c r="P323" s="3">
        <v>0</v>
      </c>
      <c r="Q323" s="3" t="s">
        <v>29</v>
      </c>
      <c r="R323" s="3" t="s">
        <v>29</v>
      </c>
      <c r="S323" s="7"/>
      <c r="T323" s="3">
        <v>0</v>
      </c>
      <c r="U323" s="3">
        <v>0</v>
      </c>
      <c r="V323" s="3">
        <v>0</v>
      </c>
      <c r="W323" s="7"/>
      <c r="X323" s="7"/>
      <c r="Y323" s="7"/>
    </row>
    <row r="324" spans="1:25" ht="14.4">
      <c r="A324" s="2">
        <v>1</v>
      </c>
      <c r="B324" s="2" t="s">
        <v>691</v>
      </c>
      <c r="C324" s="3">
        <v>197</v>
      </c>
      <c r="D324" s="3">
        <v>7</v>
      </c>
      <c r="E324" s="4">
        <v>43557</v>
      </c>
      <c r="F324" s="5" t="str">
        <f>HYPERLINK("http://www.tribunnews.com/regional/2019/02/04/empat-waria-diduga-pelaku-begal-diciduk-tim-resmob-polda-sulsel ","sumber")</f>
        <v>sumber</v>
      </c>
      <c r="G324" s="3" t="s">
        <v>1</v>
      </c>
      <c r="H324" s="3">
        <v>237</v>
      </c>
      <c r="I324" s="3">
        <v>1</v>
      </c>
      <c r="J324" s="3">
        <v>3</v>
      </c>
      <c r="K324" s="3" t="s">
        <v>692</v>
      </c>
      <c r="L324" s="3">
        <v>0</v>
      </c>
      <c r="M324" s="3">
        <v>0</v>
      </c>
      <c r="N324" s="16">
        <v>0</v>
      </c>
      <c r="O324" s="3">
        <v>0</v>
      </c>
      <c r="P324" s="3">
        <v>0</v>
      </c>
      <c r="Q324" s="3">
        <v>0</v>
      </c>
      <c r="R324" s="3">
        <v>0</v>
      </c>
      <c r="S324" s="7"/>
      <c r="T324" s="3">
        <v>0</v>
      </c>
      <c r="U324" s="3">
        <v>-1</v>
      </c>
      <c r="V324" s="3">
        <v>0</v>
      </c>
      <c r="W324" s="7"/>
      <c r="X324" s="7"/>
      <c r="Y324" s="7"/>
    </row>
    <row r="325" spans="1:25" ht="14.4">
      <c r="A325" s="17">
        <v>2</v>
      </c>
      <c r="B325" s="17" t="s">
        <v>693</v>
      </c>
      <c r="C325" s="18">
        <v>198</v>
      </c>
      <c r="D325" s="18">
        <v>3</v>
      </c>
      <c r="E325" s="19"/>
      <c r="F325" s="20" t="str">
        <f>HYPERLINK("https://news.okezone.com/read/2019/02/26/605/2022807/tkn-visi-misi-jokowi-adalah-bentuk-optimisme-memetik-bonus-demografi ","sumber")</f>
        <v>sumber</v>
      </c>
      <c r="G325" s="18" t="s">
        <v>1</v>
      </c>
      <c r="H325" s="19"/>
      <c r="I325" s="19"/>
      <c r="J325" s="18">
        <v>3</v>
      </c>
      <c r="K325" s="19"/>
      <c r="L325" s="19"/>
      <c r="M325" s="19"/>
      <c r="N325" s="19"/>
      <c r="O325" s="19"/>
      <c r="P325" s="19"/>
      <c r="Q325" s="19"/>
      <c r="R325" s="19"/>
      <c r="S325" s="19"/>
      <c r="T325" s="19"/>
      <c r="U325" s="19"/>
      <c r="V325" s="19"/>
      <c r="W325" s="19"/>
      <c r="X325" s="19"/>
      <c r="Y325" s="19"/>
    </row>
    <row r="326" spans="1:25" ht="39.6">
      <c r="A326" s="36">
        <v>1</v>
      </c>
      <c r="B326" s="36" t="s">
        <v>694</v>
      </c>
      <c r="C326" s="37">
        <v>199</v>
      </c>
      <c r="D326" s="37">
        <v>7</v>
      </c>
      <c r="E326" s="37" t="s">
        <v>325</v>
      </c>
      <c r="F326" s="39" t="str">
        <f>HYPERLINK("http://www.tribunnews.com/pilpres-2019/2019/02/26/bpn-minta-polisi-tak-buru-buru-tersangkakan-3-perempuan-di-jabar-diduga-kampanye-hitam-jokowi ","sumber")</f>
        <v>sumber</v>
      </c>
      <c r="G326" s="37" t="s">
        <v>1</v>
      </c>
      <c r="H326" s="40"/>
      <c r="I326" s="37">
        <v>1</v>
      </c>
      <c r="J326" s="37">
        <v>3</v>
      </c>
      <c r="K326" s="37" t="s">
        <v>695</v>
      </c>
      <c r="L326" s="37">
        <v>0</v>
      </c>
      <c r="M326" s="37">
        <v>-1</v>
      </c>
      <c r="N326" s="43">
        <v>0</v>
      </c>
      <c r="O326" s="37">
        <v>0</v>
      </c>
      <c r="P326" s="37">
        <v>0</v>
      </c>
      <c r="Q326" s="37" t="s">
        <v>29</v>
      </c>
      <c r="R326" s="37" t="s">
        <v>30</v>
      </c>
      <c r="S326" s="40"/>
      <c r="T326" s="37">
        <v>0</v>
      </c>
      <c r="U326" s="37">
        <v>0</v>
      </c>
      <c r="V326" s="37">
        <v>0</v>
      </c>
      <c r="W326" s="40"/>
      <c r="X326" s="40"/>
      <c r="Y326" s="40"/>
    </row>
    <row r="327" spans="1:25" ht="14.4">
      <c r="A327" s="10">
        <v>1</v>
      </c>
      <c r="B327" s="10" t="s">
        <v>696</v>
      </c>
      <c r="C327" s="11">
        <v>200</v>
      </c>
      <c r="D327" s="11">
        <v>10</v>
      </c>
      <c r="E327" s="12">
        <v>43588</v>
      </c>
      <c r="F327" s="13" t="str">
        <f>HYPERLINK("https://nasional.tempo.co/read/1181877/tkn-sebut-hoaks-masih-tinggi-di-jawa-barat ","sumber")</f>
        <v>sumber</v>
      </c>
      <c r="G327" s="11" t="s">
        <v>1</v>
      </c>
      <c r="H327" s="14"/>
      <c r="I327" s="11">
        <v>1</v>
      </c>
      <c r="J327" s="11">
        <v>3</v>
      </c>
      <c r="K327" s="11" t="s">
        <v>697</v>
      </c>
      <c r="L327" s="11">
        <v>0</v>
      </c>
      <c r="M327" s="11">
        <v>-1</v>
      </c>
      <c r="N327" s="15">
        <v>0</v>
      </c>
      <c r="O327" s="11">
        <v>0</v>
      </c>
      <c r="P327" s="11">
        <v>0</v>
      </c>
      <c r="Q327" s="11">
        <v>0</v>
      </c>
      <c r="R327" s="11">
        <v>-1</v>
      </c>
      <c r="S327" s="14"/>
      <c r="T327" s="11">
        <v>0</v>
      </c>
      <c r="U327" s="11">
        <v>0</v>
      </c>
      <c r="V327" s="11">
        <v>0</v>
      </c>
      <c r="W327" s="14"/>
      <c r="X327" s="14"/>
      <c r="Y327" s="14"/>
    </row>
    <row r="328" spans="1:25" ht="14.4">
      <c r="A328" s="10">
        <v>1</v>
      </c>
      <c r="B328" s="10" t="s">
        <v>698</v>
      </c>
      <c r="C328" s="11">
        <v>201</v>
      </c>
      <c r="D328" s="11">
        <v>9</v>
      </c>
      <c r="E328" s="12">
        <v>43649</v>
      </c>
      <c r="F328" s="13" t="str">
        <f>HYPERLINK("https://internasional.republika.co.id/berita/internasional/amerika/pnz1je377/unggah-video-pria-berkemih-presiden-brasil-bikin-heboh ","sumber")</f>
        <v>sumber</v>
      </c>
      <c r="G328" s="11" t="s">
        <v>1</v>
      </c>
      <c r="H328" s="14"/>
      <c r="I328" s="11">
        <v>1</v>
      </c>
      <c r="J328" s="11">
        <v>3</v>
      </c>
      <c r="K328" s="11" t="s">
        <v>699</v>
      </c>
      <c r="L328" s="11">
        <v>0</v>
      </c>
      <c r="M328" s="11">
        <v>-1</v>
      </c>
      <c r="N328" s="15">
        <v>0</v>
      </c>
      <c r="O328" s="11">
        <v>0</v>
      </c>
      <c r="P328" s="11">
        <v>0</v>
      </c>
      <c r="Q328" s="11">
        <v>0</v>
      </c>
      <c r="R328" s="11">
        <v>-1</v>
      </c>
      <c r="S328" s="14"/>
      <c r="T328" s="11">
        <v>0</v>
      </c>
      <c r="U328" s="11">
        <v>0</v>
      </c>
      <c r="V328" s="11">
        <v>0</v>
      </c>
      <c r="W328" s="14"/>
      <c r="X328" s="14"/>
      <c r="Y328" s="14"/>
    </row>
    <row r="329" spans="1:25" ht="14.4">
      <c r="A329" s="17">
        <v>2</v>
      </c>
      <c r="B329" s="17" t="s">
        <v>700</v>
      </c>
      <c r="C329" s="18">
        <v>202</v>
      </c>
      <c r="D329" s="18">
        <v>8</v>
      </c>
      <c r="E329" s="31">
        <v>43741</v>
      </c>
      <c r="F329" s="20" t="str">
        <f>HYPERLINK("https://www.suara.com/health/2019/03/10/210000/penggemar-olah-raga-dan-perokok-cenderung-banyak-pasangan-kok-bisa ","sumber")</f>
        <v>sumber</v>
      </c>
      <c r="G329" s="18" t="s">
        <v>1</v>
      </c>
      <c r="H329" s="19"/>
      <c r="I329" s="18"/>
      <c r="J329" s="18">
        <v>3</v>
      </c>
      <c r="K329" s="18"/>
      <c r="L329" s="19"/>
      <c r="M329" s="19"/>
      <c r="N329" s="19"/>
      <c r="O329" s="19"/>
      <c r="P329" s="19"/>
      <c r="Q329" s="19"/>
      <c r="R329" s="19"/>
      <c r="S329" s="19"/>
      <c r="T329" s="19"/>
      <c r="U329" s="19"/>
      <c r="V329" s="19"/>
      <c r="W329" s="19"/>
      <c r="X329" s="19"/>
      <c r="Y329" s="19"/>
    </row>
    <row r="330" spans="1:25" ht="39.6">
      <c r="A330" s="10">
        <v>1</v>
      </c>
      <c r="B330" s="10" t="s">
        <v>701</v>
      </c>
      <c r="C330" s="11">
        <v>203</v>
      </c>
      <c r="D330" s="11">
        <v>5</v>
      </c>
      <c r="E330" s="11" t="s">
        <v>493</v>
      </c>
      <c r="F330" s="13" t="str">
        <f>HYPERLINK("https://tirto.id/kontroversi-kewajiban-sterilisasi-transgender-di-jepang-djW4 ","sumber")</f>
        <v>sumber</v>
      </c>
      <c r="G330" s="11" t="s">
        <v>1</v>
      </c>
      <c r="H330" s="14"/>
      <c r="I330" s="11">
        <v>4</v>
      </c>
      <c r="J330" s="11">
        <v>3</v>
      </c>
      <c r="K330" s="11" t="s">
        <v>702</v>
      </c>
      <c r="L330" s="11">
        <v>0</v>
      </c>
      <c r="M330" s="11">
        <v>0</v>
      </c>
      <c r="N330" s="15">
        <v>0</v>
      </c>
      <c r="O330" s="11">
        <v>0</v>
      </c>
      <c r="P330" s="11">
        <v>0</v>
      </c>
      <c r="Q330" s="11" t="s">
        <v>134</v>
      </c>
      <c r="R330" s="11" t="s">
        <v>360</v>
      </c>
      <c r="S330" s="14"/>
      <c r="T330" s="11">
        <v>0</v>
      </c>
      <c r="U330" s="11">
        <v>0</v>
      </c>
      <c r="V330" s="11">
        <v>1</v>
      </c>
      <c r="W330" s="14"/>
      <c r="X330" s="14"/>
      <c r="Y330" s="14"/>
    </row>
    <row r="331" spans="1:25" ht="26.4">
      <c r="A331" s="10">
        <v>1</v>
      </c>
      <c r="B331" s="10" t="s">
        <v>703</v>
      </c>
      <c r="C331" s="11">
        <v>204</v>
      </c>
      <c r="D331" s="11">
        <v>9</v>
      </c>
      <c r="E331" s="11" t="s">
        <v>704</v>
      </c>
      <c r="F331" s="13" t="str">
        <f>HYPERLINK("https://republika.co.id/berita/pendidikan/dunia-kampus/pouv0z335/memuat-konten-pornografi-usu-ingin-tertibkan-pers-mahasiswa ","sumber")</f>
        <v>sumber</v>
      </c>
      <c r="G331" s="11" t="s">
        <v>1</v>
      </c>
      <c r="H331" s="14"/>
      <c r="I331" s="11">
        <v>1</v>
      </c>
      <c r="J331" s="11">
        <v>3</v>
      </c>
      <c r="K331" s="11" t="s">
        <v>705</v>
      </c>
      <c r="L331" s="11">
        <v>0</v>
      </c>
      <c r="M331" s="11">
        <v>1</v>
      </c>
      <c r="N331" s="15">
        <v>0</v>
      </c>
      <c r="O331" s="11">
        <v>0</v>
      </c>
      <c r="P331" s="11">
        <v>0</v>
      </c>
      <c r="Q331" s="11" t="s">
        <v>21</v>
      </c>
      <c r="R331" s="11" t="s">
        <v>706</v>
      </c>
      <c r="S331" s="11" t="s">
        <v>707</v>
      </c>
      <c r="T331" s="11">
        <v>1</v>
      </c>
      <c r="U331" s="11">
        <v>0</v>
      </c>
      <c r="V331" s="11">
        <v>0</v>
      </c>
      <c r="W331" s="14"/>
      <c r="X331" s="14"/>
      <c r="Y331" s="14"/>
    </row>
    <row r="332" spans="1:25" ht="14.4">
      <c r="A332" s="17">
        <v>2</v>
      </c>
      <c r="B332" s="17" t="s">
        <v>708</v>
      </c>
      <c r="C332" s="18">
        <v>205</v>
      </c>
      <c r="D332" s="18">
        <v>9</v>
      </c>
      <c r="E332" s="19"/>
      <c r="F332" s="20" t="str">
        <f>HYPERLINK("https://nasional.republika.co.id/berita/nasional/daerah/pox8kj459/kasus-tb-di-indramayu-tinggi ","sumber")</f>
        <v>sumber</v>
      </c>
      <c r="G332" s="18" t="s">
        <v>1</v>
      </c>
      <c r="H332" s="19"/>
      <c r="I332" s="19"/>
      <c r="J332" s="18">
        <v>3</v>
      </c>
      <c r="K332" s="19"/>
      <c r="L332" s="19"/>
      <c r="M332" s="19"/>
      <c r="N332" s="19"/>
      <c r="O332" s="19"/>
      <c r="P332" s="19"/>
      <c r="Q332" s="19"/>
      <c r="R332" s="19"/>
      <c r="S332" s="19"/>
      <c r="T332" s="19"/>
      <c r="U332" s="19"/>
      <c r="V332" s="19"/>
      <c r="W332" s="19"/>
      <c r="X332" s="19"/>
      <c r="Y332" s="19"/>
    </row>
    <row r="333" spans="1:25" ht="14.4">
      <c r="A333" s="17">
        <v>2</v>
      </c>
      <c r="B333" s="17" t="s">
        <v>709</v>
      </c>
      <c r="C333" s="18">
        <v>206</v>
      </c>
      <c r="D333" s="18">
        <v>4</v>
      </c>
      <c r="E333" s="19"/>
      <c r="F333" s="20" t="str">
        <f>HYPERLINK("https://hot.liputan6.com/read/3927162/video-akan-diterapkan-di-brunei-ini-hukuman-bagi-lgbt ","sumber")</f>
        <v>sumber</v>
      </c>
      <c r="G333" s="18" t="s">
        <v>1</v>
      </c>
      <c r="H333" s="19"/>
      <c r="I333" s="19"/>
      <c r="J333" s="18">
        <v>3</v>
      </c>
      <c r="K333" s="19"/>
      <c r="L333" s="19"/>
      <c r="M333" s="19"/>
      <c r="N333" s="19"/>
      <c r="O333" s="19"/>
      <c r="P333" s="19"/>
      <c r="Q333" s="19"/>
      <c r="R333" s="19"/>
      <c r="S333" s="19"/>
      <c r="T333" s="19"/>
      <c r="U333" s="19"/>
      <c r="V333" s="19"/>
      <c r="W333" s="19"/>
      <c r="X333" s="19"/>
      <c r="Y333" s="19"/>
    </row>
    <row r="334" spans="1:25" ht="14.4">
      <c r="A334" s="17">
        <v>2</v>
      </c>
      <c r="B334" s="17" t="s">
        <v>710</v>
      </c>
      <c r="C334" s="18">
        <v>207</v>
      </c>
      <c r="D334" s="18">
        <v>7</v>
      </c>
      <c r="E334" s="19"/>
      <c r="F334" s="20" t="str">
        <f>HYPERLINK("http://www.tribunnews.com/kesehatan/2019/03/27/keberadaannya-mulai-langka-ceplukan-ternyata-punya-segudang-manfaat-bagi-kesehatan ","sumber")</f>
        <v>sumber</v>
      </c>
      <c r="G334" s="18" t="s">
        <v>1</v>
      </c>
      <c r="H334" s="19"/>
      <c r="I334" s="19"/>
      <c r="J334" s="18">
        <v>3</v>
      </c>
      <c r="K334" s="19"/>
      <c r="L334" s="19"/>
      <c r="M334" s="19"/>
      <c r="N334" s="19"/>
      <c r="O334" s="19"/>
      <c r="P334" s="19"/>
      <c r="Q334" s="19"/>
      <c r="R334" s="19"/>
      <c r="S334" s="19"/>
      <c r="T334" s="19"/>
      <c r="U334" s="19"/>
      <c r="V334" s="19"/>
      <c r="W334" s="19"/>
      <c r="X334" s="19"/>
      <c r="Y334" s="19"/>
    </row>
    <row r="335" spans="1:25" ht="26.4">
      <c r="A335" s="2">
        <v>1</v>
      </c>
      <c r="B335" s="2" t="s">
        <v>711</v>
      </c>
      <c r="C335" s="3">
        <v>208</v>
      </c>
      <c r="D335" s="3">
        <v>1</v>
      </c>
      <c r="E335" s="3" t="s">
        <v>115</v>
      </c>
      <c r="F335" s="5" t="str">
        <f>HYPERLINK("https://news.detik.com/berita/d-4470178/ruu-p-ks-disebut-legalkan-zina-bamsoet-itu-ngawur-dan-omong-kosong ","sumber")</f>
        <v>sumber</v>
      </c>
      <c r="G335" s="3" t="s">
        <v>1</v>
      </c>
      <c r="H335" s="3">
        <v>430</v>
      </c>
      <c r="I335" s="3">
        <v>1</v>
      </c>
      <c r="J335" s="3">
        <v>4</v>
      </c>
      <c r="K335" s="3" t="s">
        <v>712</v>
      </c>
      <c r="L335" s="3">
        <v>0</v>
      </c>
      <c r="M335" s="3">
        <v>-1</v>
      </c>
      <c r="N335" s="16">
        <v>0</v>
      </c>
      <c r="O335" s="3">
        <v>0</v>
      </c>
      <c r="P335" s="3">
        <v>0</v>
      </c>
      <c r="Q335" s="3" t="s">
        <v>21</v>
      </c>
      <c r="R335" s="3" t="s">
        <v>631</v>
      </c>
      <c r="S335" s="3" t="s">
        <v>713</v>
      </c>
      <c r="T335" s="3">
        <v>1</v>
      </c>
      <c r="U335" s="3">
        <v>0</v>
      </c>
      <c r="V335" s="3">
        <v>0</v>
      </c>
      <c r="W335" s="7"/>
      <c r="X335" s="7"/>
      <c r="Y335" s="7"/>
    </row>
    <row r="336" spans="1:25" ht="14.4">
      <c r="A336" s="10">
        <v>1</v>
      </c>
      <c r="B336" s="10" t="s">
        <v>714</v>
      </c>
      <c r="C336" s="11">
        <v>209</v>
      </c>
      <c r="D336" s="11">
        <v>6</v>
      </c>
      <c r="E336" s="11" t="s">
        <v>132</v>
      </c>
      <c r="F336" s="13" t="str">
        <f>HYPERLINK("https://internasional.kompas.com/read/2019/03/30/08544461/george-clooney-serukan-pemboikotan-hotel-milik-sultan-brunei ","sumber")</f>
        <v>sumber</v>
      </c>
      <c r="G336" s="11" t="s">
        <v>1</v>
      </c>
      <c r="H336" s="14"/>
      <c r="I336" s="11">
        <v>1</v>
      </c>
      <c r="J336" s="11">
        <v>3</v>
      </c>
      <c r="K336" s="11" t="s">
        <v>715</v>
      </c>
      <c r="L336" s="11">
        <v>0</v>
      </c>
      <c r="M336" s="11">
        <v>1</v>
      </c>
      <c r="N336" s="15">
        <v>0</v>
      </c>
      <c r="O336" s="11">
        <v>0</v>
      </c>
      <c r="P336" s="11">
        <v>0</v>
      </c>
      <c r="Q336" s="11">
        <v>0</v>
      </c>
      <c r="R336" s="11">
        <v>1</v>
      </c>
      <c r="S336" s="11" t="s">
        <v>716</v>
      </c>
      <c r="T336" s="11">
        <v>1</v>
      </c>
      <c r="U336" s="11">
        <v>0</v>
      </c>
      <c r="V336" s="11">
        <v>0</v>
      </c>
      <c r="W336" s="14"/>
      <c r="X336" s="14"/>
      <c r="Y336" s="14"/>
    </row>
    <row r="337" spans="1:25" ht="26.4">
      <c r="A337" s="10">
        <v>1</v>
      </c>
      <c r="B337" s="10" t="s">
        <v>717</v>
      </c>
      <c r="C337" s="11">
        <v>210</v>
      </c>
      <c r="D337" s="11">
        <v>2</v>
      </c>
      <c r="E337" s="11" t="s">
        <v>139</v>
      </c>
      <c r="F337" s="13" t="str">
        <f>HYPERLINK("https://www.cnnindonesia.com/nasional/20190331160922-32-382291/rhoma-irama-sebut-ruu-pks-legalkan-zina-dan-lgbt ","sumber")</f>
        <v>sumber</v>
      </c>
      <c r="G337" s="11" t="s">
        <v>1</v>
      </c>
      <c r="H337" s="14"/>
      <c r="I337" s="11">
        <v>4</v>
      </c>
      <c r="J337" s="11">
        <v>3</v>
      </c>
      <c r="K337" s="11" t="s">
        <v>718</v>
      </c>
      <c r="L337" s="11">
        <v>0</v>
      </c>
      <c r="M337" s="11">
        <v>0</v>
      </c>
      <c r="N337" s="15">
        <v>0</v>
      </c>
      <c r="O337" s="11">
        <v>0</v>
      </c>
      <c r="P337" s="11">
        <v>0</v>
      </c>
      <c r="Q337" s="11" t="s">
        <v>29</v>
      </c>
      <c r="R337" s="11" t="s">
        <v>141</v>
      </c>
      <c r="S337" s="14"/>
      <c r="T337" s="11">
        <v>0</v>
      </c>
      <c r="U337" s="11">
        <v>0</v>
      </c>
      <c r="V337" s="11">
        <v>0</v>
      </c>
      <c r="W337" s="14"/>
      <c r="X337" s="14"/>
      <c r="Y337" s="14"/>
    </row>
    <row r="338" spans="1:25" ht="39.6">
      <c r="A338" s="10">
        <v>1</v>
      </c>
      <c r="B338" s="10" t="s">
        <v>719</v>
      </c>
      <c r="C338" s="11">
        <v>211</v>
      </c>
      <c r="D338" s="11">
        <v>2</v>
      </c>
      <c r="E338" s="12">
        <v>43528</v>
      </c>
      <c r="F338" s="13" t="str">
        <f>HYPERLINK("https://www.cnnindonesia.com/teknologi/20190403144236-192-383179/pro-dan-kontra-netizen-tanggapi-hukum-mati-lgbt-di-brunei ","sumber")</f>
        <v>sumber</v>
      </c>
      <c r="G338" s="11" t="s">
        <v>1</v>
      </c>
      <c r="H338" s="14"/>
      <c r="I338" s="11">
        <v>1</v>
      </c>
      <c r="J338" s="11">
        <v>3</v>
      </c>
      <c r="K338" s="11" t="s">
        <v>720</v>
      </c>
      <c r="L338" s="11">
        <v>0</v>
      </c>
      <c r="M338" s="11">
        <v>-1</v>
      </c>
      <c r="N338" s="15">
        <v>0</v>
      </c>
      <c r="O338" s="11">
        <v>0</v>
      </c>
      <c r="P338" s="11">
        <v>0</v>
      </c>
      <c r="Q338" s="47" t="s">
        <v>170</v>
      </c>
      <c r="R338" s="11" t="s">
        <v>721</v>
      </c>
      <c r="S338" s="11" t="s">
        <v>722</v>
      </c>
      <c r="T338" s="11">
        <v>1</v>
      </c>
      <c r="U338" s="11">
        <v>0</v>
      </c>
      <c r="V338" s="11">
        <v>0</v>
      </c>
      <c r="W338" s="14"/>
      <c r="X338" s="14"/>
      <c r="Y338" s="14"/>
    </row>
    <row r="339" spans="1:25" ht="26.4">
      <c r="A339" s="2">
        <v>1</v>
      </c>
      <c r="B339" s="2" t="s">
        <v>723</v>
      </c>
      <c r="C339" s="3">
        <v>212</v>
      </c>
      <c r="D339" s="3">
        <v>1</v>
      </c>
      <c r="E339" s="4">
        <v>43559</v>
      </c>
      <c r="F339" s="5" t="str">
        <f>HYPERLINK("https://news.detik.com/berita/d-4496433/hukum-mati-lgbt-brunei-pelajari-syariat-islam-di-aceh ","sumber")</f>
        <v>sumber</v>
      </c>
      <c r="G339" s="3" t="s">
        <v>1</v>
      </c>
      <c r="H339" s="3">
        <v>418</v>
      </c>
      <c r="I339" s="3">
        <v>4</v>
      </c>
      <c r="J339" s="3">
        <v>3</v>
      </c>
      <c r="K339" s="3" t="s">
        <v>724</v>
      </c>
      <c r="L339" s="3">
        <v>0</v>
      </c>
      <c r="M339" s="3">
        <v>0</v>
      </c>
      <c r="N339" s="16">
        <v>0</v>
      </c>
      <c r="O339" s="3">
        <v>0</v>
      </c>
      <c r="P339" s="3">
        <v>0</v>
      </c>
      <c r="Q339" s="3" t="s">
        <v>29</v>
      </c>
      <c r="R339" s="3" t="s">
        <v>53</v>
      </c>
      <c r="S339" s="3" t="s">
        <v>725</v>
      </c>
      <c r="T339" s="3">
        <v>1</v>
      </c>
      <c r="U339" s="3">
        <v>0</v>
      </c>
      <c r="V339" s="3">
        <v>1</v>
      </c>
      <c r="W339" s="7"/>
      <c r="X339" s="7"/>
      <c r="Y339" s="7"/>
    </row>
    <row r="340" spans="1:25" ht="14.4">
      <c r="A340" s="10">
        <v>1</v>
      </c>
      <c r="B340" s="10" t="s">
        <v>726</v>
      </c>
      <c r="C340" s="11">
        <v>213</v>
      </c>
      <c r="D340" s="11">
        <v>4</v>
      </c>
      <c r="E340" s="12">
        <v>43559</v>
      </c>
      <c r="F340" s="13" t="str">
        <f>HYPERLINK("https://www.liputan6.com/news/read/3933673/wakil-ketua-mpr-umat-islam-ikut-menyelamatkan-pancasila-dan-nkri ","sumber")</f>
        <v>sumber</v>
      </c>
      <c r="G340" s="11" t="s">
        <v>1</v>
      </c>
      <c r="H340" s="14"/>
      <c r="I340" s="11">
        <v>1</v>
      </c>
      <c r="J340" s="11">
        <v>3</v>
      </c>
      <c r="K340" s="11" t="s">
        <v>727</v>
      </c>
      <c r="L340" s="11">
        <v>0</v>
      </c>
      <c r="M340" s="11">
        <v>-1</v>
      </c>
      <c r="N340" s="15">
        <v>0</v>
      </c>
      <c r="O340" s="11">
        <v>0</v>
      </c>
      <c r="P340" s="11">
        <v>0</v>
      </c>
      <c r="Q340" s="11">
        <v>0</v>
      </c>
      <c r="R340" s="11">
        <v>-1</v>
      </c>
      <c r="S340" s="14"/>
      <c r="T340" s="11">
        <v>0</v>
      </c>
      <c r="U340" s="11">
        <v>0</v>
      </c>
      <c r="V340" s="11">
        <v>0</v>
      </c>
      <c r="W340" s="14"/>
      <c r="X340" s="14"/>
      <c r="Y340" s="14"/>
    </row>
    <row r="341" spans="1:25" ht="14.4">
      <c r="A341" s="17">
        <v>2</v>
      </c>
      <c r="B341" s="17" t="s">
        <v>728</v>
      </c>
      <c r="C341" s="18">
        <v>214</v>
      </c>
      <c r="D341" s="18">
        <v>2</v>
      </c>
      <c r="E341" s="19"/>
      <c r="F341" s="20" t="str">
        <f>HYPERLINK("https://www.cnnindonesia.com/nasional/20190407034828-12-383989/ditahan-polisi-penyebar-kebencian-98-sentimen-sama-prabowo ","sumber")</f>
        <v>sumber</v>
      </c>
      <c r="G341" s="18" t="s">
        <v>1</v>
      </c>
      <c r="H341" s="19"/>
      <c r="I341" s="19"/>
      <c r="J341" s="18">
        <v>3</v>
      </c>
      <c r="K341" s="19"/>
      <c r="L341" s="19"/>
      <c r="M341" s="19"/>
      <c r="N341" s="19"/>
      <c r="O341" s="19"/>
      <c r="P341" s="19"/>
      <c r="Q341" s="19"/>
      <c r="R341" s="19"/>
      <c r="S341" s="19"/>
      <c r="T341" s="19"/>
      <c r="U341" s="19"/>
      <c r="V341" s="19"/>
      <c r="W341" s="19"/>
      <c r="X341" s="19"/>
      <c r="Y341" s="19"/>
    </row>
    <row r="342" spans="1:25" ht="14.4">
      <c r="A342" s="2">
        <v>1</v>
      </c>
      <c r="B342" s="2" t="s">
        <v>729</v>
      </c>
      <c r="C342" s="3">
        <v>215</v>
      </c>
      <c r="D342" s="3">
        <v>6</v>
      </c>
      <c r="E342" s="4">
        <v>43589</v>
      </c>
      <c r="F342" s="5" t="str">
        <f>HYPERLINK("https://internasional.kompas.com/read/2019/04/05/08153541/brunei-berlakukan-hukum-rajam-sampai-mati-terhadap-pelaku-lgbt-dan-zina ","sumber")</f>
        <v>sumber</v>
      </c>
      <c r="G342" s="3" t="s">
        <v>1</v>
      </c>
      <c r="H342" s="3">
        <v>392</v>
      </c>
      <c r="I342" s="3">
        <v>4</v>
      </c>
      <c r="J342" s="3">
        <v>3</v>
      </c>
      <c r="K342" s="3" t="s">
        <v>730</v>
      </c>
      <c r="L342" s="3">
        <v>0</v>
      </c>
      <c r="M342" s="3">
        <v>0</v>
      </c>
      <c r="N342" s="16">
        <v>0</v>
      </c>
      <c r="O342" s="3">
        <v>0</v>
      </c>
      <c r="P342" s="3">
        <v>0</v>
      </c>
      <c r="Q342" s="3">
        <v>0</v>
      </c>
      <c r="R342" s="3">
        <v>0</v>
      </c>
      <c r="S342" s="3" t="s">
        <v>731</v>
      </c>
      <c r="T342" s="3">
        <v>1</v>
      </c>
      <c r="U342" s="3">
        <v>0</v>
      </c>
      <c r="V342" s="3">
        <v>1</v>
      </c>
      <c r="W342" s="7"/>
      <c r="X342" s="7"/>
      <c r="Y342" s="7"/>
    </row>
    <row r="343" spans="1:25" ht="14.4">
      <c r="A343" s="17">
        <v>2</v>
      </c>
      <c r="B343" s="17" t="s">
        <v>732</v>
      </c>
      <c r="C343" s="18">
        <v>216</v>
      </c>
      <c r="D343" s="18">
        <v>6</v>
      </c>
      <c r="E343" s="19"/>
      <c r="F343" s="20" t="str">
        <f>HYPERLINK("https://regional.kompas.com/read/2019/04/13/21232531/fakta-kampanye-jokowi-di-bogor-sabar-itu-ada-batasnya-hingga-target-menang ","sumber")</f>
        <v>sumber</v>
      </c>
      <c r="G343" s="18" t="s">
        <v>1</v>
      </c>
      <c r="H343" s="19"/>
      <c r="I343" s="19"/>
      <c r="J343" s="18">
        <v>3</v>
      </c>
      <c r="K343" s="19"/>
      <c r="L343" s="19"/>
      <c r="M343" s="19"/>
      <c r="N343" s="19"/>
      <c r="O343" s="19"/>
      <c r="P343" s="19"/>
      <c r="Q343" s="19"/>
      <c r="R343" s="19"/>
      <c r="S343" s="19"/>
      <c r="T343" s="19"/>
      <c r="U343" s="19"/>
      <c r="V343" s="19"/>
      <c r="W343" s="19"/>
      <c r="X343" s="19"/>
      <c r="Y343" s="19"/>
    </row>
    <row r="344" spans="1:25" ht="26.4">
      <c r="A344" s="2">
        <v>1</v>
      </c>
      <c r="B344" s="2" t="s">
        <v>733</v>
      </c>
      <c r="C344" s="3">
        <v>217</v>
      </c>
      <c r="D344" s="3">
        <v>8</v>
      </c>
      <c r="E344" s="3" t="s">
        <v>734</v>
      </c>
      <c r="F344" s="5" t="str">
        <f>HYPERLINK(" https://www.suara.com/news/2019/04/13/075754/dituding-melanggar-ham-brunei-ungkap-alasan-hukuman-mati-bagi-lgbt ","sumber")</f>
        <v>sumber</v>
      </c>
      <c r="G344" s="3" t="s">
        <v>1</v>
      </c>
      <c r="H344" s="3">
        <v>284</v>
      </c>
      <c r="I344" s="3">
        <v>4</v>
      </c>
      <c r="J344" s="3">
        <v>3</v>
      </c>
      <c r="K344" s="3" t="s">
        <v>735</v>
      </c>
      <c r="L344" s="3">
        <v>0</v>
      </c>
      <c r="M344" s="3">
        <v>0</v>
      </c>
      <c r="N344" s="16">
        <v>0</v>
      </c>
      <c r="O344" s="3">
        <v>0</v>
      </c>
      <c r="P344" s="3">
        <v>0</v>
      </c>
      <c r="Q344" s="3" t="s">
        <v>29</v>
      </c>
      <c r="R344" s="3" t="s">
        <v>141</v>
      </c>
      <c r="S344" s="3" t="s">
        <v>731</v>
      </c>
      <c r="T344" s="3">
        <v>1</v>
      </c>
      <c r="U344" s="3">
        <v>0</v>
      </c>
      <c r="V344" s="3">
        <v>1</v>
      </c>
      <c r="W344" s="7"/>
      <c r="X344" s="7"/>
      <c r="Y344" s="7"/>
    </row>
    <row r="345" spans="1:25" ht="14.4">
      <c r="A345" s="17">
        <v>2</v>
      </c>
      <c r="B345" s="17" t="s">
        <v>736</v>
      </c>
      <c r="C345" s="18">
        <v>218</v>
      </c>
      <c r="D345" s="18">
        <v>6</v>
      </c>
      <c r="E345" s="19"/>
      <c r="F345" s="20" t="str">
        <f>HYPERLINK("https://sains.kompas.com/read/2019/04/21/191300023/punya-gigi-unik-spesies-kera-purba-baru-ditemukan-di-indonesia ","sumber")</f>
        <v>sumber</v>
      </c>
      <c r="G345" s="18" t="s">
        <v>1</v>
      </c>
      <c r="H345" s="19"/>
      <c r="I345" s="19"/>
      <c r="J345" s="18">
        <v>3</v>
      </c>
      <c r="K345" s="19"/>
      <c r="L345" s="19"/>
      <c r="M345" s="19"/>
      <c r="N345" s="19"/>
      <c r="O345" s="19"/>
      <c r="P345" s="19"/>
      <c r="Q345" s="19"/>
      <c r="R345" s="19"/>
      <c r="S345" s="19"/>
      <c r="T345" s="19"/>
      <c r="U345" s="19"/>
      <c r="V345" s="19"/>
      <c r="W345" s="19"/>
      <c r="X345" s="19"/>
      <c r="Y345" s="19"/>
    </row>
    <row r="346" spans="1:25" ht="39.6">
      <c r="A346" s="10">
        <v>1</v>
      </c>
      <c r="B346" s="10" t="s">
        <v>737</v>
      </c>
      <c r="C346" s="11">
        <v>219</v>
      </c>
      <c r="D346" s="11">
        <v>1</v>
      </c>
      <c r="E346" s="11" t="s">
        <v>165</v>
      </c>
      <c r="F346" s="13" t="str">
        <f>HYPERLINK("https://news.detik.com/abc-australia/d-4522311/surati-parlemen-eropa-brunei-tegaskan-hukuman-mati-terhadap-lgbt ","sumber")</f>
        <v>sumber</v>
      </c>
      <c r="G346" s="11" t="s">
        <v>1</v>
      </c>
      <c r="H346" s="14"/>
      <c r="I346" s="11">
        <v>4</v>
      </c>
      <c r="J346" s="11">
        <v>3</v>
      </c>
      <c r="K346" s="11" t="s">
        <v>738</v>
      </c>
      <c r="L346" s="11">
        <v>0</v>
      </c>
      <c r="M346" s="11">
        <v>0</v>
      </c>
      <c r="N346" s="15">
        <v>0</v>
      </c>
      <c r="O346" s="11">
        <v>0</v>
      </c>
      <c r="P346" s="11">
        <v>0</v>
      </c>
      <c r="Q346" s="11" t="s">
        <v>21</v>
      </c>
      <c r="R346" s="11" t="s">
        <v>739</v>
      </c>
      <c r="S346" s="14"/>
      <c r="T346" s="11">
        <v>0</v>
      </c>
      <c r="U346" s="11">
        <v>0</v>
      </c>
      <c r="V346" s="11">
        <v>1</v>
      </c>
      <c r="W346" s="14"/>
      <c r="X346" s="14"/>
      <c r="Y346" s="14"/>
    </row>
    <row r="347" spans="1:25" ht="66">
      <c r="A347" s="2">
        <v>1</v>
      </c>
      <c r="B347" s="2" t="s">
        <v>740</v>
      </c>
      <c r="C347" s="3">
        <v>220</v>
      </c>
      <c r="D347" s="3">
        <v>5</v>
      </c>
      <c r="E347" s="4">
        <v>43742</v>
      </c>
      <c r="F347" s="5" t="str">
        <f>HYPERLINK("https://tirto.id/abdul-azim-pangeran-brunei-yang-mesra-dengan-tokoh-aktivis-lgbt-dlDM ","sumber")</f>
        <v>sumber</v>
      </c>
      <c r="G347" s="3" t="s">
        <v>1</v>
      </c>
      <c r="H347" s="3">
        <v>1403</v>
      </c>
      <c r="I347" s="3">
        <v>2</v>
      </c>
      <c r="J347" s="3">
        <v>3</v>
      </c>
      <c r="K347" s="3" t="s">
        <v>741</v>
      </c>
      <c r="L347" s="3">
        <v>0</v>
      </c>
      <c r="M347" s="3">
        <v>0</v>
      </c>
      <c r="N347" s="16">
        <v>0</v>
      </c>
      <c r="O347" s="3">
        <v>0</v>
      </c>
      <c r="P347" s="3">
        <v>0</v>
      </c>
      <c r="Q347" s="3" t="s">
        <v>742</v>
      </c>
      <c r="R347" s="3" t="s">
        <v>743</v>
      </c>
      <c r="S347" s="7"/>
      <c r="T347" s="3">
        <v>0</v>
      </c>
      <c r="U347" s="3">
        <v>0</v>
      </c>
      <c r="V347" s="3">
        <v>1</v>
      </c>
      <c r="W347" s="7"/>
      <c r="X347" s="7"/>
      <c r="Y347" s="7"/>
    </row>
    <row r="348" spans="1:25" ht="14.4">
      <c r="A348" s="10">
        <v>1</v>
      </c>
      <c r="B348" s="10" t="s">
        <v>744</v>
      </c>
      <c r="C348" s="11">
        <v>221</v>
      </c>
      <c r="D348" s="11">
        <v>7</v>
      </c>
      <c r="E348" s="12">
        <v>43586</v>
      </c>
      <c r="F348" s="13" t="str">
        <f>HYPERLINK("http://www.tribunnews.com/regional/2019/05/01/tanggapi-pembubaran-paksa-aksi-penari-di-pontianak-pengamat-singgung-purifikasi-dan-homophobia ","sumber")</f>
        <v>sumber</v>
      </c>
      <c r="G348" s="11" t="s">
        <v>1</v>
      </c>
      <c r="H348" s="14"/>
      <c r="I348" s="11">
        <v>1</v>
      </c>
      <c r="J348" s="11">
        <v>3</v>
      </c>
      <c r="K348" s="11" t="s">
        <v>745</v>
      </c>
      <c r="L348" s="11">
        <v>0</v>
      </c>
      <c r="M348" s="11">
        <v>-1</v>
      </c>
      <c r="N348" s="15">
        <v>0</v>
      </c>
      <c r="O348" s="11">
        <v>0</v>
      </c>
      <c r="P348" s="11">
        <v>0</v>
      </c>
      <c r="Q348" s="11">
        <v>0</v>
      </c>
      <c r="R348" s="11">
        <v>1</v>
      </c>
      <c r="S348" s="14"/>
      <c r="T348" s="11">
        <v>0</v>
      </c>
      <c r="U348" s="11">
        <v>0</v>
      </c>
      <c r="V348" s="11">
        <v>0</v>
      </c>
      <c r="W348" s="14"/>
      <c r="X348" s="14"/>
      <c r="Y348" s="14"/>
    </row>
    <row r="349" spans="1:25" ht="26.4">
      <c r="A349" s="2">
        <v>1</v>
      </c>
      <c r="B349" s="2" t="s">
        <v>746</v>
      </c>
      <c r="C349" s="3">
        <v>222</v>
      </c>
      <c r="D349" s="3">
        <v>3</v>
      </c>
      <c r="E349" s="3" t="s">
        <v>208</v>
      </c>
      <c r="F349" s="5" t="str">
        <f>HYPERLINK("https://news.okezone.com/read/2019/05/24/18/2059801/dikritik-soal-hukum-anti-lgbt-sultan-brunei-kembalikan-gelar-dari-oxford ","sumber")</f>
        <v>sumber</v>
      </c>
      <c r="G349" s="3" t="s">
        <v>1</v>
      </c>
      <c r="H349" s="3">
        <v>312</v>
      </c>
      <c r="I349" s="3">
        <v>4</v>
      </c>
      <c r="J349" s="3">
        <v>3</v>
      </c>
      <c r="K349" s="3" t="s">
        <v>747</v>
      </c>
      <c r="L349" s="3">
        <v>0</v>
      </c>
      <c r="M349" s="3">
        <v>0</v>
      </c>
      <c r="N349" s="16">
        <v>0</v>
      </c>
      <c r="O349" s="3">
        <v>0</v>
      </c>
      <c r="P349" s="3">
        <v>0</v>
      </c>
      <c r="Q349" s="3" t="s">
        <v>29</v>
      </c>
      <c r="R349" s="3" t="s">
        <v>748</v>
      </c>
      <c r="S349" s="7"/>
      <c r="T349" s="3">
        <v>0</v>
      </c>
      <c r="U349" s="3">
        <v>0</v>
      </c>
      <c r="V349" s="3">
        <v>1</v>
      </c>
      <c r="W349" s="7"/>
      <c r="X349" s="7"/>
      <c r="Y349" s="7"/>
    </row>
    <row r="350" spans="1:25" ht="14.4">
      <c r="A350" s="17">
        <v>2</v>
      </c>
      <c r="B350" s="17" t="s">
        <v>749</v>
      </c>
      <c r="C350" s="18">
        <v>223</v>
      </c>
      <c r="D350" s="18">
        <v>9</v>
      </c>
      <c r="E350" s="19"/>
      <c r="F350" s="20" t="str">
        <f>HYPERLINK("https://nasional.republika.co.id/berita/nasional/jabodetabek-nasional/pqxmbd330/dinsos-dki-tingkatkan-razia-pmks ","sumber")</f>
        <v>sumber</v>
      </c>
      <c r="G350" s="18" t="s">
        <v>1</v>
      </c>
      <c r="H350" s="19"/>
      <c r="I350" s="19"/>
      <c r="J350" s="18">
        <v>3</v>
      </c>
      <c r="K350" s="19"/>
      <c r="L350" s="19"/>
      <c r="M350" s="19"/>
      <c r="N350" s="19"/>
      <c r="O350" s="19"/>
      <c r="P350" s="19"/>
      <c r="Q350" s="19"/>
      <c r="R350" s="19"/>
      <c r="S350" s="19"/>
      <c r="T350" s="19"/>
      <c r="U350" s="19"/>
      <c r="V350" s="19"/>
      <c r="W350" s="19"/>
      <c r="X350" s="19"/>
      <c r="Y350" s="19"/>
    </row>
    <row r="351" spans="1:25" ht="14.4">
      <c r="A351" s="17">
        <v>2</v>
      </c>
      <c r="B351" s="17" t="s">
        <v>750</v>
      </c>
      <c r="C351" s="18">
        <v>224</v>
      </c>
      <c r="D351" s="18">
        <v>9</v>
      </c>
      <c r="E351" s="19"/>
      <c r="F351" s="20" t="str">
        <f>HYPERLINK("https://republika.co.id/berita/ekonomi/pertanian/pr0fm2383/operasi-pasar-bawang-putih-impor-dimulai-hari-ini ","sumber")</f>
        <v>sumber</v>
      </c>
      <c r="G351" s="18" t="s">
        <v>1</v>
      </c>
      <c r="H351" s="19"/>
      <c r="I351" s="19"/>
      <c r="J351" s="18">
        <v>3</v>
      </c>
      <c r="K351" s="19"/>
      <c r="L351" s="19"/>
      <c r="M351" s="19"/>
      <c r="N351" s="19"/>
      <c r="O351" s="19"/>
      <c r="P351" s="19"/>
      <c r="Q351" s="19"/>
      <c r="R351" s="19"/>
      <c r="S351" s="19"/>
      <c r="T351" s="19"/>
      <c r="U351" s="19"/>
      <c r="V351" s="19"/>
      <c r="W351" s="19"/>
      <c r="X351" s="19"/>
      <c r="Y351" s="19"/>
    </row>
    <row r="352" spans="1:25" ht="14.4">
      <c r="A352" s="10">
        <v>1</v>
      </c>
      <c r="B352" s="10" t="s">
        <v>751</v>
      </c>
      <c r="C352" s="11">
        <v>225</v>
      </c>
      <c r="D352" s="11">
        <v>4</v>
      </c>
      <c r="E352" s="12">
        <v>43621</v>
      </c>
      <c r="F352" s="13" t="str">
        <f>HYPERLINK("https://www.liputan6.com/global/read/3958091/brunei-tunda-penerapan-hukuman-rajam-sampai-mati-untuk-seks-gay ","sumber")</f>
        <v>sumber</v>
      </c>
      <c r="G352" s="11" t="s">
        <v>1</v>
      </c>
      <c r="H352" s="14"/>
      <c r="I352" s="11">
        <v>4</v>
      </c>
      <c r="J352" s="11">
        <v>3</v>
      </c>
      <c r="K352" s="11" t="s">
        <v>752</v>
      </c>
      <c r="L352" s="11">
        <v>0</v>
      </c>
      <c r="M352" s="11">
        <v>0</v>
      </c>
      <c r="N352" s="15">
        <v>0</v>
      </c>
      <c r="O352" s="11">
        <v>0</v>
      </c>
      <c r="P352" s="11">
        <v>0</v>
      </c>
      <c r="Q352" s="11">
        <v>0</v>
      </c>
      <c r="R352" s="11">
        <v>-1</v>
      </c>
      <c r="S352" s="14"/>
      <c r="T352" s="11">
        <v>0</v>
      </c>
      <c r="U352" s="11">
        <v>0</v>
      </c>
      <c r="V352" s="11">
        <v>1</v>
      </c>
      <c r="W352" s="14"/>
      <c r="X352" s="14"/>
      <c r="Y352" s="14"/>
    </row>
    <row r="353" spans="1:25" ht="39.6">
      <c r="A353" s="2">
        <v>1</v>
      </c>
      <c r="B353" s="2" t="s">
        <v>753</v>
      </c>
      <c r="C353" s="3">
        <v>226</v>
      </c>
      <c r="D353" s="3">
        <v>9</v>
      </c>
      <c r="E353" s="4">
        <v>43621</v>
      </c>
      <c r="F353" s="5" t="str">
        <f>HYPERLINK("https://internasional.republika.co.id/berita/internasional/asia/pr2lqf382/brunei-darussalam-tunda-hukuman-mati-untuk-homoseksual ","sumber")</f>
        <v>sumber</v>
      </c>
      <c r="G353" s="3" t="s">
        <v>1</v>
      </c>
      <c r="H353" s="3">
        <v>430</v>
      </c>
      <c r="I353" s="3">
        <v>4</v>
      </c>
      <c r="J353" s="3">
        <v>3</v>
      </c>
      <c r="K353" s="3" t="s">
        <v>754</v>
      </c>
      <c r="L353" s="3">
        <v>0</v>
      </c>
      <c r="M353" s="3">
        <v>0</v>
      </c>
      <c r="N353" s="16">
        <v>0</v>
      </c>
      <c r="O353" s="3">
        <v>0</v>
      </c>
      <c r="P353" s="3">
        <v>0</v>
      </c>
      <c r="Q353" s="3" t="s">
        <v>57</v>
      </c>
      <c r="R353" s="3" t="s">
        <v>755</v>
      </c>
      <c r="S353" s="7"/>
      <c r="T353" s="3">
        <v>0</v>
      </c>
      <c r="U353" s="3">
        <v>0</v>
      </c>
      <c r="V353" s="3">
        <v>1</v>
      </c>
      <c r="W353" s="7"/>
      <c r="X353" s="7"/>
      <c r="Y353" s="7"/>
    </row>
    <row r="354" spans="1:25" ht="14.4">
      <c r="A354" s="17">
        <v>2</v>
      </c>
      <c r="B354" s="17" t="s">
        <v>756</v>
      </c>
      <c r="C354" s="18">
        <v>227</v>
      </c>
      <c r="D354" s="18">
        <v>4</v>
      </c>
      <c r="E354" s="31">
        <v>43651</v>
      </c>
      <c r="F354" s="20" t="str">
        <f>HYPERLINK("https://www.liputan6.com/lifestyle/read/3959196/pilihan-busana-di-met-gala-2019-bikin-harry-styles-disebut-gay ","sumber")</f>
        <v>sumber</v>
      </c>
      <c r="G354" s="18" t="s">
        <v>1</v>
      </c>
      <c r="H354" s="19"/>
      <c r="I354" s="18"/>
      <c r="J354" s="18">
        <v>3</v>
      </c>
      <c r="K354" s="19"/>
      <c r="L354" s="19"/>
      <c r="M354" s="19"/>
      <c r="N354" s="19"/>
      <c r="O354" s="19"/>
      <c r="P354" s="19"/>
      <c r="Q354" s="19"/>
      <c r="R354" s="19"/>
      <c r="S354" s="19"/>
      <c r="T354" s="19"/>
      <c r="U354" s="19"/>
      <c r="V354" s="19"/>
      <c r="W354" s="19"/>
      <c r="X354" s="19"/>
      <c r="Y354" s="19"/>
    </row>
    <row r="355" spans="1:25" ht="14.4">
      <c r="A355" s="17">
        <v>2</v>
      </c>
      <c r="B355" s="17" t="s">
        <v>757</v>
      </c>
      <c r="C355" s="18">
        <v>228</v>
      </c>
      <c r="D355" s="18">
        <v>10</v>
      </c>
      <c r="E355" s="19"/>
      <c r="F355" s="20" t="str">
        <f>HYPERLINK("https://kolom.tempo.co/read/1202712/peran-kultural-nu-dan-muhammadiyah-dalam-pemilu ","sumber")</f>
        <v>sumber</v>
      </c>
      <c r="G355" s="18" t="s">
        <v>1</v>
      </c>
      <c r="H355" s="19"/>
      <c r="I355" s="19"/>
      <c r="J355" s="18">
        <v>3</v>
      </c>
      <c r="K355" s="19"/>
      <c r="L355" s="19"/>
      <c r="M355" s="19"/>
      <c r="N355" s="19"/>
      <c r="O355" s="19"/>
      <c r="P355" s="19"/>
      <c r="Q355" s="19"/>
      <c r="R355" s="19"/>
      <c r="S355" s="19"/>
      <c r="T355" s="19"/>
      <c r="U355" s="19"/>
      <c r="V355" s="19"/>
      <c r="W355" s="19"/>
      <c r="X355" s="19"/>
      <c r="Y355" s="19"/>
    </row>
    <row r="356" spans="1:25" ht="14.4">
      <c r="A356" s="17">
        <v>2</v>
      </c>
      <c r="B356" s="17" t="s">
        <v>758</v>
      </c>
      <c r="C356" s="18">
        <v>229</v>
      </c>
      <c r="D356" s="18">
        <v>1</v>
      </c>
      <c r="E356" s="19"/>
      <c r="F356" s="20" t="str">
        <f>HYPERLINK("https://news.detik.com/berita-jawa-timur/d-4541167/ini-tanggapan-fpi-surabaya-soal-petisi-tolak-perpanjangan-izin-ormas ","sumber")</f>
        <v>sumber</v>
      </c>
      <c r="G356" s="18" t="s">
        <v>1</v>
      </c>
      <c r="H356" s="19"/>
      <c r="I356" s="19"/>
      <c r="J356" s="18">
        <v>3</v>
      </c>
      <c r="K356" s="19"/>
      <c r="L356" s="19"/>
      <c r="M356" s="19"/>
      <c r="N356" s="19"/>
      <c r="O356" s="19"/>
      <c r="P356" s="19"/>
      <c r="Q356" s="19"/>
      <c r="R356" s="19"/>
      <c r="S356" s="19"/>
      <c r="T356" s="19"/>
      <c r="U356" s="19"/>
      <c r="V356" s="19"/>
      <c r="W356" s="19"/>
      <c r="X356" s="19"/>
      <c r="Y356" s="19"/>
    </row>
    <row r="357" spans="1:25" ht="14.4">
      <c r="A357" s="17">
        <v>2</v>
      </c>
      <c r="B357" s="17" t="s">
        <v>759</v>
      </c>
      <c r="C357" s="18">
        <v>230</v>
      </c>
      <c r="D357" s="18">
        <v>5</v>
      </c>
      <c r="E357" s="19"/>
      <c r="F357" s="20" t="str">
        <f>HYPERLINK("https://tirto.id/prediksi-valencia-vs-arsenal-tren-buruk-gunners-di-laga-tandang-duZ6 ","sumber")</f>
        <v>sumber</v>
      </c>
      <c r="G357" s="18" t="s">
        <v>1</v>
      </c>
      <c r="H357" s="19"/>
      <c r="I357" s="19"/>
      <c r="J357" s="18">
        <v>3</v>
      </c>
      <c r="K357" s="19"/>
      <c r="L357" s="19"/>
      <c r="M357" s="19"/>
      <c r="N357" s="19"/>
      <c r="O357" s="19"/>
      <c r="P357" s="19"/>
      <c r="Q357" s="19"/>
      <c r="R357" s="19"/>
      <c r="S357" s="19"/>
      <c r="T357" s="19"/>
      <c r="U357" s="19"/>
      <c r="V357" s="19"/>
      <c r="W357" s="19"/>
      <c r="X357" s="19"/>
      <c r="Y357" s="19"/>
    </row>
    <row r="358" spans="1:25" ht="26.4">
      <c r="A358" s="2">
        <v>1</v>
      </c>
      <c r="B358" s="2" t="s">
        <v>760</v>
      </c>
      <c r="C358" s="3">
        <v>231</v>
      </c>
      <c r="D358" s="3">
        <v>7</v>
      </c>
      <c r="E358" s="3" t="s">
        <v>761</v>
      </c>
      <c r="F358" s="5" t="str">
        <f>HYPERLINK("http://www.tribunnews.com/metropolitan/2019/05/17/empat-waria-terjaring-razia-satpol-pp-di-apartemen-modernland-tangerang ","sumber")</f>
        <v>sumber</v>
      </c>
      <c r="G358" s="3" t="s">
        <v>1</v>
      </c>
      <c r="H358" s="3">
        <v>20</v>
      </c>
      <c r="I358" s="3">
        <v>1</v>
      </c>
      <c r="J358" s="3">
        <v>3</v>
      </c>
      <c r="K358" s="3" t="s">
        <v>762</v>
      </c>
      <c r="L358" s="3">
        <v>0</v>
      </c>
      <c r="M358" s="3">
        <v>-1</v>
      </c>
      <c r="N358" s="16">
        <v>0</v>
      </c>
      <c r="O358" s="3">
        <v>0</v>
      </c>
      <c r="P358" s="3">
        <v>0</v>
      </c>
      <c r="Q358" s="3">
        <v>0</v>
      </c>
      <c r="R358" s="3">
        <v>0</v>
      </c>
      <c r="S358" s="3" t="s">
        <v>763</v>
      </c>
      <c r="T358" s="3">
        <v>2</v>
      </c>
      <c r="U358" s="3">
        <v>0</v>
      </c>
      <c r="V358" s="3">
        <v>0</v>
      </c>
      <c r="W358" s="7"/>
      <c r="X358" s="7"/>
      <c r="Y358" s="7"/>
    </row>
    <row r="359" spans="1:25" ht="39.6">
      <c r="A359" s="2">
        <v>1</v>
      </c>
      <c r="B359" s="2" t="s">
        <v>764</v>
      </c>
      <c r="C359" s="3">
        <v>232</v>
      </c>
      <c r="D359" s="3">
        <v>8</v>
      </c>
      <c r="E359" s="3" t="s">
        <v>205</v>
      </c>
      <c r="F359" s="5" t="str">
        <f>HYPERLINK("https://www.suara.com/entertainment/2019/05/21/170903/sosok-pacar-baru-lucinta-luna-terungkap-nama-aslinya-ester ","sumber")</f>
        <v>sumber</v>
      </c>
      <c r="G359" s="3" t="s">
        <v>1</v>
      </c>
      <c r="H359" s="3">
        <v>287</v>
      </c>
      <c r="I359" s="3">
        <v>2</v>
      </c>
      <c r="J359" s="3">
        <v>3</v>
      </c>
      <c r="K359" s="3" t="s">
        <v>765</v>
      </c>
      <c r="L359" s="3">
        <v>0</v>
      </c>
      <c r="M359" s="3">
        <v>0</v>
      </c>
      <c r="N359" s="16">
        <v>0</v>
      </c>
      <c r="O359" s="3">
        <v>0</v>
      </c>
      <c r="P359" s="3">
        <v>0</v>
      </c>
      <c r="Q359" s="3" t="s">
        <v>170</v>
      </c>
      <c r="R359" s="3" t="s">
        <v>766</v>
      </c>
      <c r="S359" s="3" t="s">
        <v>766</v>
      </c>
      <c r="T359" s="3">
        <v>5</v>
      </c>
      <c r="U359" s="3">
        <v>0</v>
      </c>
      <c r="V359" s="3">
        <v>0</v>
      </c>
      <c r="W359" s="7"/>
      <c r="X359" s="7"/>
      <c r="Y359" s="7"/>
    </row>
    <row r="360" spans="1:25" ht="14.4">
      <c r="A360" s="17">
        <v>2</v>
      </c>
      <c r="B360" s="17" t="s">
        <v>767</v>
      </c>
      <c r="C360" s="18">
        <v>233</v>
      </c>
      <c r="D360" s="18">
        <v>1</v>
      </c>
      <c r="E360" s="19"/>
      <c r="F360" s="20" t="str">
        <f>HYPERLINK("https://news.detik.com/berita/d-4554510/trio-pepes-diancam-6-tahun-bui-tkn-jokowi-ambil-hikmahnya ","sumber")</f>
        <v>sumber</v>
      </c>
      <c r="G360" s="18" t="s">
        <v>1</v>
      </c>
      <c r="H360" s="19"/>
      <c r="I360" s="19"/>
      <c r="J360" s="18">
        <v>3</v>
      </c>
      <c r="K360" s="19"/>
      <c r="L360" s="19"/>
      <c r="M360" s="19"/>
      <c r="N360" s="19"/>
      <c r="O360" s="19"/>
      <c r="P360" s="19"/>
      <c r="Q360" s="19"/>
      <c r="R360" s="19"/>
      <c r="S360" s="19"/>
      <c r="T360" s="19"/>
      <c r="U360" s="19"/>
      <c r="V360" s="19"/>
      <c r="W360" s="19"/>
      <c r="X360" s="19"/>
      <c r="Y360" s="19"/>
    </row>
    <row r="361" spans="1:25" ht="14.4">
      <c r="A361" s="36">
        <v>1</v>
      </c>
      <c r="B361" s="36" t="s">
        <v>768</v>
      </c>
      <c r="C361" s="37">
        <v>234</v>
      </c>
      <c r="D361" s="37">
        <v>1</v>
      </c>
      <c r="E361" s="37" t="s">
        <v>358</v>
      </c>
      <c r="F361" s="39" t="str">
        <f>HYPERLINK("https://news.detik.com/berita-jawa-tengah/d-4555373/kapolda-jateng-tegaskan-kasus-tt-karena-merusak-nama-baik-polri ","sumber")</f>
        <v>sumber</v>
      </c>
      <c r="G361" s="37" t="s">
        <v>1</v>
      </c>
      <c r="H361" s="40"/>
      <c r="I361" s="37">
        <v>1</v>
      </c>
      <c r="J361" s="37">
        <v>3</v>
      </c>
      <c r="K361" s="37" t="s">
        <v>769</v>
      </c>
      <c r="L361" s="37">
        <v>0</v>
      </c>
      <c r="M361" s="37">
        <v>-1</v>
      </c>
      <c r="N361" s="43">
        <v>0</v>
      </c>
      <c r="O361" s="37">
        <v>0</v>
      </c>
      <c r="P361" s="37">
        <v>0</v>
      </c>
      <c r="Q361" s="37">
        <v>0</v>
      </c>
      <c r="R361" s="37">
        <v>-1</v>
      </c>
      <c r="S361" s="37" t="s">
        <v>770</v>
      </c>
      <c r="T361" s="37">
        <v>1</v>
      </c>
      <c r="U361" s="37">
        <v>0</v>
      </c>
      <c r="V361" s="37">
        <v>0</v>
      </c>
      <c r="W361" s="40"/>
      <c r="X361" s="40"/>
      <c r="Y361" s="40"/>
    </row>
    <row r="362" spans="1:25" ht="14.4">
      <c r="A362" s="10">
        <v>1</v>
      </c>
      <c r="B362" s="10" t="s">
        <v>771</v>
      </c>
      <c r="C362" s="11">
        <v>235</v>
      </c>
      <c r="D362" s="11">
        <v>5</v>
      </c>
      <c r="E362" s="11" t="s">
        <v>212</v>
      </c>
      <c r="F362" s="13" t="str">
        <f>HYPERLINK("https://tirto.id/pengacara-polisi-gay-bantah-kliennya-lakukan-tindakan-indisipliner-dSkE ","sumber")</f>
        <v>sumber</v>
      </c>
      <c r="G362" s="11" t="s">
        <v>1</v>
      </c>
      <c r="H362" s="14"/>
      <c r="I362" s="11">
        <v>1</v>
      </c>
      <c r="J362" s="11">
        <v>3</v>
      </c>
      <c r="K362" s="11" t="s">
        <v>772</v>
      </c>
      <c r="L362" s="11">
        <v>0</v>
      </c>
      <c r="M362" s="11">
        <v>1</v>
      </c>
      <c r="N362" s="15">
        <v>0</v>
      </c>
      <c r="O362" s="11">
        <v>0</v>
      </c>
      <c r="P362" s="11">
        <v>0</v>
      </c>
      <c r="Q362" s="11">
        <v>0</v>
      </c>
      <c r="R362" s="11">
        <v>1</v>
      </c>
      <c r="S362" s="14"/>
      <c r="T362" s="11">
        <v>0</v>
      </c>
      <c r="U362" s="11">
        <v>0</v>
      </c>
      <c r="V362" s="11">
        <v>0</v>
      </c>
      <c r="W362" s="14"/>
      <c r="X362" s="14"/>
      <c r="Y362" s="14"/>
    </row>
    <row r="363" spans="1:25" ht="39.6">
      <c r="A363" s="10">
        <v>1</v>
      </c>
      <c r="B363" s="10" t="s">
        <v>773</v>
      </c>
      <c r="C363" s="11">
        <v>236</v>
      </c>
      <c r="D363" s="11">
        <v>4</v>
      </c>
      <c r="E363" s="11" t="s">
        <v>558</v>
      </c>
      <c r="F363" s="13" t="str">
        <f>HYPERLINK("https://www.liputan6.com/global/read/3973251/23-5-2015-perdana-irlandia-sahkan-pernikahan-sesama-jenis ","sumber")</f>
        <v>sumber</v>
      </c>
      <c r="G363" s="11" t="s">
        <v>1</v>
      </c>
      <c r="H363" s="14"/>
      <c r="I363" s="11">
        <v>4</v>
      </c>
      <c r="J363" s="11">
        <v>3</v>
      </c>
      <c r="K363" s="11" t="s">
        <v>774</v>
      </c>
      <c r="L363" s="11">
        <v>0</v>
      </c>
      <c r="M363" s="11">
        <v>0</v>
      </c>
      <c r="N363" s="15">
        <v>0</v>
      </c>
      <c r="O363" s="11">
        <v>0</v>
      </c>
      <c r="P363" s="11">
        <v>0</v>
      </c>
      <c r="Q363" s="11" t="s">
        <v>57</v>
      </c>
      <c r="R363" s="11" t="s">
        <v>775</v>
      </c>
      <c r="S363" s="14"/>
      <c r="T363" s="11">
        <v>0</v>
      </c>
      <c r="U363" s="11">
        <v>0</v>
      </c>
      <c r="V363" s="11">
        <v>1</v>
      </c>
      <c r="W363" s="14"/>
      <c r="X363" s="14"/>
      <c r="Y363" s="14"/>
    </row>
    <row r="364" spans="1:25" ht="14.4">
      <c r="A364" s="17">
        <v>2</v>
      </c>
      <c r="B364" s="17" t="s">
        <v>776</v>
      </c>
      <c r="C364" s="18">
        <v>237</v>
      </c>
      <c r="D364" s="18">
        <v>9</v>
      </c>
      <c r="E364" s="19"/>
      <c r="F364" s="20" t="str">
        <f>HYPERLINK("https://republika.co.id/berita/pendidikan/dunia-kampus/ps7u03320/bnpt-tak-ada-kampus-kebal-dari-radikalisme ","sumber")</f>
        <v>sumber</v>
      </c>
      <c r="G364" s="18" t="s">
        <v>1</v>
      </c>
      <c r="H364" s="19"/>
      <c r="I364" s="19"/>
      <c r="J364" s="18">
        <v>3</v>
      </c>
      <c r="K364" s="19"/>
      <c r="L364" s="19"/>
      <c r="M364" s="19"/>
      <c r="N364" s="19"/>
      <c r="O364" s="19"/>
      <c r="P364" s="19"/>
      <c r="Q364" s="19"/>
      <c r="R364" s="19"/>
      <c r="S364" s="19"/>
      <c r="T364" s="19"/>
      <c r="U364" s="19"/>
      <c r="V364" s="19"/>
      <c r="W364" s="19"/>
      <c r="X364" s="19"/>
      <c r="Y364" s="19"/>
    </row>
    <row r="365" spans="1:25" ht="39.6">
      <c r="A365" s="2">
        <v>1</v>
      </c>
      <c r="B365" s="2" t="s">
        <v>777</v>
      </c>
      <c r="C365" s="3">
        <v>238</v>
      </c>
      <c r="D365" s="3">
        <v>9</v>
      </c>
      <c r="E365" s="4">
        <v>43682</v>
      </c>
      <c r="F365" s="5" t="str">
        <f>HYPERLINK("https://senggang.republika.co.id/berita/senggang/film/pr6ngu459/ltemgtkucumbu-tubuh-indahkultemgt-dinilai-tak-sesuai-adat-basandi-syara ","sumber")</f>
        <v>sumber</v>
      </c>
      <c r="G365" s="3" t="s">
        <v>1</v>
      </c>
      <c r="H365" s="3">
        <v>334</v>
      </c>
      <c r="I365" s="3">
        <v>1</v>
      </c>
      <c r="J365" s="3">
        <v>3</v>
      </c>
      <c r="K365" s="3" t="s">
        <v>778</v>
      </c>
      <c r="L365" s="3">
        <v>0</v>
      </c>
      <c r="M365" s="3">
        <v>-1</v>
      </c>
      <c r="N365" s="16">
        <v>0</v>
      </c>
      <c r="O365" s="3">
        <v>0</v>
      </c>
      <c r="P365" s="3">
        <v>0</v>
      </c>
      <c r="Q365" s="3">
        <v>0</v>
      </c>
      <c r="R365" s="3">
        <v>-1</v>
      </c>
      <c r="S365" s="3" t="s">
        <v>779</v>
      </c>
      <c r="T365" s="3">
        <v>3</v>
      </c>
      <c r="U365" s="3">
        <v>0</v>
      </c>
      <c r="V365" s="3">
        <v>0</v>
      </c>
      <c r="W365" s="7"/>
      <c r="X365" s="7"/>
      <c r="Y365" s="7"/>
    </row>
    <row r="366" spans="1:25" ht="39.6">
      <c r="A366" s="10">
        <v>1</v>
      </c>
      <c r="B366" s="10" t="s">
        <v>780</v>
      </c>
      <c r="C366" s="11">
        <v>239</v>
      </c>
      <c r="D366" s="11">
        <v>7</v>
      </c>
      <c r="E366" s="12">
        <v>43561</v>
      </c>
      <c r="F366" s="13" t="str">
        <f>HYPERLINK("http://www.tribunnews.com/seleb/2019/06/04/posting-foto-diri-gendong-balita-yang-diklaim-anaknya-lucinta-luna-membayangkan-jadi-seorang-ibu ","sumber")</f>
        <v>sumber</v>
      </c>
      <c r="G366" s="11" t="s">
        <v>1</v>
      </c>
      <c r="H366" s="14"/>
      <c r="I366" s="11">
        <v>1</v>
      </c>
      <c r="J366" s="11">
        <v>3</v>
      </c>
      <c r="K366" s="11" t="s">
        <v>781</v>
      </c>
      <c r="L366" s="11">
        <v>0</v>
      </c>
      <c r="M366" s="11">
        <v>0</v>
      </c>
      <c r="N366" s="15">
        <v>0</v>
      </c>
      <c r="O366" s="11">
        <v>0</v>
      </c>
      <c r="P366" s="11">
        <v>0</v>
      </c>
      <c r="Q366" s="11" t="s">
        <v>782</v>
      </c>
      <c r="R366" s="11" t="s">
        <v>783</v>
      </c>
      <c r="S366" s="14"/>
      <c r="T366" s="11">
        <v>0</v>
      </c>
      <c r="U366" s="11">
        <v>0</v>
      </c>
      <c r="V366" s="11">
        <v>0</v>
      </c>
      <c r="W366" s="14"/>
      <c r="X366" s="14"/>
      <c r="Y366" s="14"/>
    </row>
    <row r="367" spans="1:25" ht="14.4">
      <c r="A367" s="10">
        <v>1</v>
      </c>
      <c r="B367" s="10" t="s">
        <v>784</v>
      </c>
      <c r="C367" s="11">
        <v>240</v>
      </c>
      <c r="D367" s="11">
        <v>4</v>
      </c>
      <c r="E367" s="12">
        <v>43622</v>
      </c>
      <c r="F367" s="13" t="str">
        <f>HYPERLINK("https://www.liputan6.com/showbiz/read/3983916/disangka-mengaku-sebagai-lgbt-sunmi-beri-klarifikasi ","sumber")</f>
        <v>sumber</v>
      </c>
      <c r="G367" s="11" t="s">
        <v>1</v>
      </c>
      <c r="H367" s="14"/>
      <c r="I367" s="11">
        <v>2</v>
      </c>
      <c r="J367" s="11">
        <v>3</v>
      </c>
      <c r="K367" s="11" t="s">
        <v>785</v>
      </c>
      <c r="L367" s="11">
        <v>0</v>
      </c>
      <c r="M367" s="11">
        <v>0</v>
      </c>
      <c r="N367" s="15">
        <v>0</v>
      </c>
      <c r="O367" s="11">
        <v>0</v>
      </c>
      <c r="P367" s="11">
        <v>0</v>
      </c>
      <c r="Q367" s="11" t="s">
        <v>29</v>
      </c>
      <c r="R367" s="11" t="s">
        <v>29</v>
      </c>
      <c r="S367" s="14"/>
      <c r="T367" s="11">
        <v>0</v>
      </c>
      <c r="U367" s="11">
        <v>0</v>
      </c>
      <c r="V367" s="11">
        <v>0</v>
      </c>
      <c r="W367" s="14"/>
      <c r="X367" s="14"/>
      <c r="Y367" s="14"/>
    </row>
    <row r="368" spans="1:25" ht="52.8">
      <c r="A368" s="36">
        <v>1</v>
      </c>
      <c r="B368" s="36" t="s">
        <v>786</v>
      </c>
      <c r="C368" s="37">
        <v>241</v>
      </c>
      <c r="D368" s="37">
        <v>8</v>
      </c>
      <c r="E368" s="38">
        <v>43683</v>
      </c>
      <c r="F368" s="39" t="str">
        <f>HYPERLINK("https://www.suara.com/entertainment/2019/06/08/113930/pasang-bendera-pelangi-nikita-mirzani-dukung-lgbt ","sumber")</f>
        <v>sumber</v>
      </c>
      <c r="G368" s="37" t="s">
        <v>1</v>
      </c>
      <c r="H368" s="40"/>
      <c r="I368" s="37">
        <v>2</v>
      </c>
      <c r="J368" s="37">
        <v>3</v>
      </c>
      <c r="K368" s="37" t="s">
        <v>787</v>
      </c>
      <c r="L368" s="37">
        <v>0</v>
      </c>
      <c r="M368" s="37">
        <v>0</v>
      </c>
      <c r="N368" s="43">
        <v>0</v>
      </c>
      <c r="O368" s="37">
        <v>0</v>
      </c>
      <c r="P368" s="37">
        <v>0</v>
      </c>
      <c r="Q368" s="37" t="s">
        <v>788</v>
      </c>
      <c r="R368" s="37" t="s">
        <v>789</v>
      </c>
      <c r="S368" s="40"/>
      <c r="T368" s="37">
        <v>0</v>
      </c>
      <c r="U368" s="37">
        <v>0</v>
      </c>
      <c r="V368" s="37">
        <v>0</v>
      </c>
      <c r="W368" s="40"/>
      <c r="X368" s="40"/>
      <c r="Y368" s="40"/>
    </row>
    <row r="369" spans="1:25" ht="26.4">
      <c r="A369" s="2">
        <v>1</v>
      </c>
      <c r="B369" s="2" t="s">
        <v>790</v>
      </c>
      <c r="C369" s="3">
        <v>242</v>
      </c>
      <c r="D369" s="3">
        <v>5</v>
      </c>
      <c r="E369" s="4">
        <v>43591</v>
      </c>
      <c r="F369" s="5" t="str">
        <f>HYPERLINK("https://tirto.id/suka-duka-para-waria-belajar-agama-di-pesantren-al-fatah-yogyakarta-d9uV ","sumber")</f>
        <v>sumber</v>
      </c>
      <c r="G369" s="3" t="s">
        <v>1</v>
      </c>
      <c r="H369" s="3">
        <v>1216</v>
      </c>
      <c r="I369" s="3">
        <v>2</v>
      </c>
      <c r="J369" s="3">
        <v>3</v>
      </c>
      <c r="K369" s="3" t="s">
        <v>791</v>
      </c>
      <c r="L369" s="3">
        <v>0</v>
      </c>
      <c r="M369" s="3">
        <v>0</v>
      </c>
      <c r="N369" s="16">
        <v>0</v>
      </c>
      <c r="O369" s="3">
        <v>0</v>
      </c>
      <c r="P369" s="3">
        <v>0</v>
      </c>
      <c r="Q369" s="3" t="s">
        <v>792</v>
      </c>
      <c r="R369" s="3" t="s">
        <v>360</v>
      </c>
      <c r="S369" s="7"/>
      <c r="T369" s="3">
        <v>0</v>
      </c>
      <c r="U369" s="3">
        <v>0</v>
      </c>
      <c r="V369" s="3">
        <v>0</v>
      </c>
      <c r="W369" s="7"/>
      <c r="X369" s="7"/>
      <c r="Y369" s="7"/>
    </row>
    <row r="370" spans="1:25" ht="14.4">
      <c r="A370" s="10">
        <v>1</v>
      </c>
      <c r="B370" s="10" t="s">
        <v>793</v>
      </c>
      <c r="C370" s="11">
        <v>243</v>
      </c>
      <c r="D370" s="11">
        <v>9</v>
      </c>
      <c r="E370" s="11" t="s">
        <v>227</v>
      </c>
      <c r="F370" s="13" t="str">
        <f>HYPERLINK("https://gayahidup.republika.co.id/berita/gaya-hidup/parenting/pt4y74368/penyebab-perilaku-menyimpang-pada-anak ","sumber")</f>
        <v>sumber</v>
      </c>
      <c r="G370" s="11" t="s">
        <v>1</v>
      </c>
      <c r="H370" s="14"/>
      <c r="I370" s="11">
        <v>2</v>
      </c>
      <c r="J370" s="11">
        <v>3</v>
      </c>
      <c r="K370" s="11" t="s">
        <v>794</v>
      </c>
      <c r="L370" s="11">
        <v>0</v>
      </c>
      <c r="M370" s="11">
        <v>0</v>
      </c>
      <c r="N370" s="15">
        <v>0</v>
      </c>
      <c r="O370" s="11">
        <v>0</v>
      </c>
      <c r="P370" s="11">
        <v>0</v>
      </c>
      <c r="Q370" s="11">
        <v>0</v>
      </c>
      <c r="R370" s="11">
        <v>-1</v>
      </c>
      <c r="S370" s="11" t="s">
        <v>795</v>
      </c>
      <c r="T370" s="11">
        <v>1</v>
      </c>
      <c r="U370" s="11">
        <v>0</v>
      </c>
      <c r="V370" s="11">
        <v>0</v>
      </c>
      <c r="W370" s="14"/>
      <c r="X370" s="14"/>
      <c r="Y370" s="14"/>
    </row>
    <row r="371" spans="1:25" ht="14.4">
      <c r="A371" s="10">
        <v>1</v>
      </c>
      <c r="B371" s="10" t="s">
        <v>796</v>
      </c>
      <c r="C371" s="11">
        <v>244</v>
      </c>
      <c r="D371" s="11">
        <v>10</v>
      </c>
      <c r="E371" s="11" t="s">
        <v>227</v>
      </c>
      <c r="F371" s="13" t="str">
        <f>HYPERLINK("https://gaya.tempo.co/read/1214966/perilaku-menyimpang-pada-anak-karena-kurang-penghargaan ","sumber")</f>
        <v>sumber</v>
      </c>
      <c r="G371" s="11" t="s">
        <v>1</v>
      </c>
      <c r="H371" s="14"/>
      <c r="I371" s="11">
        <v>2</v>
      </c>
      <c r="J371" s="11">
        <v>3</v>
      </c>
      <c r="K371" s="11" t="s">
        <v>794</v>
      </c>
      <c r="L371" s="11">
        <v>0</v>
      </c>
      <c r="M371" s="11">
        <v>0</v>
      </c>
      <c r="N371" s="15">
        <v>0</v>
      </c>
      <c r="O371" s="11">
        <v>0</v>
      </c>
      <c r="P371" s="11">
        <v>0</v>
      </c>
      <c r="Q371" s="11">
        <v>0</v>
      </c>
      <c r="R371" s="11">
        <v>-1</v>
      </c>
      <c r="S371" s="11" t="s">
        <v>795</v>
      </c>
      <c r="T371" s="11">
        <v>1</v>
      </c>
      <c r="U371" s="11">
        <v>0</v>
      </c>
      <c r="V371" s="11">
        <v>0</v>
      </c>
      <c r="W371" s="14"/>
      <c r="X371" s="14"/>
      <c r="Y371" s="14"/>
    </row>
    <row r="372" spans="1:25" ht="14.4">
      <c r="A372" s="10">
        <v>1</v>
      </c>
      <c r="B372" s="10" t="s">
        <v>797</v>
      </c>
      <c r="C372" s="11">
        <v>245</v>
      </c>
      <c r="D372" s="11">
        <v>4</v>
      </c>
      <c r="E372" s="11" t="s">
        <v>575</v>
      </c>
      <c r="F372" s="13" t="str">
        <f>HYPERLINK("https://www.liputan6.com/news/read/3993099/menolak-saat-dipaksa-berhubungan-badan-pria-di-klaten-tikam-waria ","sumber")</f>
        <v>sumber</v>
      </c>
      <c r="G372" s="11" t="s">
        <v>1</v>
      </c>
      <c r="H372" s="14"/>
      <c r="I372" s="11">
        <v>1</v>
      </c>
      <c r="J372" s="11">
        <v>3</v>
      </c>
      <c r="K372" s="11"/>
      <c r="L372" s="11">
        <v>0</v>
      </c>
      <c r="M372" s="11">
        <v>-1</v>
      </c>
      <c r="N372" s="15">
        <v>0</v>
      </c>
      <c r="O372" s="11">
        <v>0</v>
      </c>
      <c r="P372" s="11">
        <v>0</v>
      </c>
      <c r="Q372" s="11"/>
      <c r="R372" s="11"/>
      <c r="S372" s="14"/>
      <c r="T372" s="11">
        <v>0</v>
      </c>
      <c r="U372" s="11">
        <v>0</v>
      </c>
      <c r="V372" s="11">
        <v>0</v>
      </c>
      <c r="W372" s="14"/>
      <c r="X372" s="14"/>
      <c r="Y372" s="14"/>
    </row>
    <row r="373" spans="1:25" ht="14.4">
      <c r="A373" s="10">
        <v>1</v>
      </c>
      <c r="B373" s="10" t="s">
        <v>798</v>
      </c>
      <c r="C373" s="11">
        <v>246</v>
      </c>
      <c r="D373" s="11">
        <v>1</v>
      </c>
      <c r="E373" s="11" t="s">
        <v>799</v>
      </c>
      <c r="F373" s="13" t="str">
        <f>HYPERLINK("https://hot.detik.com/celeb/d-4593712/youtuber-ini-beli-kota-neraka-buat-kibarkan-bendera-pelangi ","sumber")</f>
        <v>sumber</v>
      </c>
      <c r="G373" s="11" t="s">
        <v>1</v>
      </c>
      <c r="H373" s="14"/>
      <c r="I373" s="11">
        <v>2</v>
      </c>
      <c r="J373" s="11">
        <v>3</v>
      </c>
      <c r="K373" s="11"/>
      <c r="L373" s="11">
        <v>0</v>
      </c>
      <c r="M373" s="11">
        <v>0</v>
      </c>
      <c r="N373" s="15">
        <v>0</v>
      </c>
      <c r="O373" s="11">
        <v>0</v>
      </c>
      <c r="P373" s="11">
        <v>0</v>
      </c>
      <c r="Q373" s="11"/>
      <c r="R373" s="11"/>
      <c r="S373" s="14"/>
      <c r="T373" s="11">
        <v>0</v>
      </c>
      <c r="U373" s="11">
        <v>0</v>
      </c>
      <c r="V373" s="11">
        <v>0</v>
      </c>
      <c r="W373" s="14"/>
      <c r="X373" s="14"/>
      <c r="Y373" s="14"/>
    </row>
    <row r="374" spans="1:25" ht="14.4">
      <c r="A374" s="2">
        <v>1</v>
      </c>
      <c r="B374" s="2" t="s">
        <v>800</v>
      </c>
      <c r="C374" s="3">
        <v>247</v>
      </c>
      <c r="D374" s="3">
        <v>1</v>
      </c>
      <c r="E374" s="3" t="s">
        <v>382</v>
      </c>
      <c r="F374" s="5" t="str">
        <f>HYPERLINK(" https://hot.detik.com/music/d-4590715/ada-lgbt-di-balik-alasan-damai-taylor-swift-dan-katy-perry ","sumber")</f>
        <v>sumber</v>
      </c>
      <c r="G374" s="3" t="s">
        <v>1</v>
      </c>
      <c r="H374" s="3">
        <v>1818</v>
      </c>
      <c r="I374" s="3">
        <v>3</v>
      </c>
      <c r="J374" s="3">
        <v>3</v>
      </c>
      <c r="K374" s="3" t="s">
        <v>801</v>
      </c>
      <c r="L374" s="3">
        <v>0</v>
      </c>
      <c r="M374" s="3">
        <v>0</v>
      </c>
      <c r="N374" s="16">
        <v>0</v>
      </c>
      <c r="O374" s="3">
        <v>0</v>
      </c>
      <c r="P374" s="3">
        <v>-1</v>
      </c>
      <c r="Q374" s="3">
        <v>0</v>
      </c>
      <c r="R374" s="3">
        <v>0</v>
      </c>
      <c r="S374" s="7"/>
      <c r="T374" s="3">
        <v>0</v>
      </c>
      <c r="U374" s="3">
        <v>0</v>
      </c>
      <c r="V374" s="3">
        <v>0</v>
      </c>
      <c r="W374" s="7"/>
      <c r="X374" s="7"/>
      <c r="Y374" s="7"/>
    </row>
    <row r="375" spans="1:25" ht="14.4">
      <c r="A375" s="2">
        <v>1</v>
      </c>
      <c r="B375" s="2" t="s">
        <v>802</v>
      </c>
      <c r="C375" s="3">
        <v>248</v>
      </c>
      <c r="D375" s="3">
        <v>6</v>
      </c>
      <c r="E375" s="3" t="s">
        <v>575</v>
      </c>
      <c r="F375" s="5" t="str">
        <f>HYPERLINK(" https://internasional.kompas.com/read/2019/06/19/06100011/youtuber-ini-beli-sebuah-kota-kecil-di-as-untuk-diubah-namanya ","sumber")</f>
        <v>sumber</v>
      </c>
      <c r="G375" s="3" t="s">
        <v>1</v>
      </c>
      <c r="H375" s="3">
        <v>435</v>
      </c>
      <c r="I375" s="3">
        <v>2</v>
      </c>
      <c r="J375" s="3">
        <v>3</v>
      </c>
      <c r="K375" s="3" t="s">
        <v>803</v>
      </c>
      <c r="L375" s="3">
        <v>0</v>
      </c>
      <c r="M375" s="3">
        <v>0</v>
      </c>
      <c r="N375" s="16">
        <v>0</v>
      </c>
      <c r="O375" s="3">
        <v>0</v>
      </c>
      <c r="P375" s="3">
        <v>0</v>
      </c>
      <c r="Q375" s="3">
        <v>0</v>
      </c>
      <c r="R375" s="3">
        <v>1</v>
      </c>
      <c r="S375" s="7"/>
      <c r="T375" s="3">
        <v>0</v>
      </c>
      <c r="U375" s="3">
        <v>0</v>
      </c>
      <c r="V375" s="3">
        <v>0</v>
      </c>
      <c r="W375" s="7"/>
      <c r="X375" s="7"/>
      <c r="Y375" s="7"/>
    </row>
    <row r="376" spans="1:25" ht="14.4">
      <c r="A376" s="17">
        <v>2</v>
      </c>
      <c r="B376" s="17" t="s">
        <v>804</v>
      </c>
      <c r="C376" s="18">
        <v>249</v>
      </c>
      <c r="D376" s="18">
        <v>10</v>
      </c>
      <c r="E376" s="19"/>
      <c r="F376" s="20" t="str">
        <f>HYPERLINK("https://gaya.tempo.co/read/1218526/7-mitos-dan-fakta-tentang-hiv-dan-aids-yang-sering-menyesatkan ","sumber")</f>
        <v>sumber</v>
      </c>
      <c r="G376" s="18" t="s">
        <v>1</v>
      </c>
      <c r="H376" s="19"/>
      <c r="I376" s="19"/>
      <c r="J376" s="18">
        <v>3</v>
      </c>
      <c r="K376" s="19"/>
      <c r="L376" s="19"/>
      <c r="M376" s="18"/>
      <c r="N376" s="19"/>
      <c r="O376" s="19"/>
      <c r="P376" s="19"/>
      <c r="Q376" s="19"/>
      <c r="R376" s="19"/>
      <c r="S376" s="19"/>
      <c r="T376" s="19"/>
      <c r="U376" s="19"/>
      <c r="V376" s="19"/>
      <c r="W376" s="19"/>
      <c r="X376" s="19"/>
      <c r="Y376" s="19"/>
    </row>
    <row r="377" spans="1:25" ht="26.4">
      <c r="A377" s="2">
        <v>1</v>
      </c>
      <c r="B377" s="2" t="s">
        <v>805</v>
      </c>
      <c r="C377" s="3">
        <v>250</v>
      </c>
      <c r="D377" s="3">
        <v>3</v>
      </c>
      <c r="E377" s="3" t="s">
        <v>241</v>
      </c>
      <c r="F377" s="5" t="str">
        <f>HYPERLINK(" https://celebrity.okezone.com/read/2019/06/28/206/2072073/elsa-jadi-lesbian-dalam-frozen-2-ini-penjelasan-penulis-skenario ","sumber")</f>
        <v>sumber</v>
      </c>
      <c r="G377" s="3" t="s">
        <v>1</v>
      </c>
      <c r="H377" s="3">
        <v>320</v>
      </c>
      <c r="I377" s="3">
        <v>1</v>
      </c>
      <c r="J377" s="3">
        <v>3</v>
      </c>
      <c r="K377" s="3" t="s">
        <v>806</v>
      </c>
      <c r="L377" s="3">
        <v>0</v>
      </c>
      <c r="M377" s="3">
        <v>-1</v>
      </c>
      <c r="N377" s="16">
        <v>0</v>
      </c>
      <c r="O377" s="3">
        <v>0</v>
      </c>
      <c r="P377" s="3">
        <v>0</v>
      </c>
      <c r="Q377" s="3" t="s">
        <v>29</v>
      </c>
      <c r="R377" s="3" t="s">
        <v>29</v>
      </c>
      <c r="S377" s="3" t="s">
        <v>807</v>
      </c>
      <c r="T377" s="3">
        <v>1</v>
      </c>
      <c r="U377" s="3">
        <v>0</v>
      </c>
      <c r="V377" s="3">
        <v>0</v>
      </c>
      <c r="W377" s="7"/>
      <c r="X377" s="7"/>
      <c r="Y377" s="7"/>
    </row>
    <row r="378" spans="1:25" ht="14.4">
      <c r="A378" s="10">
        <v>1</v>
      </c>
      <c r="B378" s="10" t="s">
        <v>808</v>
      </c>
      <c r="C378" s="11">
        <v>251</v>
      </c>
      <c r="D378" s="11">
        <v>3</v>
      </c>
      <c r="E378" s="11" t="s">
        <v>809</v>
      </c>
      <c r="F378" s="13" t="str">
        <f>HYPERLINK("https://news.okezone.com/read/2019/06/29/340/2072547/polisi-tangkap-puluhan-gay-saat-sedang-asyik-pesta-miras ","sumber")</f>
        <v>sumber</v>
      </c>
      <c r="G378" s="11" t="s">
        <v>1</v>
      </c>
      <c r="H378" s="14"/>
      <c r="I378" s="11">
        <v>1</v>
      </c>
      <c r="J378" s="11">
        <v>3</v>
      </c>
      <c r="K378" s="11" t="s">
        <v>810</v>
      </c>
      <c r="L378" s="11">
        <v>0</v>
      </c>
      <c r="M378" s="11">
        <v>-1</v>
      </c>
      <c r="N378" s="15">
        <v>0</v>
      </c>
      <c r="O378" s="11">
        <v>0</v>
      </c>
      <c r="P378" s="11">
        <v>0</v>
      </c>
      <c r="Q378" s="11">
        <v>0</v>
      </c>
      <c r="R378" s="11">
        <v>0</v>
      </c>
      <c r="S378" s="14"/>
      <c r="T378" s="11">
        <v>0</v>
      </c>
      <c r="U378" s="11">
        <v>0</v>
      </c>
      <c r="V378" s="11">
        <v>0</v>
      </c>
      <c r="W378" s="14"/>
      <c r="X378" s="14"/>
      <c r="Y378" s="14"/>
    </row>
    <row r="379" spans="1:25" ht="39.6">
      <c r="A379" s="2">
        <v>1</v>
      </c>
      <c r="B379" s="2" t="s">
        <v>811</v>
      </c>
      <c r="C379" s="3">
        <v>252</v>
      </c>
      <c r="D379" s="3">
        <v>7</v>
      </c>
      <c r="E379" s="4">
        <v>43503</v>
      </c>
      <c r="F379" s="5" t="str">
        <f>HYPERLINK("http://www.tribunnews.com/regional/2019/07/02/anto-curi-obat-hiv-senilai-rp-75-juta-milik-pasangannya-sesama-jenis ","sumber")</f>
        <v>sumber</v>
      </c>
      <c r="G379" s="3" t="s">
        <v>1</v>
      </c>
      <c r="H379" s="3">
        <v>193</v>
      </c>
      <c r="I379" s="3">
        <v>1</v>
      </c>
      <c r="J379" s="3">
        <v>3</v>
      </c>
      <c r="K379" s="3" t="s">
        <v>812</v>
      </c>
      <c r="L379" s="3">
        <v>0</v>
      </c>
      <c r="M379" s="3">
        <v>0</v>
      </c>
      <c r="N379" s="16">
        <v>0</v>
      </c>
      <c r="O379" s="3">
        <v>0</v>
      </c>
      <c r="P379" s="3">
        <v>0</v>
      </c>
      <c r="Q379" s="3" t="s">
        <v>29</v>
      </c>
      <c r="R379" s="3" t="s">
        <v>29</v>
      </c>
      <c r="S379" s="7"/>
      <c r="T379" s="3">
        <v>0</v>
      </c>
      <c r="U379" s="3">
        <v>-1</v>
      </c>
      <c r="V379" s="3">
        <v>0</v>
      </c>
      <c r="W379" s="7"/>
      <c r="X379" s="7"/>
      <c r="Y379" s="7"/>
    </row>
    <row r="380" spans="1:25" ht="39.6">
      <c r="A380" s="2">
        <v>1</v>
      </c>
      <c r="B380" s="2" t="s">
        <v>813</v>
      </c>
      <c r="C380" s="3">
        <v>253</v>
      </c>
      <c r="D380" s="3">
        <v>10</v>
      </c>
      <c r="E380" s="3" t="s">
        <v>399</v>
      </c>
      <c r="F380" s="5" t="str">
        <f>HYPERLINK("https://metro.tempo.co/read/1227856/anggota-dprd-kota-depok-ini-ungkap-bahaya-usulan-perda-anti-lgbt ","sumber")</f>
        <v>sumber</v>
      </c>
      <c r="G380" s="3" t="s">
        <v>1</v>
      </c>
      <c r="H380" s="3">
        <v>80</v>
      </c>
      <c r="I380" s="3">
        <v>4</v>
      </c>
      <c r="J380" s="3">
        <v>3</v>
      </c>
      <c r="K380" s="3" t="s">
        <v>814</v>
      </c>
      <c r="L380" s="3">
        <v>0</v>
      </c>
      <c r="M380" s="3">
        <v>0</v>
      </c>
      <c r="N380" s="16">
        <v>0</v>
      </c>
      <c r="O380" s="3">
        <v>0</v>
      </c>
      <c r="P380" s="3">
        <v>0</v>
      </c>
      <c r="Q380" s="3" t="s">
        <v>21</v>
      </c>
      <c r="R380" s="3" t="s">
        <v>21</v>
      </c>
      <c r="S380" s="7"/>
      <c r="T380" s="3">
        <v>0</v>
      </c>
      <c r="U380" s="3">
        <v>0</v>
      </c>
      <c r="V380" s="3">
        <v>1</v>
      </c>
      <c r="W380" s="7"/>
      <c r="X380" s="7"/>
      <c r="Y380" s="7"/>
    </row>
    <row r="381" spans="1:25" ht="66">
      <c r="A381" s="2">
        <v>1</v>
      </c>
      <c r="B381" s="2" t="s">
        <v>815</v>
      </c>
      <c r="C381" s="3">
        <v>254</v>
      </c>
      <c r="D381" s="3">
        <v>5</v>
      </c>
      <c r="E381" s="3" t="s">
        <v>816</v>
      </c>
      <c r="F381" s="5" t="str">
        <f>HYPERLINK("https://tirto.id/perda-larangan-lgbt-di-depok-justru-bisa-perparah-penyebaran-hiv-efnW ","sumber")</f>
        <v>sumber</v>
      </c>
      <c r="G381" s="3" t="s">
        <v>1</v>
      </c>
      <c r="H381" s="3">
        <v>206</v>
      </c>
      <c r="I381" s="3">
        <v>4</v>
      </c>
      <c r="J381" s="3">
        <v>3</v>
      </c>
      <c r="K381" s="3" t="s">
        <v>817</v>
      </c>
      <c r="L381" s="3">
        <v>0</v>
      </c>
      <c r="M381" s="3">
        <v>0</v>
      </c>
      <c r="N381" s="16">
        <v>0</v>
      </c>
      <c r="O381" s="3">
        <v>0</v>
      </c>
      <c r="P381" s="3">
        <v>0</v>
      </c>
      <c r="Q381" s="3" t="s">
        <v>170</v>
      </c>
      <c r="R381" s="3" t="s">
        <v>818</v>
      </c>
      <c r="S381" s="7"/>
      <c r="T381" s="3">
        <v>0</v>
      </c>
      <c r="U381" s="3">
        <v>0</v>
      </c>
      <c r="V381" s="3">
        <v>1</v>
      </c>
      <c r="W381" s="7"/>
      <c r="X381" s="7"/>
      <c r="Y381" s="7"/>
    </row>
    <row r="382" spans="1:25" ht="14.4">
      <c r="A382" s="10">
        <v>1</v>
      </c>
      <c r="B382" s="10" t="s">
        <v>819</v>
      </c>
      <c r="C382" s="11">
        <v>255</v>
      </c>
      <c r="D382" s="11">
        <v>7</v>
      </c>
      <c r="E382" s="12">
        <v>43776</v>
      </c>
      <c r="F382" s="13" t="str">
        <f>HYPERLINK("https://www.tribunnews.com/seleb/2019/07/11/millen-cyrus-terjun-ke-dunia-akting-dan-beradegan-mesra-ingin-ikuti-jejak-ashanty-jadi-artis ","sumber")</f>
        <v>sumber</v>
      </c>
      <c r="G382" s="11" t="s">
        <v>1</v>
      </c>
      <c r="H382" s="14"/>
      <c r="I382" s="11">
        <v>1</v>
      </c>
      <c r="J382" s="11">
        <v>3</v>
      </c>
      <c r="K382" s="11" t="s">
        <v>820</v>
      </c>
      <c r="L382" s="11">
        <v>0</v>
      </c>
      <c r="M382" s="11">
        <v>0</v>
      </c>
      <c r="N382" s="15">
        <v>0</v>
      </c>
      <c r="O382" s="11">
        <v>0</v>
      </c>
      <c r="P382" s="11">
        <v>0</v>
      </c>
      <c r="Q382" s="11" t="s">
        <v>178</v>
      </c>
      <c r="R382" s="11" t="s">
        <v>748</v>
      </c>
      <c r="S382" s="14"/>
      <c r="T382" s="11">
        <v>0</v>
      </c>
      <c r="U382" s="11">
        <v>0</v>
      </c>
      <c r="V382" s="11">
        <v>0</v>
      </c>
      <c r="W382" s="14"/>
      <c r="X382" s="14"/>
      <c r="Y382" s="14"/>
    </row>
    <row r="383" spans="1:25" ht="39.6">
      <c r="A383" s="10">
        <v>1</v>
      </c>
      <c r="B383" s="10" t="s">
        <v>821</v>
      </c>
      <c r="C383" s="11">
        <v>256</v>
      </c>
      <c r="D383" s="11">
        <v>8</v>
      </c>
      <c r="E383" s="12">
        <v>43806</v>
      </c>
      <c r="F383" s="13" t="str">
        <f>HYPERLINK("https://www.suara.com/news/2019/07/12/164539/soal-disorientasi-seksual-di-lapas-kemenkumham-pertimbangkan-bilik-asmara ","sumber")</f>
        <v>sumber</v>
      </c>
      <c r="G383" s="11" t="s">
        <v>1</v>
      </c>
      <c r="H383" s="14"/>
      <c r="I383" s="11">
        <v>4</v>
      </c>
      <c r="J383" s="11">
        <v>3</v>
      </c>
      <c r="K383" s="11" t="s">
        <v>822</v>
      </c>
      <c r="L383" s="11">
        <v>0</v>
      </c>
      <c r="M383" s="11">
        <v>0</v>
      </c>
      <c r="N383" s="15">
        <v>0</v>
      </c>
      <c r="O383" s="11">
        <v>0</v>
      </c>
      <c r="P383" s="11">
        <v>0</v>
      </c>
      <c r="Q383" s="11" t="s">
        <v>182</v>
      </c>
      <c r="R383" s="11" t="s">
        <v>29</v>
      </c>
      <c r="S383" s="11" t="s">
        <v>823</v>
      </c>
      <c r="T383" s="11">
        <v>3</v>
      </c>
      <c r="U383" s="11">
        <v>0</v>
      </c>
      <c r="V383" s="11">
        <v>1</v>
      </c>
      <c r="W383" s="14"/>
      <c r="X383" s="14"/>
      <c r="Y383" s="14"/>
    </row>
    <row r="384" spans="1:25" ht="39.6">
      <c r="A384" s="10">
        <v>1</v>
      </c>
      <c r="B384" s="10" t="s">
        <v>824</v>
      </c>
      <c r="C384" s="11">
        <v>257</v>
      </c>
      <c r="D384" s="11">
        <v>5</v>
      </c>
      <c r="E384" s="12">
        <v>43806</v>
      </c>
      <c r="F384" s="13" t="str">
        <f>HYPERLINK("https://tirto.id/memisahkan-napi-lgbt-itu-diskriminatif-dan-tak-masuk-akal-ed6i ","sumber")</f>
        <v>sumber</v>
      </c>
      <c r="G384" s="11" t="s">
        <v>1</v>
      </c>
      <c r="H384" s="14"/>
      <c r="I384" s="11">
        <v>1</v>
      </c>
      <c r="J384" s="11">
        <v>3</v>
      </c>
      <c r="K384" s="11" t="s">
        <v>825</v>
      </c>
      <c r="L384" s="11">
        <v>0</v>
      </c>
      <c r="M384" s="11">
        <v>1</v>
      </c>
      <c r="N384" s="15">
        <v>0</v>
      </c>
      <c r="O384" s="11">
        <v>0</v>
      </c>
      <c r="P384" s="11">
        <v>0</v>
      </c>
      <c r="Q384" s="11" t="s">
        <v>57</v>
      </c>
      <c r="R384" s="11" t="s">
        <v>826</v>
      </c>
      <c r="S384" s="14"/>
      <c r="T384" s="11">
        <v>0</v>
      </c>
      <c r="U384" s="11">
        <v>0</v>
      </c>
      <c r="V384" s="11">
        <v>1</v>
      </c>
      <c r="W384" s="14"/>
      <c r="X384" s="14"/>
      <c r="Y384" s="14"/>
    </row>
    <row r="385" spans="1:25" ht="39.6">
      <c r="A385" s="10">
        <v>1</v>
      </c>
      <c r="B385" s="10" t="s">
        <v>827</v>
      </c>
      <c r="C385" s="11">
        <v>258</v>
      </c>
      <c r="D385" s="11">
        <v>3</v>
      </c>
      <c r="E385" s="11" t="s">
        <v>828</v>
      </c>
      <c r="F385" s="13" t="str">
        <f>HYPERLINK("https://news.okezone.com/read/2019/07/14/18/2078704/menteri-pendidikan-israel-dikecam-karena-dukung-terapi-penyembuhan-gay ","sumber")</f>
        <v>sumber</v>
      </c>
      <c r="G385" s="11" t="s">
        <v>1</v>
      </c>
      <c r="H385" s="14"/>
      <c r="I385" s="11">
        <v>1</v>
      </c>
      <c r="J385" s="11">
        <v>3</v>
      </c>
      <c r="K385" s="11" t="s">
        <v>829</v>
      </c>
      <c r="L385" s="11">
        <v>0</v>
      </c>
      <c r="M385" s="11">
        <v>-1</v>
      </c>
      <c r="N385" s="15">
        <v>0</v>
      </c>
      <c r="O385" s="11">
        <v>0</v>
      </c>
      <c r="P385" s="11">
        <v>0</v>
      </c>
      <c r="Q385" s="11" t="s">
        <v>21</v>
      </c>
      <c r="R385" s="11" t="s">
        <v>830</v>
      </c>
      <c r="S385" s="14"/>
      <c r="T385" s="11">
        <v>0</v>
      </c>
      <c r="U385" s="11">
        <v>0</v>
      </c>
      <c r="V385" s="11">
        <v>0</v>
      </c>
      <c r="W385" s="14"/>
      <c r="X385" s="14"/>
      <c r="Y385" s="14"/>
    </row>
    <row r="386" spans="1:25" ht="14.4">
      <c r="A386" s="17">
        <v>2</v>
      </c>
      <c r="B386" s="17" t="s">
        <v>831</v>
      </c>
      <c r="C386" s="18">
        <v>259</v>
      </c>
      <c r="D386" s="18">
        <v>1</v>
      </c>
      <c r="E386" s="19"/>
      <c r="F386" s="20" t="str">
        <f>HYPERLINK("https://news.detik.com/bbc-world/d-4633372/vatikan-selidiki-misteri-perempuan-muda-hilang-di-roma-36-tahun-lalu ","sumber")</f>
        <v>sumber</v>
      </c>
      <c r="G386" s="18" t="s">
        <v>1</v>
      </c>
      <c r="H386" s="19"/>
      <c r="I386" s="19"/>
      <c r="J386" s="18">
        <v>3</v>
      </c>
      <c r="K386" s="19"/>
      <c r="L386" s="19"/>
      <c r="M386" s="19"/>
      <c r="N386" s="19"/>
      <c r="O386" s="19"/>
      <c r="P386" s="19"/>
      <c r="Q386" s="19"/>
      <c r="R386" s="19"/>
      <c r="S386" s="19"/>
      <c r="T386" s="19"/>
      <c r="U386" s="19"/>
      <c r="V386" s="19"/>
      <c r="W386" s="19"/>
      <c r="X386" s="19"/>
      <c r="Y386" s="19"/>
    </row>
    <row r="387" spans="1:25" ht="26.4">
      <c r="A387" s="36">
        <v>1</v>
      </c>
      <c r="B387" s="36" t="s">
        <v>832</v>
      </c>
      <c r="C387" s="37">
        <v>260</v>
      </c>
      <c r="D387" s="37">
        <v>5</v>
      </c>
      <c r="E387" s="37" t="s">
        <v>833</v>
      </c>
      <c r="F387" s="39" t="str">
        <f>HYPERLINK("https://tirto.id/mounir-baatour-capres-gay-pertama-di-tunisia-dan-dunia-arab-eeDs ","sumber")</f>
        <v>sumber</v>
      </c>
      <c r="G387" s="37" t="s">
        <v>1</v>
      </c>
      <c r="H387" s="40"/>
      <c r="I387" s="37">
        <v>1</v>
      </c>
      <c r="J387" s="37">
        <v>3</v>
      </c>
      <c r="K387" s="37" t="s">
        <v>834</v>
      </c>
      <c r="L387" s="37">
        <v>0</v>
      </c>
      <c r="M387" s="37">
        <v>1</v>
      </c>
      <c r="N387" s="37">
        <v>0</v>
      </c>
      <c r="O387" s="37">
        <v>0</v>
      </c>
      <c r="P387" s="37">
        <v>0</v>
      </c>
      <c r="Q387" s="37" t="s">
        <v>178</v>
      </c>
      <c r="R387" s="37" t="s">
        <v>160</v>
      </c>
      <c r="S387" s="40"/>
      <c r="T387" s="37">
        <v>0</v>
      </c>
      <c r="U387" s="37">
        <v>0</v>
      </c>
      <c r="V387" s="37">
        <v>0</v>
      </c>
      <c r="W387" s="40"/>
      <c r="X387" s="40"/>
      <c r="Y387" s="40"/>
    </row>
    <row r="388" spans="1:25" ht="26.4">
      <c r="A388" s="2">
        <v>1</v>
      </c>
      <c r="B388" s="2" t="s">
        <v>835</v>
      </c>
      <c r="C388" s="3">
        <v>261</v>
      </c>
      <c r="D388" s="3">
        <v>8</v>
      </c>
      <c r="E388" s="4">
        <v>43472</v>
      </c>
      <c r="F388" s="5" t="str">
        <f>HYPERLINK("https://www.suara.com/news/2019/07/01/110534/detik-detik-polisi-bubarkan-pawai-lgbt-dengan-gas-air-mata ","sumber")</f>
        <v>sumber</v>
      </c>
      <c r="G388" s="3" t="s">
        <v>1</v>
      </c>
      <c r="H388" s="3">
        <v>174</v>
      </c>
      <c r="I388" s="3">
        <v>1</v>
      </c>
      <c r="J388" s="3">
        <v>3</v>
      </c>
      <c r="K388" s="3" t="s">
        <v>836</v>
      </c>
      <c r="L388" s="3">
        <v>0</v>
      </c>
      <c r="M388" s="3">
        <v>-1</v>
      </c>
      <c r="N388" s="16">
        <v>0</v>
      </c>
      <c r="O388" s="3">
        <v>0</v>
      </c>
      <c r="P388" s="3">
        <v>0</v>
      </c>
      <c r="Q388" s="3" t="s">
        <v>210</v>
      </c>
      <c r="R388" s="3" t="s">
        <v>837</v>
      </c>
      <c r="S388" s="7"/>
      <c r="T388" s="3">
        <v>0</v>
      </c>
      <c r="U388" s="3">
        <v>0</v>
      </c>
      <c r="V388" s="3">
        <v>0</v>
      </c>
      <c r="W388" s="7"/>
      <c r="X388" s="7"/>
      <c r="Y388" s="7"/>
    </row>
    <row r="389" spans="1:25" ht="14.4">
      <c r="A389" s="10">
        <v>1</v>
      </c>
      <c r="B389" s="10" t="s">
        <v>838</v>
      </c>
      <c r="C389" s="11">
        <v>262</v>
      </c>
      <c r="D389" s="11">
        <v>2</v>
      </c>
      <c r="E389" s="11" t="s">
        <v>839</v>
      </c>
      <c r="F389" s="13" t="str">
        <f>HYPERLINK("https://www.cnnindonesia.com/hiburan/20190724212636-220-415247/chris-pratt-tak-sabar-lihat-mahershala-ali-jadi-blade ","sumber")</f>
        <v>sumber</v>
      </c>
      <c r="G389" s="11" t="s">
        <v>1</v>
      </c>
      <c r="H389" s="14"/>
      <c r="I389" s="11">
        <v>2</v>
      </c>
      <c r="J389" s="11">
        <v>3</v>
      </c>
      <c r="K389" s="11" t="s">
        <v>840</v>
      </c>
      <c r="L389" s="11">
        <v>0</v>
      </c>
      <c r="M389" s="11">
        <v>0</v>
      </c>
      <c r="N389" s="15">
        <v>0</v>
      </c>
      <c r="O389" s="11">
        <v>0</v>
      </c>
      <c r="P389" s="11">
        <v>0</v>
      </c>
      <c r="Q389" s="11">
        <v>0</v>
      </c>
      <c r="R389" s="11">
        <v>0</v>
      </c>
      <c r="S389" s="14"/>
      <c r="T389" s="11">
        <v>0</v>
      </c>
      <c r="U389" s="11">
        <v>0</v>
      </c>
      <c r="V389" s="11">
        <v>0</v>
      </c>
      <c r="W389" s="14"/>
      <c r="X389" s="14"/>
      <c r="Y389" s="14"/>
    </row>
    <row r="390" spans="1:25" ht="14.4">
      <c r="A390" s="2">
        <v>1</v>
      </c>
      <c r="B390" s="2" t="s">
        <v>841</v>
      </c>
      <c r="C390" s="3">
        <v>263</v>
      </c>
      <c r="D390" s="3">
        <v>3</v>
      </c>
      <c r="E390" s="4">
        <v>43684</v>
      </c>
      <c r="F390" s="5" t="str">
        <f>HYPERLINK("https://news.okezone.com/read/2019/07/08/525/2076072/over-kapasitas-rutan-lapas-berdampak-napi-jadi-suka-sejenis ","sumber")</f>
        <v>sumber</v>
      </c>
      <c r="G390" s="3" t="s">
        <v>1</v>
      </c>
      <c r="H390" s="3">
        <v>181</v>
      </c>
      <c r="I390" s="3">
        <v>4</v>
      </c>
      <c r="J390" s="3">
        <v>3</v>
      </c>
      <c r="K390" s="3" t="s">
        <v>842</v>
      </c>
      <c r="L390" s="3">
        <v>0</v>
      </c>
      <c r="M390" s="3">
        <v>0</v>
      </c>
      <c r="N390" s="16">
        <v>0</v>
      </c>
      <c r="O390" s="3">
        <v>0</v>
      </c>
      <c r="P390" s="3">
        <v>0</v>
      </c>
      <c r="Q390" s="3">
        <v>0</v>
      </c>
      <c r="R390" s="3">
        <v>-1</v>
      </c>
      <c r="S390" s="3" t="s">
        <v>843</v>
      </c>
      <c r="T390" s="3">
        <v>1</v>
      </c>
      <c r="U390" s="3">
        <v>0</v>
      </c>
      <c r="V390" s="3">
        <v>1</v>
      </c>
      <c r="W390" s="7"/>
      <c r="X390" s="7"/>
      <c r="Y390" s="7"/>
    </row>
    <row r="391" spans="1:25" ht="28.8">
      <c r="A391" s="17">
        <v>2</v>
      </c>
      <c r="B391" s="17" t="s">
        <v>844</v>
      </c>
      <c r="C391" s="18">
        <v>391</v>
      </c>
      <c r="D391" s="18">
        <v>10</v>
      </c>
      <c r="E391" s="19"/>
      <c r="F391" s="20" t="str">
        <f>HYPERLINK("https://nasional.tempo.co/read/1253553/ppi-belanda-dukung-mahasiswa-indonesia-ajukan-12-tuntutan ","sumber")</f>
        <v>sumber</v>
      </c>
      <c r="G391" s="18" t="s">
        <v>1</v>
      </c>
      <c r="H391" s="19"/>
      <c r="I391" s="19"/>
      <c r="J391" s="18">
        <v>1</v>
      </c>
      <c r="K391" s="19"/>
      <c r="L391" s="19"/>
      <c r="M391" s="19"/>
      <c r="N391" s="19"/>
      <c r="O391" s="19"/>
      <c r="P391" s="19"/>
      <c r="Q391" s="19"/>
      <c r="R391" s="19"/>
      <c r="S391" s="19"/>
      <c r="T391" s="19"/>
      <c r="U391" s="19"/>
      <c r="V391" s="19"/>
      <c r="W391" s="19"/>
      <c r="X391" s="19"/>
      <c r="Y391" s="19"/>
    </row>
    <row r="392" spans="1:25" ht="14.4">
      <c r="A392" s="17">
        <v>2</v>
      </c>
      <c r="B392" s="48" t="s">
        <v>845</v>
      </c>
      <c r="C392" s="18">
        <v>392</v>
      </c>
      <c r="D392" s="18">
        <v>1</v>
      </c>
      <c r="E392" s="31">
        <v>43534</v>
      </c>
      <c r="F392" s="20" t="str">
        <f>HYPERLINK("https://news.detik.com/kolom/d-4732384/setahun-kematian-khashoggi ","sumber")</f>
        <v>sumber</v>
      </c>
      <c r="G392" s="18" t="s">
        <v>1</v>
      </c>
      <c r="H392" s="49">
        <v>907</v>
      </c>
      <c r="I392" s="18"/>
      <c r="J392" s="18">
        <v>4</v>
      </c>
      <c r="K392" s="19"/>
      <c r="L392" s="19"/>
      <c r="M392" s="19"/>
      <c r="N392" s="19"/>
      <c r="O392" s="19"/>
      <c r="P392" s="19"/>
      <c r="Q392" s="19"/>
      <c r="R392" s="19"/>
      <c r="S392" s="19"/>
      <c r="T392" s="19"/>
      <c r="U392" s="19"/>
      <c r="V392" s="19"/>
      <c r="W392" s="19"/>
      <c r="X392" s="19"/>
      <c r="Y392" s="19"/>
    </row>
    <row r="393" spans="1:25" ht="14.4">
      <c r="A393" s="17">
        <v>2</v>
      </c>
      <c r="B393" s="48" t="s">
        <v>846</v>
      </c>
      <c r="C393" s="18">
        <v>393</v>
      </c>
      <c r="D393" s="18">
        <v>2</v>
      </c>
      <c r="E393" s="31">
        <v>43565</v>
      </c>
      <c r="F393" s="20" t="str">
        <f>HYPERLINK("https://www.cnnindonesia.com/internasional/20191004042454-120-436627/aksi-protes-di-irak-menewaskan-28-orang-ribuan-terluka ","sumber")</f>
        <v>sumber</v>
      </c>
      <c r="G393" s="18" t="s">
        <v>1</v>
      </c>
      <c r="H393" s="49">
        <v>337</v>
      </c>
      <c r="I393" s="18"/>
      <c r="J393" s="18">
        <v>4</v>
      </c>
      <c r="K393" s="19"/>
      <c r="L393" s="19"/>
      <c r="M393" s="19"/>
      <c r="N393" s="19"/>
      <c r="O393" s="19"/>
      <c r="P393" s="19"/>
      <c r="Q393" s="19"/>
      <c r="R393" s="19"/>
      <c r="S393" s="19"/>
      <c r="T393" s="19"/>
      <c r="U393" s="19"/>
      <c r="V393" s="19"/>
      <c r="W393" s="19"/>
      <c r="X393" s="19"/>
      <c r="Y393" s="19"/>
    </row>
    <row r="394" spans="1:25" ht="14.4">
      <c r="A394" s="17">
        <v>2</v>
      </c>
      <c r="B394" s="48" t="s">
        <v>847</v>
      </c>
      <c r="C394" s="18">
        <v>394</v>
      </c>
      <c r="D394" s="18">
        <v>3</v>
      </c>
      <c r="E394" s="31">
        <v>43565</v>
      </c>
      <c r="F394" s="20" t="str">
        <f>HYPERLINK("https://news.okezone.com/read/2019/10/04/18/2112748/demonstrasi-berdarah-irak-masuki-hari-ketiga-27-orang-dilaporkan-tewas ","sumber")</f>
        <v>sumber</v>
      </c>
      <c r="G394" s="18" t="s">
        <v>1</v>
      </c>
      <c r="H394" s="49">
        <v>590</v>
      </c>
      <c r="I394" s="18"/>
      <c r="J394" s="18">
        <v>4</v>
      </c>
      <c r="K394" s="19"/>
      <c r="L394" s="19"/>
      <c r="M394" s="19"/>
      <c r="N394" s="19"/>
      <c r="O394" s="19"/>
      <c r="P394" s="19"/>
      <c r="Q394" s="19"/>
      <c r="R394" s="19"/>
      <c r="S394" s="19"/>
      <c r="T394" s="19"/>
      <c r="U394" s="19"/>
      <c r="V394" s="19"/>
      <c r="W394" s="19"/>
      <c r="X394" s="19"/>
      <c r="Y394" s="19"/>
    </row>
    <row r="395" spans="1:25" ht="14.4">
      <c r="A395" s="17">
        <v>2</v>
      </c>
      <c r="B395" s="48" t="s">
        <v>848</v>
      </c>
      <c r="C395" s="18">
        <v>395</v>
      </c>
      <c r="D395" s="18">
        <v>8</v>
      </c>
      <c r="E395" s="31">
        <v>43656</v>
      </c>
      <c r="F395" s="20" t="str">
        <f>HYPERLINK("https://www.suara.com/news/2019/10/07/103102/korban-tewas-aksi-demonstrasi-di-irak-tembus-100-orang ","sumber")</f>
        <v>sumber</v>
      </c>
      <c r="G395" s="18" t="s">
        <v>1</v>
      </c>
      <c r="H395" s="49">
        <v>286</v>
      </c>
      <c r="I395" s="19"/>
      <c r="J395" s="18">
        <v>4</v>
      </c>
      <c r="K395" s="19"/>
      <c r="L395" s="19"/>
      <c r="M395" s="19"/>
      <c r="N395" s="19"/>
      <c r="O395" s="19"/>
      <c r="P395" s="19"/>
      <c r="Q395" s="19"/>
      <c r="R395" s="19"/>
      <c r="S395" s="19"/>
      <c r="T395" s="19"/>
      <c r="U395" s="19"/>
      <c r="V395" s="19"/>
      <c r="W395" s="19"/>
      <c r="X395" s="19"/>
      <c r="Y395" s="19"/>
    </row>
    <row r="396" spans="1:25" ht="14.4">
      <c r="A396" s="17">
        <v>2</v>
      </c>
      <c r="B396" s="48" t="s">
        <v>849</v>
      </c>
      <c r="C396" s="18">
        <v>396</v>
      </c>
      <c r="D396" s="18">
        <v>3</v>
      </c>
      <c r="E396" s="18" t="s">
        <v>850</v>
      </c>
      <c r="F396" s="20" t="str">
        <f>HYPERLINK("https://news.okezone.com/read/2019/11/20/65/2132084/hasil-penelitian-2016-2018-ini-daftar-10-perguruan-tinggi-dengan-kinerja-tertinggi ","sumber")</f>
        <v>sumber</v>
      </c>
      <c r="G396" s="18" t="s">
        <v>1</v>
      </c>
      <c r="H396" s="49">
        <v>512</v>
      </c>
      <c r="I396" s="19"/>
      <c r="J396" s="18">
        <v>4</v>
      </c>
      <c r="K396" s="19"/>
      <c r="L396" s="19"/>
      <c r="M396" s="19"/>
      <c r="N396" s="19"/>
      <c r="O396" s="19"/>
      <c r="P396" s="19"/>
      <c r="Q396" s="19"/>
      <c r="R396" s="19"/>
      <c r="S396" s="19"/>
      <c r="T396" s="19"/>
      <c r="U396" s="19"/>
      <c r="V396" s="19"/>
      <c r="W396" s="19"/>
      <c r="X396" s="19"/>
      <c r="Y396" s="19"/>
    </row>
    <row r="397" spans="1:25" ht="14.4">
      <c r="A397" s="17">
        <v>2</v>
      </c>
      <c r="B397" s="48" t="s">
        <v>851</v>
      </c>
      <c r="C397" s="18">
        <v>397</v>
      </c>
      <c r="D397" s="18">
        <v>3</v>
      </c>
      <c r="E397" s="18" t="s">
        <v>852</v>
      </c>
      <c r="F397" s="20" t="str">
        <f>HYPERLINK("https://index.okezone.com/read/2019/11/22/614/2133045/ma-ruf-amin-di-maulid-akbar-nabi-muhammad-itu-ibarat-berlian ","sumber")</f>
        <v>sumber</v>
      </c>
      <c r="G397" s="18" t="s">
        <v>1</v>
      </c>
      <c r="H397" s="49">
        <v>391</v>
      </c>
      <c r="I397" s="19"/>
      <c r="J397" s="18">
        <v>4</v>
      </c>
      <c r="K397" s="19"/>
      <c r="L397" s="19"/>
      <c r="M397" s="19"/>
      <c r="N397" s="19"/>
      <c r="O397" s="19"/>
      <c r="P397" s="19"/>
      <c r="Q397" s="19"/>
      <c r="R397" s="19"/>
      <c r="S397" s="19"/>
      <c r="T397" s="19"/>
      <c r="U397" s="19"/>
      <c r="V397" s="19"/>
      <c r="W397" s="19"/>
      <c r="X397" s="19"/>
      <c r="Y397" s="19"/>
    </row>
    <row r="398" spans="1:25" ht="66">
      <c r="A398" s="50">
        <v>1</v>
      </c>
      <c r="B398" s="51" t="s">
        <v>853</v>
      </c>
      <c r="C398" s="37">
        <v>398</v>
      </c>
      <c r="D398" s="37">
        <v>3</v>
      </c>
      <c r="E398" s="52">
        <v>43811</v>
      </c>
      <c r="F398" s="39" t="str">
        <f>HYPERLINK("https://news.okezone.com/read/2019/12/12/18/2141053/india-permudah-status-kewarganegaraan-bagi-imigran-dengan-syarat-bukan-muslim ","sumber")</f>
        <v>sumber</v>
      </c>
      <c r="G398" s="37" t="s">
        <v>1</v>
      </c>
      <c r="H398" s="53">
        <v>773</v>
      </c>
      <c r="I398" s="37">
        <v>4</v>
      </c>
      <c r="J398" s="37">
        <v>4</v>
      </c>
      <c r="K398" s="37" t="s">
        <v>854</v>
      </c>
      <c r="L398" s="37">
        <v>0</v>
      </c>
      <c r="M398" s="37">
        <v>0</v>
      </c>
      <c r="N398" s="43">
        <v>0</v>
      </c>
      <c r="O398" s="37">
        <v>0</v>
      </c>
      <c r="P398" s="37">
        <v>0</v>
      </c>
      <c r="Q398" s="37" t="s">
        <v>855</v>
      </c>
      <c r="R398" s="37" t="s">
        <v>856</v>
      </c>
      <c r="S398" s="40"/>
      <c r="T398" s="37">
        <v>0</v>
      </c>
      <c r="U398" s="37">
        <v>0</v>
      </c>
      <c r="V398" s="37">
        <v>1</v>
      </c>
      <c r="W398" s="40"/>
      <c r="X398" s="40"/>
      <c r="Y398" s="40"/>
    </row>
    <row r="399" spans="1:25" ht="14.4">
      <c r="A399" s="17">
        <v>2</v>
      </c>
      <c r="B399" s="48" t="s">
        <v>857</v>
      </c>
      <c r="C399" s="18">
        <v>399</v>
      </c>
      <c r="D399" s="18">
        <v>4</v>
      </c>
      <c r="E399" s="19"/>
      <c r="F399" s="20" t="str">
        <f>HYPERLINK("https://www.liputan6.com/global/read/4133507/pencak-silat-hingga-naik-gunung-ini-daftar-baru-warisan-dunia-tak-benda-unesco ","sumber")</f>
        <v>sumber</v>
      </c>
      <c r="G399" s="18" t="s">
        <v>1</v>
      </c>
      <c r="H399" s="49">
        <v>556</v>
      </c>
      <c r="I399" s="19"/>
      <c r="J399" s="18">
        <v>4</v>
      </c>
      <c r="K399" s="19"/>
      <c r="L399" s="19"/>
      <c r="M399" s="19"/>
      <c r="N399" s="19"/>
      <c r="O399" s="19"/>
      <c r="P399" s="19"/>
      <c r="Q399" s="19"/>
      <c r="R399" s="19"/>
      <c r="S399" s="19"/>
      <c r="T399" s="19"/>
      <c r="U399" s="19"/>
      <c r="V399" s="19"/>
      <c r="W399" s="19"/>
      <c r="X399" s="19"/>
      <c r="Y399" s="19"/>
    </row>
    <row r="400" spans="1:25" ht="14.4">
      <c r="A400" s="17">
        <v>2</v>
      </c>
      <c r="B400" s="48" t="s">
        <v>858</v>
      </c>
      <c r="C400" s="18">
        <v>400</v>
      </c>
      <c r="D400" s="18">
        <v>4</v>
      </c>
      <c r="E400" s="19"/>
      <c r="F400" s="20" t="str">
        <f>HYPERLINK("https://www.liputan6.com/global/read/4134316/video-india-akan-beri-imigran-warga-negara-kecuali-muslim ","sumber")</f>
        <v>sumber</v>
      </c>
      <c r="G400" s="18" t="s">
        <v>1</v>
      </c>
      <c r="H400" s="49">
        <v>18</v>
      </c>
      <c r="I400" s="19"/>
      <c r="J400" s="18">
        <v>4</v>
      </c>
      <c r="K400" s="19"/>
      <c r="L400" s="19"/>
      <c r="M400" s="19"/>
      <c r="N400" s="19"/>
      <c r="O400" s="19"/>
      <c r="P400" s="19"/>
      <c r="Q400" s="19"/>
      <c r="R400" s="19"/>
      <c r="S400" s="19"/>
      <c r="T400" s="19"/>
      <c r="U400" s="19"/>
      <c r="V400" s="19"/>
      <c r="W400" s="19"/>
      <c r="X400" s="19"/>
      <c r="Y400" s="19"/>
    </row>
    <row r="401" spans="1:25" ht="14.4">
      <c r="A401" s="17">
        <v>2</v>
      </c>
      <c r="B401" s="48" t="s">
        <v>859</v>
      </c>
      <c r="C401" s="18">
        <v>401</v>
      </c>
      <c r="D401" s="18">
        <v>7</v>
      </c>
      <c r="E401" s="19"/>
      <c r="F401" s="20" t="str">
        <f>HYPERLINK("https://www.tribunnews.com/regional/2019/12/15/tim-sar-evakuasi-tiga-nelayan-dari-boat-yang-mati-mesin-di-perairan-alue-naga ","sumber")</f>
        <v>sumber</v>
      </c>
      <c r="G401" s="18" t="s">
        <v>1</v>
      </c>
      <c r="H401" s="49">
        <v>358</v>
      </c>
      <c r="I401" s="19"/>
      <c r="J401" s="18">
        <v>4</v>
      </c>
      <c r="K401" s="19"/>
      <c r="L401" s="19"/>
      <c r="M401" s="19"/>
      <c r="N401" s="19"/>
      <c r="O401" s="19"/>
      <c r="P401" s="19"/>
      <c r="Q401" s="19"/>
      <c r="R401" s="19"/>
      <c r="S401" s="19"/>
      <c r="T401" s="19"/>
      <c r="U401" s="19"/>
      <c r="V401" s="19"/>
      <c r="W401" s="19"/>
      <c r="X401" s="19"/>
      <c r="Y401" s="19"/>
    </row>
    <row r="402" spans="1:25" ht="14.4">
      <c r="A402" s="50">
        <v>1</v>
      </c>
      <c r="B402" s="51" t="s">
        <v>860</v>
      </c>
      <c r="C402" s="37">
        <v>402</v>
      </c>
      <c r="D402" s="37">
        <v>10</v>
      </c>
      <c r="E402" s="37" t="s">
        <v>861</v>
      </c>
      <c r="F402" s="39" t="str">
        <f>HYPERLINK("https://dunia.tempo.co/read/1285283/mahkamah-agung-india-putuskan-tetap-menerapkan-uu-kewarganegaraan ","sumber")</f>
        <v>sumber</v>
      </c>
      <c r="G402" s="37" t="s">
        <v>1</v>
      </c>
      <c r="H402" s="54">
        <v>212</v>
      </c>
      <c r="I402" s="37">
        <v>4</v>
      </c>
      <c r="J402" s="37">
        <v>4</v>
      </c>
      <c r="K402" s="37" t="s">
        <v>862</v>
      </c>
      <c r="L402" s="37">
        <v>0</v>
      </c>
      <c r="M402" s="37">
        <v>0</v>
      </c>
      <c r="N402" s="43">
        <v>0</v>
      </c>
      <c r="O402" s="37">
        <v>0</v>
      </c>
      <c r="P402" s="37">
        <v>0</v>
      </c>
      <c r="Q402" s="37">
        <v>0</v>
      </c>
      <c r="R402" s="37">
        <v>0</v>
      </c>
      <c r="S402" s="40"/>
      <c r="T402" s="37">
        <v>0</v>
      </c>
      <c r="U402" s="37">
        <v>0</v>
      </c>
      <c r="V402" s="37">
        <v>1</v>
      </c>
      <c r="W402" s="40"/>
      <c r="X402" s="40"/>
      <c r="Y402" s="40"/>
    </row>
    <row r="403" spans="1:25" ht="14.4">
      <c r="A403" s="50">
        <v>1</v>
      </c>
      <c r="B403" s="51" t="s">
        <v>863</v>
      </c>
      <c r="C403" s="37">
        <v>403</v>
      </c>
      <c r="D403" s="37">
        <v>1</v>
      </c>
      <c r="E403" s="37" t="s">
        <v>864</v>
      </c>
      <c r="F403" s="39" t="str">
        <f>HYPERLINK("https://hot.detik.com/celeb/d-4830824/haddad-alwi-jawab-tudingan-pengikut-syiah ","sumber")</f>
        <v>sumber</v>
      </c>
      <c r="G403" s="37" t="s">
        <v>1</v>
      </c>
      <c r="H403" s="54">
        <v>251</v>
      </c>
      <c r="I403" s="37">
        <v>1</v>
      </c>
      <c r="J403" s="37">
        <v>4</v>
      </c>
      <c r="K403" s="37" t="s">
        <v>865</v>
      </c>
      <c r="L403" s="37">
        <v>0</v>
      </c>
      <c r="M403" s="37">
        <v>1</v>
      </c>
      <c r="N403" s="43">
        <v>0</v>
      </c>
      <c r="O403" s="37">
        <v>0</v>
      </c>
      <c r="P403" s="37">
        <v>0</v>
      </c>
      <c r="Q403" s="37">
        <v>2</v>
      </c>
      <c r="R403" s="37">
        <v>1</v>
      </c>
      <c r="S403" s="40"/>
      <c r="T403" s="37">
        <v>0</v>
      </c>
      <c r="U403" s="37">
        <v>0</v>
      </c>
      <c r="V403" s="37">
        <v>0</v>
      </c>
      <c r="W403" s="40"/>
      <c r="X403" s="40"/>
      <c r="Y403" s="40"/>
    </row>
    <row r="404" spans="1:25" ht="14.4">
      <c r="A404" s="50">
        <v>1</v>
      </c>
      <c r="B404" s="51" t="s">
        <v>866</v>
      </c>
      <c r="C404" s="37">
        <v>404</v>
      </c>
      <c r="D404" s="37">
        <v>1</v>
      </c>
      <c r="E404" s="37" t="s">
        <v>867</v>
      </c>
      <c r="F404" s="39" t="str">
        <f>HYPERLINK("https://hot.detik.com/celeb/d-4831136/haddad-alwi-dituduh-syiah-lalu-dipersekusi-ini-kata-ustaz-solmed ","sumber")</f>
        <v>sumber</v>
      </c>
      <c r="G404" s="37" t="s">
        <v>1</v>
      </c>
      <c r="H404" s="54">
        <v>225</v>
      </c>
      <c r="I404" s="37">
        <v>1</v>
      </c>
      <c r="J404" s="37">
        <v>4</v>
      </c>
      <c r="K404" s="37" t="s">
        <v>868</v>
      </c>
      <c r="L404" s="37">
        <v>0</v>
      </c>
      <c r="M404" s="37">
        <v>-1</v>
      </c>
      <c r="N404" s="43">
        <v>0</v>
      </c>
      <c r="O404" s="37">
        <v>0</v>
      </c>
      <c r="P404" s="37">
        <v>0</v>
      </c>
      <c r="Q404" s="37">
        <v>0</v>
      </c>
      <c r="R404" s="37">
        <v>1</v>
      </c>
      <c r="S404" s="40"/>
      <c r="T404" s="37">
        <v>0</v>
      </c>
      <c r="U404" s="37">
        <v>0</v>
      </c>
      <c r="V404" s="37">
        <v>0</v>
      </c>
      <c r="W404" s="40"/>
      <c r="X404" s="40"/>
      <c r="Y404" s="40"/>
    </row>
    <row r="405" spans="1:25" ht="14.4">
      <c r="A405" s="50">
        <v>1</v>
      </c>
      <c r="B405" s="51" t="s">
        <v>869</v>
      </c>
      <c r="C405" s="37">
        <v>405</v>
      </c>
      <c r="D405" s="37">
        <v>10</v>
      </c>
      <c r="E405" s="37" t="s">
        <v>870</v>
      </c>
      <c r="F405" s="39" t="str">
        <f>HYPERLINK("https://nasional.tempo.co/read/1286593/haddad-alwi-vs-basim-laskah-fpi-ikut-bersalawat ","sumber")</f>
        <v>sumber</v>
      </c>
      <c r="G405" s="37" t="s">
        <v>1</v>
      </c>
      <c r="H405" s="54">
        <v>267</v>
      </c>
      <c r="I405" s="37">
        <v>1</v>
      </c>
      <c r="J405" s="37">
        <v>4</v>
      </c>
      <c r="K405" s="37" t="s">
        <v>871</v>
      </c>
      <c r="L405" s="37">
        <v>0</v>
      </c>
      <c r="M405" s="37">
        <v>1</v>
      </c>
      <c r="N405" s="43">
        <v>0</v>
      </c>
      <c r="O405" s="37">
        <v>0</v>
      </c>
      <c r="P405" s="37">
        <v>0</v>
      </c>
      <c r="Q405" s="37" t="s">
        <v>87</v>
      </c>
      <c r="R405" s="37" t="s">
        <v>30</v>
      </c>
      <c r="S405" s="40"/>
      <c r="T405" s="37">
        <v>0</v>
      </c>
      <c r="U405" s="37">
        <v>0</v>
      </c>
      <c r="V405" s="37">
        <v>0</v>
      </c>
      <c r="W405" s="40"/>
      <c r="X405" s="40"/>
      <c r="Y405" s="40"/>
    </row>
    <row r="406" spans="1:25" ht="14.4">
      <c r="A406" s="17">
        <v>2</v>
      </c>
      <c r="B406" s="48" t="s">
        <v>872</v>
      </c>
      <c r="C406" s="18">
        <v>406</v>
      </c>
      <c r="D406" s="18">
        <v>10</v>
      </c>
      <c r="E406" s="18" t="s">
        <v>873</v>
      </c>
      <c r="F406" s="20" t="str">
        <f>HYPERLINK("https://dunia.tempo.co/read/1287201/polisi-india-selamat-karena-peluru-terhalang-dompet ","sumber")</f>
        <v>sumber</v>
      </c>
      <c r="G406" s="18" t="s">
        <v>1</v>
      </c>
      <c r="H406" s="49">
        <v>275</v>
      </c>
      <c r="I406" s="19"/>
      <c r="J406" s="18">
        <v>4</v>
      </c>
      <c r="K406" s="19"/>
      <c r="L406" s="19"/>
      <c r="M406" s="19"/>
      <c r="N406" s="19"/>
      <c r="O406" s="19"/>
      <c r="P406" s="19"/>
      <c r="Q406" s="19"/>
      <c r="R406" s="19"/>
      <c r="S406" s="19"/>
      <c r="T406" s="19"/>
      <c r="U406" s="19"/>
      <c r="V406" s="19"/>
      <c r="W406" s="19"/>
      <c r="X406" s="19"/>
      <c r="Y406" s="19"/>
    </row>
    <row r="407" spans="1:25" ht="26.4">
      <c r="A407" s="45">
        <v>1</v>
      </c>
      <c r="B407" s="55" t="s">
        <v>874</v>
      </c>
      <c r="C407" s="3">
        <v>407</v>
      </c>
      <c r="D407" s="3">
        <v>4</v>
      </c>
      <c r="E407" s="3" t="s">
        <v>875</v>
      </c>
      <c r="F407" s="5" t="str">
        <f>HYPERLINK("https://www.liputan6.com/news/read/4135862/nu-dan-ahmadiyah-sepakat-kerja-sama-sosial-kemanusiaan","sumber")</f>
        <v>sumber</v>
      </c>
      <c r="G407" s="3" t="s">
        <v>1</v>
      </c>
      <c r="H407" s="56">
        <v>291</v>
      </c>
      <c r="I407" s="3">
        <v>3</v>
      </c>
      <c r="J407" s="3">
        <v>4</v>
      </c>
      <c r="K407" s="3" t="s">
        <v>876</v>
      </c>
      <c r="L407" s="3">
        <v>0</v>
      </c>
      <c r="M407" s="3">
        <v>0</v>
      </c>
      <c r="N407" s="16">
        <v>0</v>
      </c>
      <c r="O407" s="3">
        <v>0</v>
      </c>
      <c r="P407" s="3">
        <v>0</v>
      </c>
      <c r="Q407" s="3" t="s">
        <v>87</v>
      </c>
      <c r="R407" s="3" t="s">
        <v>160</v>
      </c>
      <c r="S407" s="7"/>
      <c r="T407" s="3">
        <v>0</v>
      </c>
      <c r="U407" s="3">
        <v>0</v>
      </c>
      <c r="V407" s="3">
        <v>0</v>
      </c>
      <c r="W407" s="7"/>
      <c r="X407" s="7"/>
      <c r="Y407" s="7"/>
    </row>
    <row r="408" spans="1:25" ht="14.4">
      <c r="A408" s="17">
        <v>2</v>
      </c>
      <c r="B408" s="48" t="s">
        <v>877</v>
      </c>
      <c r="C408" s="18">
        <v>408</v>
      </c>
      <c r="D408" s="18">
        <v>7</v>
      </c>
      <c r="E408" s="31">
        <v>43534</v>
      </c>
      <c r="F408" s="20" t="str">
        <f>HYPERLINK("https://www.tribunnews.com/nasional/2019/10/03/setelah-disepakati-jadi-ketua-mpr-bamsoet-jabat-tangan-dengan-airlangga-hartarto ","sumber")</f>
        <v>sumber</v>
      </c>
      <c r="G408" s="18" t="s">
        <v>1</v>
      </c>
      <c r="H408" s="49">
        <v>223</v>
      </c>
      <c r="I408" s="19"/>
      <c r="J408" s="18">
        <v>2</v>
      </c>
      <c r="K408" s="19"/>
      <c r="L408" s="19"/>
      <c r="M408" s="19"/>
      <c r="N408" s="19"/>
      <c r="O408" s="19"/>
      <c r="P408" s="19"/>
      <c r="Q408" s="19"/>
      <c r="R408" s="19"/>
      <c r="S408" s="19"/>
      <c r="T408" s="19"/>
      <c r="U408" s="19"/>
      <c r="V408" s="19"/>
      <c r="W408" s="19"/>
      <c r="X408" s="19"/>
      <c r="Y408" s="19"/>
    </row>
    <row r="409" spans="1:25" ht="14.4">
      <c r="A409" s="50">
        <v>1</v>
      </c>
      <c r="B409" s="51" t="s">
        <v>878</v>
      </c>
      <c r="C409" s="37">
        <v>409</v>
      </c>
      <c r="D409" s="37">
        <v>6</v>
      </c>
      <c r="E409" s="38">
        <v>43565</v>
      </c>
      <c r="F409" s="39" t="str">
        <f>HYPERLINK("https://regional.kompas.com/read/2019/10/04/20422641/sebelum-dikurung-di-bekas-kandang-ayam-bocah-12-tahun-ini-sempat-dikubur ","sumber")</f>
        <v>sumber</v>
      </c>
      <c r="G409" s="37" t="s">
        <v>1</v>
      </c>
      <c r="H409" s="54">
        <v>240</v>
      </c>
      <c r="I409" s="37">
        <v>1</v>
      </c>
      <c r="J409" s="37">
        <v>2</v>
      </c>
      <c r="K409" s="37" t="s">
        <v>879</v>
      </c>
      <c r="L409" s="37">
        <v>0</v>
      </c>
      <c r="M409" s="37">
        <v>-1</v>
      </c>
      <c r="N409" s="43">
        <v>0</v>
      </c>
      <c r="O409" s="37">
        <v>0</v>
      </c>
      <c r="P409" s="37">
        <v>0</v>
      </c>
      <c r="Q409" s="37" t="s">
        <v>29</v>
      </c>
      <c r="R409" s="37" t="s">
        <v>29</v>
      </c>
      <c r="S409" s="40"/>
      <c r="T409" s="37">
        <v>0</v>
      </c>
      <c r="U409" s="37">
        <v>0</v>
      </c>
      <c r="V409" s="37">
        <v>0</v>
      </c>
      <c r="W409" s="40"/>
      <c r="X409" s="40"/>
      <c r="Y409" s="40"/>
    </row>
    <row r="410" spans="1:25" ht="14.4">
      <c r="A410" s="17">
        <v>2</v>
      </c>
      <c r="B410" s="48" t="s">
        <v>880</v>
      </c>
      <c r="C410" s="18">
        <v>410</v>
      </c>
      <c r="D410" s="18">
        <v>8</v>
      </c>
      <c r="E410" s="31">
        <v>43565</v>
      </c>
      <c r="F410" s="20" t="str">
        <f>HYPERLINK("https://www.suara.com/health/2019/10/04/171500/alami-kdrt-wanita-ini-cedera-parah-sampai-butuh-transplantasi-wajah ","sumber")</f>
        <v>sumber</v>
      </c>
      <c r="G410" s="18" t="s">
        <v>1</v>
      </c>
      <c r="H410" s="49">
        <v>244</v>
      </c>
      <c r="I410" s="19"/>
      <c r="J410" s="18">
        <v>2</v>
      </c>
      <c r="K410" s="19"/>
      <c r="L410" s="19"/>
      <c r="M410" s="19"/>
      <c r="N410" s="19"/>
      <c r="O410" s="19"/>
      <c r="P410" s="19"/>
      <c r="Q410" s="19"/>
      <c r="R410" s="19"/>
      <c r="S410" s="19"/>
      <c r="T410" s="19"/>
      <c r="U410" s="19"/>
      <c r="V410" s="19"/>
      <c r="W410" s="19"/>
      <c r="X410" s="19"/>
      <c r="Y410" s="19"/>
    </row>
    <row r="411" spans="1:25" ht="14.4">
      <c r="A411" s="17">
        <v>2</v>
      </c>
      <c r="B411" s="48" t="s">
        <v>881</v>
      </c>
      <c r="C411" s="18">
        <v>411</v>
      </c>
      <c r="D411" s="18">
        <v>5</v>
      </c>
      <c r="E411" s="31">
        <v>43565</v>
      </c>
      <c r="F411" s="20" t="str">
        <f>HYPERLINK("https://tirto.id/kenali-gejala-stroke-ringan-penyebab-dan-pencegahannya-ejcw ","sumber")</f>
        <v>sumber</v>
      </c>
      <c r="G411" s="18" t="s">
        <v>1</v>
      </c>
      <c r="H411" s="49">
        <v>578</v>
      </c>
      <c r="I411" s="19"/>
      <c r="J411" s="18">
        <v>2</v>
      </c>
      <c r="K411" s="19"/>
      <c r="L411" s="19"/>
      <c r="M411" s="19"/>
      <c r="N411" s="19"/>
      <c r="O411" s="19"/>
      <c r="P411" s="19"/>
      <c r="Q411" s="19"/>
      <c r="R411" s="19"/>
      <c r="S411" s="19"/>
      <c r="T411" s="19"/>
      <c r="U411" s="19"/>
      <c r="V411" s="19"/>
      <c r="W411" s="19"/>
      <c r="X411" s="19"/>
      <c r="Y411" s="19"/>
    </row>
    <row r="412" spans="1:25" ht="79.2">
      <c r="A412" s="50">
        <v>1</v>
      </c>
      <c r="B412" s="51" t="s">
        <v>882</v>
      </c>
      <c r="C412" s="37">
        <v>412</v>
      </c>
      <c r="D412" s="37">
        <v>7</v>
      </c>
      <c r="E412" s="38">
        <v>43565</v>
      </c>
      <c r="F412" s="39" t="str">
        <f>HYPERLINK("https://www.tribunnews.com/regional/2019/10/04/viral-pria-difabel-banting-tulang-hidupi-anak-istri-jual-lem-naik-agkot-ke-pasar-penuh-kendala ","sumber")</f>
        <v>sumber</v>
      </c>
      <c r="G412" s="37" t="s">
        <v>1</v>
      </c>
      <c r="H412" s="54">
        <v>155</v>
      </c>
      <c r="I412" s="37">
        <v>2</v>
      </c>
      <c r="J412" s="37">
        <v>2</v>
      </c>
      <c r="K412" s="37" t="s">
        <v>883</v>
      </c>
      <c r="L412" s="37">
        <v>0</v>
      </c>
      <c r="M412" s="37">
        <v>0</v>
      </c>
      <c r="N412" s="43">
        <v>0</v>
      </c>
      <c r="O412" s="37">
        <v>0</v>
      </c>
      <c r="P412" s="37">
        <v>-1</v>
      </c>
      <c r="Q412" s="37" t="s">
        <v>72</v>
      </c>
      <c r="R412" s="37" t="s">
        <v>884</v>
      </c>
      <c r="S412" s="40"/>
      <c r="T412" s="37">
        <v>0</v>
      </c>
      <c r="U412" s="37">
        <v>0</v>
      </c>
      <c r="V412" s="37">
        <v>0</v>
      </c>
      <c r="W412" s="40"/>
      <c r="X412" s="40"/>
      <c r="Y412" s="40"/>
    </row>
    <row r="413" spans="1:25" ht="26.4">
      <c r="A413" s="50">
        <v>1</v>
      </c>
      <c r="B413" s="51" t="s">
        <v>885</v>
      </c>
      <c r="C413" s="37">
        <v>413</v>
      </c>
      <c r="D413" s="37">
        <v>3</v>
      </c>
      <c r="E413" s="38">
        <v>43595</v>
      </c>
      <c r="F413" s="39" t="str">
        <f>HYPERLINK("https://celebrity.okezone.com/read/2019/10/04/33/2113075/tindakan-ekstrem-penggemar-demi-dapat-perhatian-idola-termasuk-gangguan-kejiwaan ","sumber")</f>
        <v>sumber</v>
      </c>
      <c r="G413" s="37" t="s">
        <v>1</v>
      </c>
      <c r="H413" s="54">
        <v>495</v>
      </c>
      <c r="I413" s="37">
        <v>1</v>
      </c>
      <c r="J413" s="37">
        <v>2</v>
      </c>
      <c r="K413" s="37" t="s">
        <v>886</v>
      </c>
      <c r="L413" s="37">
        <v>0</v>
      </c>
      <c r="M413" s="11">
        <v>0</v>
      </c>
      <c r="N413" s="43">
        <v>0</v>
      </c>
      <c r="O413" s="37">
        <v>0</v>
      </c>
      <c r="P413" s="37">
        <v>0</v>
      </c>
      <c r="Q413" s="37" t="s">
        <v>21</v>
      </c>
      <c r="R413" s="37" t="s">
        <v>21</v>
      </c>
      <c r="S413" s="40"/>
      <c r="T413" s="37">
        <v>0</v>
      </c>
      <c r="U413" s="37">
        <v>0</v>
      </c>
      <c r="V413" s="37">
        <v>0</v>
      </c>
      <c r="W413" s="40"/>
      <c r="X413" s="40"/>
      <c r="Y413" s="40"/>
    </row>
    <row r="414" spans="1:25" ht="14.4">
      <c r="A414" s="45">
        <v>1</v>
      </c>
      <c r="B414" s="55" t="s">
        <v>887</v>
      </c>
      <c r="C414" s="3">
        <v>414</v>
      </c>
      <c r="D414" s="3">
        <v>1</v>
      </c>
      <c r="E414" s="4">
        <v>43595</v>
      </c>
      <c r="F414" s="5" t="str">
        <f>HYPERLINK("https://inet.detik.com/cyberlife/d-4734521/panji-dan-anji-peringatkan-netizen-soal-joker","sumber")</f>
        <v>sumber</v>
      </c>
      <c r="G414" s="3" t="s">
        <v>1</v>
      </c>
      <c r="H414" s="56">
        <v>380</v>
      </c>
      <c r="I414" s="3">
        <v>2</v>
      </c>
      <c r="J414" s="3">
        <v>2</v>
      </c>
      <c r="K414" s="3" t="s">
        <v>888</v>
      </c>
      <c r="L414" s="3">
        <v>0</v>
      </c>
      <c r="M414" s="3">
        <v>0</v>
      </c>
      <c r="N414" s="16">
        <v>0</v>
      </c>
      <c r="O414" s="3">
        <v>0</v>
      </c>
      <c r="P414" s="3">
        <v>0</v>
      </c>
      <c r="Q414" s="3" t="s">
        <v>29</v>
      </c>
      <c r="R414" s="3" t="s">
        <v>30</v>
      </c>
      <c r="S414" s="3" t="s">
        <v>889</v>
      </c>
      <c r="T414" s="3">
        <v>1</v>
      </c>
      <c r="U414" s="3">
        <v>0</v>
      </c>
      <c r="V414" s="3">
        <v>0</v>
      </c>
      <c r="W414" s="7"/>
      <c r="X414" s="7"/>
      <c r="Y414" s="7"/>
    </row>
    <row r="415" spans="1:25" ht="26.4">
      <c r="A415" s="45">
        <v>1</v>
      </c>
      <c r="B415" s="55" t="s">
        <v>890</v>
      </c>
      <c r="C415" s="3">
        <v>415</v>
      </c>
      <c r="D415" s="3">
        <v>5</v>
      </c>
      <c r="E415" s="4">
        <v>43656</v>
      </c>
      <c r="F415" s="5" t="str">
        <f>HYPERLINK("https://tirto.id/kemenkes-usul-istilah-rumah-sakit-jiwa-diganti-untuk-hapus-stigma-ejmP","sumber")</f>
        <v>sumber</v>
      </c>
      <c r="G415" s="3" t="s">
        <v>1</v>
      </c>
      <c r="H415" s="56">
        <v>474</v>
      </c>
      <c r="I415" s="3">
        <v>4</v>
      </c>
      <c r="J415" s="3">
        <v>2</v>
      </c>
      <c r="K415" s="3" t="s">
        <v>891</v>
      </c>
      <c r="L415" s="3">
        <v>0</v>
      </c>
      <c r="M415" s="3">
        <v>0</v>
      </c>
      <c r="N415" s="16">
        <v>0</v>
      </c>
      <c r="O415" s="3">
        <v>0</v>
      </c>
      <c r="P415" s="3">
        <v>0</v>
      </c>
      <c r="Q415" s="3">
        <v>0</v>
      </c>
      <c r="R415" s="3">
        <v>1</v>
      </c>
      <c r="S415" s="7"/>
      <c r="T415" s="3">
        <v>0</v>
      </c>
      <c r="U415" s="3">
        <v>0</v>
      </c>
      <c r="V415" s="3">
        <v>1</v>
      </c>
      <c r="W415" s="7"/>
      <c r="X415" s="7"/>
      <c r="Y415" s="7"/>
    </row>
    <row r="416" spans="1:25" ht="14.4">
      <c r="A416" s="45">
        <v>1</v>
      </c>
      <c r="B416" s="55" t="s">
        <v>892</v>
      </c>
      <c r="C416" s="3">
        <v>416</v>
      </c>
      <c r="D416" s="3">
        <v>8</v>
      </c>
      <c r="E416" s="4">
        <v>43687</v>
      </c>
      <c r="F416" s="5" t="str">
        <f>HYPERLINK("https://jatim.suara.com/read/2019/10/08/152022/pukul-ayah-pakai-linggis-alasan-imron-dipasung-di-kandang-kambing","sumber")</f>
        <v>sumber</v>
      </c>
      <c r="G416" s="3" t="s">
        <v>1</v>
      </c>
      <c r="H416" s="56">
        <v>397</v>
      </c>
      <c r="I416" s="3">
        <v>1</v>
      </c>
      <c r="J416" s="3">
        <v>2</v>
      </c>
      <c r="K416" s="3" t="s">
        <v>893</v>
      </c>
      <c r="L416" s="3">
        <v>0</v>
      </c>
      <c r="M416" s="3">
        <v>-1</v>
      </c>
      <c r="N416" s="16">
        <v>0</v>
      </c>
      <c r="O416" s="3">
        <v>0</v>
      </c>
      <c r="P416" s="3">
        <v>0</v>
      </c>
      <c r="Q416" s="3" t="s">
        <v>87</v>
      </c>
      <c r="R416" s="3" t="s">
        <v>29</v>
      </c>
      <c r="S416" s="7"/>
      <c r="T416" s="3">
        <v>0</v>
      </c>
      <c r="U416" s="3">
        <v>0</v>
      </c>
      <c r="V416" s="3">
        <v>0</v>
      </c>
      <c r="W416" s="7"/>
      <c r="X416" s="7"/>
      <c r="Y416" s="7"/>
    </row>
    <row r="417" spans="1:25" ht="26.4">
      <c r="A417" s="45">
        <v>1</v>
      </c>
      <c r="B417" s="55" t="s">
        <v>894</v>
      </c>
      <c r="C417" s="3">
        <v>417</v>
      </c>
      <c r="D417" s="3">
        <v>1</v>
      </c>
      <c r="E417" s="4">
        <v>43718</v>
      </c>
      <c r="F417" s="5" t="str">
        <f>HYPERLINK("https://news.detik.com/berita-jawa-barat/d-4740049/jadi-tersangka-penculik-bocah-paud-di-tasik-mengaku-mau-merawat-korban","sumber")</f>
        <v>sumber</v>
      </c>
      <c r="G417" s="3" t="s">
        <v>1</v>
      </c>
      <c r="H417" s="56">
        <v>250</v>
      </c>
      <c r="I417" s="3">
        <v>1</v>
      </c>
      <c r="J417" s="3">
        <v>2</v>
      </c>
      <c r="K417" s="3" t="s">
        <v>895</v>
      </c>
      <c r="L417" s="3">
        <v>0</v>
      </c>
      <c r="M417" s="3">
        <v>0</v>
      </c>
      <c r="N417" s="16">
        <v>0</v>
      </c>
      <c r="O417" s="3">
        <v>0</v>
      </c>
      <c r="P417" s="3">
        <v>0</v>
      </c>
      <c r="Q417" s="3" t="s">
        <v>21</v>
      </c>
      <c r="R417" s="3" t="s">
        <v>21</v>
      </c>
      <c r="S417" s="3" t="s">
        <v>468</v>
      </c>
      <c r="T417" s="3">
        <v>1</v>
      </c>
      <c r="U417" s="3">
        <v>0</v>
      </c>
      <c r="V417" s="3">
        <v>0</v>
      </c>
      <c r="W417" s="7"/>
      <c r="X417" s="7"/>
      <c r="Y417" s="7"/>
    </row>
    <row r="418" spans="1:25" ht="26.4">
      <c r="A418" s="50">
        <v>1</v>
      </c>
      <c r="B418" s="51" t="s">
        <v>896</v>
      </c>
      <c r="C418" s="37">
        <v>418</v>
      </c>
      <c r="D418" s="37">
        <v>9</v>
      </c>
      <c r="E418" s="38">
        <v>43718</v>
      </c>
      <c r="F418" s="39" t="str">
        <f>HYPERLINK("https://nasional.republika.co.id/berita/pz2b5r409/81-persen-kasus-kebutaan-di-indonesia-terjadi-akibat-katarak ","sumber")</f>
        <v>sumber</v>
      </c>
      <c r="G418" s="37" t="s">
        <v>1</v>
      </c>
      <c r="H418" s="54">
        <v>333</v>
      </c>
      <c r="I418" s="37">
        <v>5</v>
      </c>
      <c r="J418" s="37">
        <v>2</v>
      </c>
      <c r="K418" s="37" t="s">
        <v>897</v>
      </c>
      <c r="L418" s="37">
        <v>0</v>
      </c>
      <c r="M418" s="37">
        <v>0</v>
      </c>
      <c r="N418" s="43">
        <v>0</v>
      </c>
      <c r="O418" s="37">
        <v>0</v>
      </c>
      <c r="P418" s="37">
        <v>0</v>
      </c>
      <c r="Q418" s="37">
        <v>0</v>
      </c>
      <c r="R418" s="37">
        <v>0</v>
      </c>
      <c r="S418" s="40"/>
      <c r="T418" s="37">
        <v>0</v>
      </c>
      <c r="U418" s="37">
        <v>0</v>
      </c>
      <c r="V418" s="37">
        <v>0</v>
      </c>
      <c r="W418" s="40"/>
      <c r="X418" s="40"/>
      <c r="Y418" s="40"/>
    </row>
    <row r="419" spans="1:25" ht="14.4">
      <c r="A419" s="50">
        <v>1</v>
      </c>
      <c r="B419" s="51" t="s">
        <v>898</v>
      </c>
      <c r="C419" s="37">
        <v>419</v>
      </c>
      <c r="D419" s="37">
        <v>5</v>
      </c>
      <c r="E419" s="38">
        <v>43718</v>
      </c>
      <c r="F419" s="39" t="str">
        <f>HYPERLINK("https://tirto.id/jakarta-fashion-week-2020-akan-digelar-19-25-oktober-mendatang-ejug ","sumber")</f>
        <v>sumber</v>
      </c>
      <c r="G419" s="37" t="s">
        <v>1</v>
      </c>
      <c r="H419" s="54">
        <v>439</v>
      </c>
      <c r="I419" s="37">
        <v>3</v>
      </c>
      <c r="J419" s="37">
        <v>2</v>
      </c>
      <c r="K419" s="37"/>
      <c r="L419" s="37">
        <v>0</v>
      </c>
      <c r="M419" s="37">
        <v>0</v>
      </c>
      <c r="N419" s="43">
        <v>0</v>
      </c>
      <c r="O419" s="37">
        <v>0</v>
      </c>
      <c r="P419" s="37">
        <v>0</v>
      </c>
      <c r="Q419" s="37"/>
      <c r="R419" s="37"/>
      <c r="S419" s="40"/>
      <c r="T419" s="37">
        <v>0</v>
      </c>
      <c r="U419" s="37">
        <v>0</v>
      </c>
      <c r="V419" s="37">
        <v>0</v>
      </c>
      <c r="W419" s="40"/>
      <c r="X419" s="40"/>
      <c r="Y419" s="40"/>
    </row>
    <row r="420" spans="1:25" ht="14.4">
      <c r="A420" s="50">
        <v>1</v>
      </c>
      <c r="B420" s="51" t="s">
        <v>899</v>
      </c>
      <c r="C420" s="37">
        <v>420</v>
      </c>
      <c r="D420" s="37">
        <v>1</v>
      </c>
      <c r="E420" s="37" t="s">
        <v>900</v>
      </c>
      <c r="F420" s="39" t="str">
        <f>HYPERLINK("https://news.detik.com/berita-jawa-tengah/d-4789150/cerita-warga-soal-temuan-mayat-remaja-terkubur-di-pekarangan-rumah ","sumber")</f>
        <v>sumber</v>
      </c>
      <c r="G420" s="37" t="s">
        <v>1</v>
      </c>
      <c r="H420" s="54">
        <v>220</v>
      </c>
      <c r="I420" s="37">
        <v>1</v>
      </c>
      <c r="J420" s="37">
        <v>2</v>
      </c>
      <c r="K420" s="37" t="s">
        <v>901</v>
      </c>
      <c r="L420" s="37">
        <v>0</v>
      </c>
      <c r="M420" s="11">
        <v>0</v>
      </c>
      <c r="N420" s="43">
        <v>0</v>
      </c>
      <c r="O420" s="37">
        <v>0</v>
      </c>
      <c r="P420" s="37">
        <v>0</v>
      </c>
      <c r="Q420" s="37">
        <v>0</v>
      </c>
      <c r="R420" s="37">
        <v>0</v>
      </c>
      <c r="S420" s="40"/>
      <c r="T420" s="37">
        <v>0</v>
      </c>
      <c r="U420" s="37">
        <v>0</v>
      </c>
      <c r="V420" s="37">
        <v>0</v>
      </c>
      <c r="W420" s="40"/>
      <c r="X420" s="40"/>
      <c r="Y420" s="40"/>
    </row>
    <row r="421" spans="1:25" ht="14.4">
      <c r="A421" s="17">
        <v>2</v>
      </c>
      <c r="B421" s="48" t="s">
        <v>902</v>
      </c>
      <c r="C421" s="18">
        <v>421</v>
      </c>
      <c r="D421" s="18">
        <v>9</v>
      </c>
      <c r="E421" s="18" t="s">
        <v>900</v>
      </c>
      <c r="F421" s="20" t="str">
        <f>HYPERLINK("https://republika.co.id/berita/q1699h5017000/pengguna-samsung-lg-dan-motorola-hpmu-dalam-bahaya ","sumber")</f>
        <v>sumber</v>
      </c>
      <c r="G421" s="18" t="s">
        <v>1</v>
      </c>
      <c r="H421" s="49">
        <v>287</v>
      </c>
      <c r="I421" s="19"/>
      <c r="J421" s="18">
        <v>2</v>
      </c>
      <c r="K421" s="19"/>
      <c r="L421" s="19"/>
      <c r="M421" s="19"/>
      <c r="N421" s="19"/>
      <c r="O421" s="19"/>
      <c r="P421" s="19"/>
      <c r="Q421" s="19"/>
      <c r="R421" s="19"/>
      <c r="S421" s="19"/>
      <c r="T421" s="19"/>
      <c r="U421" s="19"/>
      <c r="V421" s="19"/>
      <c r="W421" s="19"/>
      <c r="X421" s="19"/>
      <c r="Y421" s="19"/>
    </row>
    <row r="422" spans="1:25" ht="14.4">
      <c r="A422" s="17">
        <v>2</v>
      </c>
      <c r="B422" s="48" t="s">
        <v>903</v>
      </c>
      <c r="C422" s="18">
        <v>422</v>
      </c>
      <c r="D422" s="18">
        <v>2</v>
      </c>
      <c r="E422" s="18" t="s">
        <v>904</v>
      </c>
      <c r="F422" s="20" t="str">
        <f>HYPERLINK("https://www.cnnindonesia.com/nasional/20191119150202-12-449682/usai-sidang-orang-tua-siswa-gonzaga-buka-peluang-berdamai ","sumber")</f>
        <v>sumber</v>
      </c>
      <c r="G422" s="18" t="s">
        <v>1</v>
      </c>
      <c r="H422" s="49">
        <v>325</v>
      </c>
      <c r="I422" s="19"/>
      <c r="J422" s="18">
        <v>2</v>
      </c>
      <c r="K422" s="19"/>
      <c r="L422" s="19"/>
      <c r="M422" s="19"/>
      <c r="N422" s="19"/>
      <c r="O422" s="19"/>
      <c r="P422" s="19"/>
      <c r="Q422" s="19"/>
      <c r="R422" s="19"/>
      <c r="S422" s="19"/>
      <c r="T422" s="19"/>
      <c r="U422" s="19"/>
      <c r="V422" s="19"/>
      <c r="W422" s="19"/>
      <c r="X422" s="19"/>
      <c r="Y422" s="19"/>
    </row>
    <row r="423" spans="1:25" ht="14.4">
      <c r="A423" s="17">
        <v>2</v>
      </c>
      <c r="B423" s="48" t="s">
        <v>905</v>
      </c>
      <c r="C423" s="18">
        <v>423</v>
      </c>
      <c r="D423" s="18">
        <v>1</v>
      </c>
      <c r="E423" s="18" t="s">
        <v>850</v>
      </c>
      <c r="F423" s="20" t="str">
        <f>HYPERLINK("https://sport.detik.com/sepakbola/liga-jerman/d-4792507/lewandowski-masih-bisa-lebih-gila-lagi ","sumber")</f>
        <v>sumber</v>
      </c>
      <c r="G423" s="18" t="s">
        <v>1</v>
      </c>
      <c r="H423" s="49">
        <v>266</v>
      </c>
      <c r="I423" s="19"/>
      <c r="J423" s="18">
        <v>2</v>
      </c>
      <c r="K423" s="19"/>
      <c r="L423" s="19"/>
      <c r="M423" s="19"/>
      <c r="N423" s="19"/>
      <c r="O423" s="19"/>
      <c r="P423" s="19"/>
      <c r="Q423" s="19"/>
      <c r="R423" s="19"/>
      <c r="S423" s="19"/>
      <c r="T423" s="19"/>
      <c r="U423" s="19"/>
      <c r="V423" s="19"/>
      <c r="W423" s="19"/>
      <c r="X423" s="19"/>
      <c r="Y423" s="19"/>
    </row>
    <row r="424" spans="1:25" ht="39.6">
      <c r="A424" s="50">
        <v>1</v>
      </c>
      <c r="B424" s="51" t="s">
        <v>906</v>
      </c>
      <c r="C424" s="37">
        <v>424</v>
      </c>
      <c r="D424" s="37">
        <v>9</v>
      </c>
      <c r="E424" s="37" t="s">
        <v>850</v>
      </c>
      <c r="F424" s="39" t="str">
        <f>HYPERLINK("https://republika.co.id/berita/q1989n335/uns-jalin-kerjasama-dengan-npc-indonesia ","sumber")</f>
        <v>sumber</v>
      </c>
      <c r="G424" s="37" t="s">
        <v>1</v>
      </c>
      <c r="H424" s="54">
        <v>297</v>
      </c>
      <c r="I424" s="37">
        <v>3</v>
      </c>
      <c r="J424" s="37">
        <v>2</v>
      </c>
      <c r="K424" s="37" t="s">
        <v>907</v>
      </c>
      <c r="L424" s="37">
        <v>0</v>
      </c>
      <c r="M424" s="37">
        <v>0</v>
      </c>
      <c r="N424" s="43">
        <v>0</v>
      </c>
      <c r="O424" s="37">
        <v>0</v>
      </c>
      <c r="P424" s="37">
        <v>0</v>
      </c>
      <c r="Q424" s="37" t="s">
        <v>29</v>
      </c>
      <c r="R424" s="37" t="s">
        <v>29</v>
      </c>
      <c r="S424" s="40"/>
      <c r="T424" s="37">
        <v>0</v>
      </c>
      <c r="U424" s="37">
        <v>0</v>
      </c>
      <c r="V424" s="37">
        <v>0</v>
      </c>
      <c r="W424" s="40"/>
      <c r="X424" s="40"/>
      <c r="Y424" s="40"/>
    </row>
    <row r="425" spans="1:25" ht="14.4">
      <c r="A425" s="17">
        <v>2</v>
      </c>
      <c r="B425" s="48" t="s">
        <v>908</v>
      </c>
      <c r="C425" s="18">
        <v>425</v>
      </c>
      <c r="D425" s="18">
        <v>8</v>
      </c>
      <c r="E425" s="18" t="s">
        <v>850</v>
      </c>
      <c r="F425" s="20" t="str">
        <f>HYPERLINK("https://www.suara.com/lifestyle/2019/11/20/203500/5-berita-lifestyle-menarik-hari-ikan-nasional-zodiak-tri-rismaharini ","sumber")</f>
        <v>sumber</v>
      </c>
      <c r="G425" s="18" t="s">
        <v>1</v>
      </c>
      <c r="H425" s="49">
        <v>314</v>
      </c>
      <c r="I425" s="19"/>
      <c r="J425" s="18">
        <v>2</v>
      </c>
      <c r="K425" s="19"/>
      <c r="L425" s="19"/>
      <c r="M425" s="19"/>
      <c r="N425" s="19"/>
      <c r="O425" s="19"/>
      <c r="P425" s="19"/>
      <c r="Q425" s="19"/>
      <c r="R425" s="19"/>
      <c r="S425" s="19"/>
      <c r="T425" s="19"/>
      <c r="U425" s="19"/>
      <c r="V425" s="19"/>
      <c r="W425" s="19"/>
      <c r="X425" s="19"/>
      <c r="Y425" s="19"/>
    </row>
    <row r="426" spans="1:25" ht="14.4">
      <c r="A426" s="50">
        <v>1</v>
      </c>
      <c r="B426" s="51" t="s">
        <v>909</v>
      </c>
      <c r="C426" s="37">
        <v>426</v>
      </c>
      <c r="D426" s="37">
        <v>10</v>
      </c>
      <c r="E426" s="37" t="s">
        <v>850</v>
      </c>
      <c r="F426" s="39" t="str">
        <f>HYPERLINK("https://cantik.tempo.co/read/1274660/dian-sastrowardoyo-dampingi-putranya-yang-autisme-terapi-gambar ","sumber")</f>
        <v>sumber</v>
      </c>
      <c r="G426" s="37" t="s">
        <v>1</v>
      </c>
      <c r="H426" s="54">
        <v>395</v>
      </c>
      <c r="I426" s="37">
        <v>3</v>
      </c>
      <c r="J426" s="37">
        <v>2</v>
      </c>
      <c r="K426" s="37" t="s">
        <v>910</v>
      </c>
      <c r="L426" s="37">
        <v>0</v>
      </c>
      <c r="M426" s="37">
        <v>0</v>
      </c>
      <c r="N426" s="43">
        <v>0</v>
      </c>
      <c r="O426" s="37">
        <v>0</v>
      </c>
      <c r="P426" s="37">
        <v>0</v>
      </c>
      <c r="Q426" s="37">
        <v>1</v>
      </c>
      <c r="R426" s="37">
        <v>1</v>
      </c>
      <c r="S426" s="40"/>
      <c r="T426" s="37">
        <v>0</v>
      </c>
      <c r="U426" s="37">
        <v>0</v>
      </c>
      <c r="V426" s="37">
        <v>0</v>
      </c>
      <c r="W426" s="40"/>
      <c r="X426" s="40"/>
      <c r="Y426" s="40"/>
    </row>
    <row r="427" spans="1:25" ht="14.4">
      <c r="A427" s="17">
        <v>2</v>
      </c>
      <c r="B427" s="48" t="s">
        <v>911</v>
      </c>
      <c r="C427" s="18">
        <v>427</v>
      </c>
      <c r="D427" s="18">
        <v>8</v>
      </c>
      <c r="E427" s="18" t="s">
        <v>912</v>
      </c>
      <c r="F427" s="20" t="str">
        <f>HYPERLINK("https://www.suara.com/entertainment/2019/11/21/174627/sejarah-baru-raisa-jadi-penyanyi-perempuan-pertama-gelar-konser-di-sugbk ","sumber")</f>
        <v>sumber</v>
      </c>
      <c r="G427" s="18" t="s">
        <v>1</v>
      </c>
      <c r="H427" s="49">
        <v>281</v>
      </c>
      <c r="I427" s="19"/>
      <c r="J427" s="18">
        <v>2</v>
      </c>
      <c r="K427" s="19"/>
      <c r="L427" s="19"/>
      <c r="M427" s="19"/>
      <c r="N427" s="19"/>
      <c r="O427" s="19"/>
      <c r="P427" s="19"/>
      <c r="Q427" s="19"/>
      <c r="R427" s="19"/>
      <c r="S427" s="19"/>
      <c r="T427" s="19"/>
      <c r="U427" s="19"/>
      <c r="V427" s="19"/>
      <c r="W427" s="19"/>
      <c r="X427" s="19"/>
      <c r="Y427" s="19"/>
    </row>
    <row r="428" spans="1:25" ht="14.4">
      <c r="A428" s="45">
        <v>1</v>
      </c>
      <c r="B428" s="55" t="s">
        <v>913</v>
      </c>
      <c r="C428" s="3">
        <v>428</v>
      </c>
      <c r="D428" s="3">
        <v>7</v>
      </c>
      <c r="E428" s="3" t="s">
        <v>912</v>
      </c>
      <c r="F428" s="5" t="str">
        <f>HYPERLINK("https://www.tribunnews.com/nasional/2019/11/21/angkie-yudistia-perempuan-tunarungu-yang-ditunjuk-jokowi-jadi-staf-khusus-presiden","sumber")</f>
        <v>sumber</v>
      </c>
      <c r="G428" s="3" t="s">
        <v>1</v>
      </c>
      <c r="H428" s="56">
        <v>152</v>
      </c>
      <c r="I428" s="3">
        <v>2</v>
      </c>
      <c r="J428" s="3">
        <v>2</v>
      </c>
      <c r="K428" s="3" t="s">
        <v>914</v>
      </c>
      <c r="L428" s="3">
        <v>0</v>
      </c>
      <c r="M428" s="3">
        <v>0</v>
      </c>
      <c r="N428" s="16">
        <v>0</v>
      </c>
      <c r="O428" s="3">
        <v>0</v>
      </c>
      <c r="P428" s="3">
        <v>0</v>
      </c>
      <c r="Q428" s="3">
        <v>2</v>
      </c>
      <c r="R428" s="3">
        <v>1</v>
      </c>
      <c r="S428" s="7"/>
      <c r="T428" s="3">
        <v>0</v>
      </c>
      <c r="U428" s="3">
        <v>0</v>
      </c>
      <c r="V428" s="3">
        <v>0</v>
      </c>
      <c r="W428" s="7"/>
      <c r="X428" s="7"/>
      <c r="Y428" s="7"/>
    </row>
    <row r="429" spans="1:25" ht="14.4">
      <c r="A429" s="17">
        <v>2</v>
      </c>
      <c r="B429" s="48" t="s">
        <v>915</v>
      </c>
      <c r="C429" s="18">
        <v>429</v>
      </c>
      <c r="D429" s="18">
        <v>8</v>
      </c>
      <c r="E429" s="18" t="s">
        <v>852</v>
      </c>
      <c r="F429" s="20" t="str">
        <f>HYPERLINK("https://www.suara.com/sport/2019/11/22/060500/uas-haramkan-catur-percasi-angkat-bicara ","sumber")</f>
        <v>sumber</v>
      </c>
      <c r="G429" s="18" t="s">
        <v>1</v>
      </c>
      <c r="H429" s="49">
        <v>591</v>
      </c>
      <c r="I429" s="19"/>
      <c r="J429" s="18">
        <v>2</v>
      </c>
      <c r="K429" s="19"/>
      <c r="L429" s="19"/>
      <c r="M429" s="19"/>
      <c r="N429" s="19"/>
      <c r="O429" s="19"/>
      <c r="P429" s="19"/>
      <c r="Q429" s="19"/>
      <c r="R429" s="19"/>
      <c r="S429" s="19"/>
      <c r="T429" s="19"/>
      <c r="U429" s="19"/>
      <c r="V429" s="19"/>
      <c r="W429" s="19"/>
      <c r="X429" s="19"/>
      <c r="Y429" s="19"/>
    </row>
    <row r="430" spans="1:25" ht="14.4">
      <c r="A430" s="17">
        <v>2</v>
      </c>
      <c r="B430" s="48" t="s">
        <v>916</v>
      </c>
      <c r="C430" s="18">
        <v>430</v>
      </c>
      <c r="D430" s="18">
        <v>5</v>
      </c>
      <c r="E430" s="18" t="s">
        <v>852</v>
      </c>
      <c r="F430" s="20" t="str">
        <f>HYPERLINK("https://tirto.id/formasi-dan-syarat-dokumen-cpns-setjen-komnas-ham-lulusan-d3-s1-el8L ","sumber")</f>
        <v>sumber</v>
      </c>
      <c r="G430" s="18" t="s">
        <v>1</v>
      </c>
      <c r="H430" s="49">
        <v>464</v>
      </c>
      <c r="I430" s="19"/>
      <c r="J430" s="18">
        <v>2</v>
      </c>
      <c r="K430" s="19"/>
      <c r="L430" s="19"/>
      <c r="M430" s="19"/>
      <c r="N430" s="19"/>
      <c r="O430" s="19"/>
      <c r="P430" s="19"/>
      <c r="Q430" s="19"/>
      <c r="R430" s="19"/>
      <c r="S430" s="19"/>
      <c r="T430" s="19"/>
      <c r="U430" s="19"/>
      <c r="V430" s="19"/>
      <c r="W430" s="19"/>
      <c r="X430" s="19"/>
      <c r="Y430" s="19"/>
    </row>
    <row r="431" spans="1:25" ht="26.4">
      <c r="A431" s="50">
        <v>1</v>
      </c>
      <c r="B431" s="51" t="s">
        <v>917</v>
      </c>
      <c r="C431" s="37">
        <v>431</v>
      </c>
      <c r="D431" s="37">
        <v>2</v>
      </c>
      <c r="E431" s="37" t="s">
        <v>918</v>
      </c>
      <c r="F431" s="58" t="str">
        <f>HYPERLINK("https://www.cnnindonesia.com/nasional/20191122144549-25-450630/tingkatkan-literasi-publik-pemprov-dki-bentuk-pojok-baca ","sumber")</f>
        <v>sumber</v>
      </c>
      <c r="G431" s="37" t="s">
        <v>1</v>
      </c>
      <c r="H431" s="54">
        <v>381</v>
      </c>
      <c r="I431" s="37">
        <v>4</v>
      </c>
      <c r="J431" s="37">
        <v>2</v>
      </c>
      <c r="K431" s="37" t="s">
        <v>919</v>
      </c>
      <c r="L431" s="37">
        <v>0</v>
      </c>
      <c r="M431" s="37">
        <v>0</v>
      </c>
      <c r="N431" s="43">
        <v>0</v>
      </c>
      <c r="O431" s="37">
        <v>0</v>
      </c>
      <c r="P431" s="37">
        <v>0</v>
      </c>
      <c r="Q431" s="37" t="s">
        <v>29</v>
      </c>
      <c r="R431" s="37" t="s">
        <v>29</v>
      </c>
      <c r="S431" s="40"/>
      <c r="T431" s="37">
        <v>0</v>
      </c>
      <c r="U431" s="37">
        <v>0</v>
      </c>
      <c r="V431" s="37">
        <v>1</v>
      </c>
      <c r="W431" s="40"/>
      <c r="X431" s="40"/>
      <c r="Y431" s="40"/>
    </row>
    <row r="432" spans="1:25" ht="14.4">
      <c r="A432" s="50">
        <v>1</v>
      </c>
      <c r="B432" s="51" t="s">
        <v>920</v>
      </c>
      <c r="C432" s="37">
        <v>432</v>
      </c>
      <c r="D432" s="37">
        <v>1</v>
      </c>
      <c r="E432" s="37" t="s">
        <v>918</v>
      </c>
      <c r="F432" s="39" t="str">
        <f>HYPERLINK("https://health.detik.com/berita-detikhealth/d-4795618/ahli-terapi-ruqyah-sebut-pelaku-pamer-saldo-atm-dan-lempar-sperma-perlu-di-ruqyah ","sumber")</f>
        <v>sumber</v>
      </c>
      <c r="G432" s="37" t="s">
        <v>1</v>
      </c>
      <c r="H432" s="54">
        <v>315</v>
      </c>
      <c r="I432" s="37">
        <v>1</v>
      </c>
      <c r="J432" s="37">
        <v>2</v>
      </c>
      <c r="K432" s="37" t="s">
        <v>921</v>
      </c>
      <c r="L432" s="37">
        <v>0</v>
      </c>
      <c r="M432" s="37">
        <v>-1</v>
      </c>
      <c r="N432" s="43">
        <v>0</v>
      </c>
      <c r="O432" s="37">
        <v>0</v>
      </c>
      <c r="P432" s="37">
        <v>0</v>
      </c>
      <c r="Q432" s="37">
        <v>0</v>
      </c>
      <c r="R432" s="37">
        <v>-1</v>
      </c>
      <c r="S432" s="40"/>
      <c r="T432" s="37">
        <v>0</v>
      </c>
      <c r="U432" s="37">
        <v>-1</v>
      </c>
      <c r="V432" s="37">
        <v>0</v>
      </c>
      <c r="W432" s="40"/>
      <c r="X432" s="40"/>
      <c r="Y432" s="40"/>
    </row>
    <row r="433" spans="1:25" ht="14.4">
      <c r="A433" s="17">
        <v>2</v>
      </c>
      <c r="B433" s="48" t="s">
        <v>922</v>
      </c>
      <c r="C433" s="18">
        <v>433</v>
      </c>
      <c r="D433" s="18">
        <v>9</v>
      </c>
      <c r="E433" s="18" t="s">
        <v>918</v>
      </c>
      <c r="F433" s="20" t="str">
        <f>HYPERLINK("https://trendtek.republika.co.id/berita/q1dqjd456/pameran-teknologi-masa-depan-disrupto-2019-hadir-di-jakarta ","sumber")</f>
        <v>sumber</v>
      </c>
      <c r="G433" s="18" t="s">
        <v>1</v>
      </c>
      <c r="H433" s="49">
        <v>717</v>
      </c>
      <c r="I433" s="19"/>
      <c r="J433" s="18">
        <v>2</v>
      </c>
      <c r="K433" s="19"/>
      <c r="L433" s="19"/>
      <c r="M433" s="19"/>
      <c r="N433" s="19"/>
      <c r="O433" s="19"/>
      <c r="P433" s="19"/>
      <c r="Q433" s="19"/>
      <c r="R433" s="19"/>
      <c r="S433" s="19"/>
      <c r="T433" s="19"/>
      <c r="U433" s="19"/>
      <c r="V433" s="19"/>
      <c r="W433" s="19"/>
      <c r="X433" s="19"/>
      <c r="Y433" s="19"/>
    </row>
    <row r="434" spans="1:25" ht="26.4">
      <c r="A434" s="50">
        <v>1</v>
      </c>
      <c r="B434" s="51" t="s">
        <v>923</v>
      </c>
      <c r="C434" s="37">
        <v>434</v>
      </c>
      <c r="D434" s="37">
        <v>5</v>
      </c>
      <c r="E434" s="37" t="s">
        <v>918</v>
      </c>
      <c r="F434" s="39" t="str">
        <f>HYPERLINK("https://tirto.id/amnesty-minta-persyaratan-diskriminatif-cpns-2019-dicabut-embF ","sumber")</f>
        <v>sumber</v>
      </c>
      <c r="G434" s="37" t="s">
        <v>1</v>
      </c>
      <c r="H434" s="54">
        <v>244</v>
      </c>
      <c r="I434" s="37">
        <v>4</v>
      </c>
      <c r="J434" s="37">
        <v>2</v>
      </c>
      <c r="K434" s="37" t="s">
        <v>924</v>
      </c>
      <c r="L434" s="37">
        <v>0</v>
      </c>
      <c r="M434" s="37">
        <v>0</v>
      </c>
      <c r="N434" s="43">
        <v>0</v>
      </c>
      <c r="O434" s="37">
        <v>0</v>
      </c>
      <c r="P434" s="37">
        <v>0</v>
      </c>
      <c r="Q434" s="37">
        <v>0</v>
      </c>
      <c r="R434" s="37">
        <v>1</v>
      </c>
      <c r="S434" s="40"/>
      <c r="T434" s="37">
        <v>0</v>
      </c>
      <c r="U434" s="37">
        <v>0</v>
      </c>
      <c r="V434" s="37">
        <v>1</v>
      </c>
      <c r="W434" s="40"/>
      <c r="X434" s="40"/>
      <c r="Y434" s="40"/>
    </row>
    <row r="435" spans="1:25" ht="14.4">
      <c r="A435" s="50">
        <v>1</v>
      </c>
      <c r="B435" s="51" t="s">
        <v>925</v>
      </c>
      <c r="C435" s="37">
        <v>435</v>
      </c>
      <c r="D435" s="37">
        <v>3</v>
      </c>
      <c r="E435" s="37" t="s">
        <v>926</v>
      </c>
      <c r="F435" s="39" t="str">
        <f>HYPERLINK("https://techno.okezone.com/read/2019/11/24/207/2133761/gus-dur-hadir-di-disrupto-2019 ","sumber")</f>
        <v>sumber</v>
      </c>
      <c r="G435" s="37" t="s">
        <v>1</v>
      </c>
      <c r="H435" s="54">
        <v>204</v>
      </c>
      <c r="I435" s="37">
        <v>3</v>
      </c>
      <c r="J435" s="37">
        <v>2</v>
      </c>
      <c r="K435" s="37"/>
      <c r="L435" s="37">
        <v>0</v>
      </c>
      <c r="M435" s="37">
        <v>0</v>
      </c>
      <c r="N435" s="43">
        <v>0</v>
      </c>
      <c r="O435" s="37">
        <v>0</v>
      </c>
      <c r="P435" s="37">
        <v>0</v>
      </c>
      <c r="Q435" s="37"/>
      <c r="R435" s="37"/>
      <c r="S435" s="40"/>
      <c r="T435" s="37">
        <v>0</v>
      </c>
      <c r="U435" s="37">
        <v>0</v>
      </c>
      <c r="V435" s="37">
        <v>0</v>
      </c>
      <c r="W435" s="40"/>
      <c r="X435" s="40"/>
      <c r="Y435" s="40"/>
    </row>
    <row r="436" spans="1:25" ht="14.4">
      <c r="A436" s="17">
        <v>2</v>
      </c>
      <c r="B436" s="48" t="s">
        <v>927</v>
      </c>
      <c r="C436" s="18">
        <v>436</v>
      </c>
      <c r="D436" s="18">
        <v>10</v>
      </c>
      <c r="E436" s="18" t="s">
        <v>928</v>
      </c>
      <c r="F436" s="20" t="str">
        <f>HYPERLINK("https://nasional.tempo.co/read/1276413/skb-penanganan-radikalisme-pemerintah-bukan-anti-kritik ","sumber")</f>
        <v>sumber</v>
      </c>
      <c r="G436" s="18" t="s">
        <v>1</v>
      </c>
      <c r="H436" s="49">
        <v>436</v>
      </c>
      <c r="I436" s="19"/>
      <c r="J436" s="18">
        <v>2</v>
      </c>
      <c r="K436" s="19"/>
      <c r="L436" s="19"/>
      <c r="M436" s="19"/>
      <c r="N436" s="19"/>
      <c r="O436" s="19"/>
      <c r="P436" s="19"/>
      <c r="Q436" s="19"/>
      <c r="R436" s="19"/>
      <c r="S436" s="19"/>
      <c r="T436" s="19"/>
      <c r="U436" s="19"/>
      <c r="V436" s="19"/>
      <c r="W436" s="19"/>
      <c r="X436" s="19"/>
      <c r="Y436" s="19"/>
    </row>
    <row r="437" spans="1:25" ht="39.6">
      <c r="A437" s="50">
        <v>1</v>
      </c>
      <c r="B437" s="51" t="s">
        <v>929</v>
      </c>
      <c r="C437" s="37">
        <v>437</v>
      </c>
      <c r="D437" s="37">
        <v>1</v>
      </c>
      <c r="E437" s="37" t="s">
        <v>861</v>
      </c>
      <c r="F437" s="39" t="str">
        <f>HYPERLINK("https://finance.detik.com/berita-ekonomi-bisnis/d-4828208/katarak-berpotensi-rugikan-ekonomi-hingga-rp-84-t-kok-bisa ","sumber")</f>
        <v>sumber</v>
      </c>
      <c r="G437" s="37" t="s">
        <v>1</v>
      </c>
      <c r="H437" s="54">
        <v>483</v>
      </c>
      <c r="I437" s="37">
        <v>3</v>
      </c>
      <c r="J437" s="37">
        <v>2</v>
      </c>
      <c r="K437" s="37" t="s">
        <v>930</v>
      </c>
      <c r="L437" s="37">
        <v>0</v>
      </c>
      <c r="M437" s="37">
        <v>0</v>
      </c>
      <c r="N437" s="43">
        <v>0</v>
      </c>
      <c r="O437" s="37">
        <v>0</v>
      </c>
      <c r="P437" s="37">
        <v>0</v>
      </c>
      <c r="Q437" s="37" t="s">
        <v>29</v>
      </c>
      <c r="R437" s="37" t="s">
        <v>653</v>
      </c>
      <c r="S437" s="40"/>
      <c r="T437" s="37">
        <v>0</v>
      </c>
      <c r="U437" s="37">
        <v>0</v>
      </c>
      <c r="V437" s="37">
        <v>0</v>
      </c>
      <c r="W437" s="40"/>
      <c r="X437" s="40"/>
      <c r="Y437" s="40"/>
    </row>
    <row r="438" spans="1:25" ht="14.4">
      <c r="A438" s="17">
        <v>2</v>
      </c>
      <c r="B438" s="48" t="s">
        <v>931</v>
      </c>
      <c r="C438" s="18">
        <v>438</v>
      </c>
      <c r="D438" s="18">
        <v>3</v>
      </c>
      <c r="E438" s="18" t="s">
        <v>932</v>
      </c>
      <c r="F438" s="20" t="str">
        <f>HYPERLINK("https://lifestyle.okezone.com/read/2019/12/18/485/2143598/kenali-7-jenis-kelainan-seksual-pada-pria-dan-wanita ","sumber")</f>
        <v>sumber</v>
      </c>
      <c r="G438" s="18" t="s">
        <v>1</v>
      </c>
      <c r="H438" s="49">
        <v>429</v>
      </c>
      <c r="I438" s="19"/>
      <c r="J438" s="18">
        <v>2</v>
      </c>
      <c r="K438" s="19"/>
      <c r="L438" s="19"/>
      <c r="M438" s="19"/>
      <c r="N438" s="19"/>
      <c r="O438" s="19"/>
      <c r="P438" s="19"/>
      <c r="Q438" s="19"/>
      <c r="R438" s="19"/>
      <c r="S438" s="19"/>
      <c r="T438" s="19"/>
      <c r="U438" s="19"/>
      <c r="V438" s="19"/>
      <c r="W438" s="19"/>
      <c r="X438" s="19"/>
      <c r="Y438" s="19"/>
    </row>
    <row r="439" spans="1:25" ht="14.4">
      <c r="A439" s="50">
        <v>1</v>
      </c>
      <c r="B439" s="51" t="s">
        <v>933</v>
      </c>
      <c r="C439" s="37">
        <v>439</v>
      </c>
      <c r="D439" s="37">
        <v>3</v>
      </c>
      <c r="E439" s="37" t="s">
        <v>864</v>
      </c>
      <c r="F439" s="39" t="str">
        <f>HYPERLINK("https://lifestyle.okezone.com/read/2019/12/19/481/2143834/nonton-serial-drama-3-minggu-berturut-turut-pria-ini-mendadak-buta-dan-stroke ","sumber")</f>
        <v>sumber</v>
      </c>
      <c r="G439" s="37" t="s">
        <v>1</v>
      </c>
      <c r="H439" s="54">
        <v>311</v>
      </c>
      <c r="I439" s="37">
        <v>2</v>
      </c>
      <c r="J439" s="37">
        <v>2</v>
      </c>
      <c r="K439" s="59" t="s">
        <v>440</v>
      </c>
      <c r="L439" s="37">
        <v>0</v>
      </c>
      <c r="M439" s="37">
        <v>0</v>
      </c>
      <c r="N439" s="43">
        <v>0</v>
      </c>
      <c r="O439" s="37">
        <v>0</v>
      </c>
      <c r="P439" s="37">
        <v>0</v>
      </c>
      <c r="Q439" s="37">
        <v>0</v>
      </c>
      <c r="R439" s="37">
        <v>0</v>
      </c>
      <c r="S439" s="40"/>
      <c r="T439" s="37">
        <v>0</v>
      </c>
      <c r="U439" s="37">
        <v>0</v>
      </c>
      <c r="V439" s="37">
        <v>0</v>
      </c>
      <c r="W439" s="40"/>
      <c r="X439" s="40"/>
      <c r="Y439" s="40"/>
    </row>
    <row r="440" spans="1:25" ht="14.4">
      <c r="A440" s="17">
        <v>2</v>
      </c>
      <c r="B440" s="48" t="s">
        <v>934</v>
      </c>
      <c r="C440" s="18">
        <v>440</v>
      </c>
      <c r="D440" s="18">
        <v>5</v>
      </c>
      <c r="E440" s="18" t="s">
        <v>864</v>
      </c>
      <c r="F440" s="20" t="str">
        <f>HYPERLINK("https://tirto.id/link-pengumuman-hasil-seleksi-administrasi-cpns-kemenkes-2019-en7v ","sumber")</f>
        <v>sumber</v>
      </c>
      <c r="G440" s="18" t="s">
        <v>1</v>
      </c>
      <c r="H440" s="49">
        <v>548</v>
      </c>
      <c r="I440" s="19"/>
      <c r="J440" s="18">
        <v>2</v>
      </c>
      <c r="K440" s="19"/>
      <c r="L440" s="19"/>
      <c r="M440" s="19"/>
      <c r="N440" s="19"/>
      <c r="O440" s="19"/>
      <c r="P440" s="19"/>
      <c r="Q440" s="19"/>
      <c r="R440" s="19"/>
      <c r="S440" s="19"/>
      <c r="T440" s="19"/>
      <c r="U440" s="19"/>
      <c r="V440" s="19"/>
      <c r="W440" s="19"/>
      <c r="X440" s="19"/>
      <c r="Y440" s="19"/>
    </row>
    <row r="441" spans="1:25" ht="14.4">
      <c r="A441" s="17">
        <v>2</v>
      </c>
      <c r="B441" s="48" t="s">
        <v>935</v>
      </c>
      <c r="C441" s="18">
        <v>441</v>
      </c>
      <c r="D441" s="18">
        <v>7</v>
      </c>
      <c r="E441" s="18" t="s">
        <v>936</v>
      </c>
      <c r="F441" s="20" t="str">
        <f>HYPERLINK("https://www.tribunnews.com/nasional/2019/12/23/hari-ibu-anies-baswedan-ceritakan-perjuangan-neneknya-lawan-koloni-hingga-nekat-lakukan-ini ","sumber")</f>
        <v>sumber</v>
      </c>
      <c r="G441" s="18" t="s">
        <v>1</v>
      </c>
      <c r="H441" s="49">
        <v>128</v>
      </c>
      <c r="I441" s="19"/>
      <c r="J441" s="18">
        <v>2</v>
      </c>
      <c r="K441" s="19"/>
      <c r="L441" s="19"/>
      <c r="M441" s="19"/>
      <c r="N441" s="19"/>
      <c r="O441" s="19"/>
      <c r="P441" s="19"/>
      <c r="Q441" s="19"/>
      <c r="R441" s="19"/>
      <c r="S441" s="19"/>
      <c r="T441" s="19"/>
      <c r="U441" s="19"/>
      <c r="V441" s="19"/>
      <c r="W441" s="19"/>
      <c r="X441" s="19"/>
      <c r="Y441" s="19"/>
    </row>
    <row r="442" spans="1:25" ht="14.4">
      <c r="A442" s="45">
        <v>1</v>
      </c>
      <c r="B442" s="55" t="s">
        <v>937</v>
      </c>
      <c r="C442" s="3">
        <v>442</v>
      </c>
      <c r="D442" s="3">
        <v>3</v>
      </c>
      <c r="E442" s="3" t="s">
        <v>938</v>
      </c>
      <c r="F442" s="5" t="str">
        <f>HYPERLINK("https://nasional.okezone.com/read/2019/12/14/337/2141915/bagaimana-kondisi-terbaru-tunanetra-yang-terperosok-di-peron-stasiun","sumber")</f>
        <v>sumber</v>
      </c>
      <c r="G442" s="3" t="s">
        <v>1</v>
      </c>
      <c r="H442" s="56">
        <v>299</v>
      </c>
      <c r="I442" s="3">
        <v>2</v>
      </c>
      <c r="J442" s="3">
        <v>2</v>
      </c>
      <c r="K442" s="3" t="s">
        <v>939</v>
      </c>
      <c r="L442" s="3">
        <v>0</v>
      </c>
      <c r="M442" s="3">
        <v>0</v>
      </c>
      <c r="N442" s="16">
        <v>0</v>
      </c>
      <c r="O442" s="3">
        <v>0</v>
      </c>
      <c r="P442" s="3">
        <v>0</v>
      </c>
      <c r="Q442" s="3">
        <v>0</v>
      </c>
      <c r="R442" s="3">
        <v>1</v>
      </c>
      <c r="S442" s="7"/>
      <c r="T442" s="3">
        <v>0</v>
      </c>
      <c r="U442" s="3">
        <v>0</v>
      </c>
      <c r="V442" s="3">
        <v>0</v>
      </c>
      <c r="W442" s="7"/>
      <c r="X442" s="7"/>
      <c r="Y442" s="7"/>
    </row>
    <row r="443" spans="1:25" ht="14.4">
      <c r="A443" s="17">
        <v>2</v>
      </c>
      <c r="B443" s="48" t="s">
        <v>940</v>
      </c>
      <c r="C443" s="18">
        <v>443</v>
      </c>
      <c r="D443" s="18">
        <v>10</v>
      </c>
      <c r="E443" s="18" t="s">
        <v>941</v>
      </c>
      <c r="F443" s="20" t="str">
        <f>HYPERLINK("https://travel.tempo.co/read/1289072/misteri-di-balik-rumah-gila-vietnam ","sumber")</f>
        <v>sumber</v>
      </c>
      <c r="G443" s="18" t="s">
        <v>1</v>
      </c>
      <c r="H443" s="49">
        <v>833</v>
      </c>
      <c r="I443" s="19"/>
      <c r="J443" s="18">
        <v>2</v>
      </c>
      <c r="K443" s="19"/>
      <c r="L443" s="19"/>
      <c r="M443" s="19"/>
      <c r="N443" s="19"/>
      <c r="O443" s="19"/>
      <c r="P443" s="19"/>
      <c r="Q443" s="19"/>
      <c r="R443" s="19"/>
      <c r="S443" s="19"/>
      <c r="T443" s="19"/>
      <c r="U443" s="19"/>
      <c r="V443" s="19"/>
      <c r="W443" s="19"/>
      <c r="X443" s="19"/>
      <c r="Y443" s="19"/>
    </row>
    <row r="444" spans="1:25" ht="26.4">
      <c r="A444" s="50">
        <v>1</v>
      </c>
      <c r="B444" s="51" t="s">
        <v>942</v>
      </c>
      <c r="C444" s="37">
        <v>444</v>
      </c>
      <c r="D444" s="37">
        <v>6</v>
      </c>
      <c r="E444" s="38">
        <v>43687</v>
      </c>
      <c r="F444" s="39" t="str">
        <f>HYPERLINK("https://regional.kompas.com/read/2019/10/08/15011761/simpan-sabu-di-pakaian-dalam-seorang-waria-ditangkap ","sumber")</f>
        <v>sumber</v>
      </c>
      <c r="G444" s="37" t="s">
        <v>1</v>
      </c>
      <c r="H444" s="54">
        <v>279</v>
      </c>
      <c r="I444" s="37">
        <v>1</v>
      </c>
      <c r="J444" s="37">
        <v>3</v>
      </c>
      <c r="K444" s="37" t="s">
        <v>943</v>
      </c>
      <c r="L444" s="37">
        <v>0</v>
      </c>
      <c r="M444" s="11">
        <v>0</v>
      </c>
      <c r="N444" s="43">
        <v>0</v>
      </c>
      <c r="O444" s="37">
        <v>0</v>
      </c>
      <c r="P444" s="37">
        <v>0</v>
      </c>
      <c r="Q444" s="37">
        <v>0</v>
      </c>
      <c r="R444" s="37">
        <v>0</v>
      </c>
      <c r="S444" s="40"/>
      <c r="T444" s="37">
        <v>0</v>
      </c>
      <c r="U444" s="37">
        <v>-1</v>
      </c>
      <c r="V444" s="37">
        <v>0</v>
      </c>
      <c r="W444" s="40"/>
      <c r="X444" s="40"/>
      <c r="Y444" s="40"/>
    </row>
    <row r="445" spans="1:25" ht="14.4">
      <c r="A445" s="17">
        <v>2</v>
      </c>
      <c r="B445" s="48" t="s">
        <v>944</v>
      </c>
      <c r="C445" s="18">
        <v>445</v>
      </c>
      <c r="D445" s="18">
        <v>3</v>
      </c>
      <c r="E445" s="31">
        <v>43687</v>
      </c>
      <c r="F445" s="20" t="str">
        <f>HYPERLINK("https://news.okezone.com/read/2019/10/08/18/2114456/akui-habisi-93-korbannya-samuel-little-jadi-pembunuh-paling-produktif-di-as ","sumber")</f>
        <v>sumber</v>
      </c>
      <c r="G445" s="18" t="s">
        <v>1</v>
      </c>
      <c r="H445" s="49">
        <v>486</v>
      </c>
      <c r="I445" s="19"/>
      <c r="J445" s="18">
        <v>3</v>
      </c>
      <c r="K445" s="19"/>
      <c r="L445" s="19"/>
      <c r="M445" s="19"/>
      <c r="N445" s="19"/>
      <c r="O445" s="19"/>
      <c r="P445" s="19"/>
      <c r="Q445" s="19"/>
      <c r="R445" s="19"/>
      <c r="S445" s="19"/>
      <c r="T445" s="19"/>
      <c r="U445" s="19"/>
      <c r="V445" s="19"/>
      <c r="W445" s="19"/>
      <c r="X445" s="19"/>
      <c r="Y445" s="19"/>
    </row>
    <row r="446" spans="1:25" ht="26.4">
      <c r="A446" s="50">
        <v>1</v>
      </c>
      <c r="B446" s="51" t="s">
        <v>945</v>
      </c>
      <c r="C446" s="37">
        <v>446</v>
      </c>
      <c r="D446" s="37">
        <v>5</v>
      </c>
      <c r="E446" s="38">
        <v>43687</v>
      </c>
      <c r="F446" s="39" t="str">
        <f>HYPERLINK("https://tirto.id/victoria-secret-tampilkan-model-ukuran-besar-dalam-kampanye-produk-ejpK ","sumber")</f>
        <v>sumber</v>
      </c>
      <c r="G446" s="37" t="s">
        <v>1</v>
      </c>
      <c r="H446" s="54">
        <v>413</v>
      </c>
      <c r="I446" s="37">
        <v>2</v>
      </c>
      <c r="J446" s="37">
        <v>3</v>
      </c>
      <c r="K446" s="37" t="s">
        <v>946</v>
      </c>
      <c r="L446" s="37">
        <v>0</v>
      </c>
      <c r="M446" s="37">
        <v>0</v>
      </c>
      <c r="N446" s="43">
        <v>0</v>
      </c>
      <c r="O446" s="37">
        <v>0</v>
      </c>
      <c r="P446" s="37">
        <v>0</v>
      </c>
      <c r="Q446" s="37" t="s">
        <v>29</v>
      </c>
      <c r="R446" s="37" t="s">
        <v>53</v>
      </c>
      <c r="S446" s="40"/>
      <c r="T446" s="37">
        <v>0</v>
      </c>
      <c r="U446" s="37">
        <v>0</v>
      </c>
      <c r="V446" s="37">
        <v>0</v>
      </c>
      <c r="W446" s="40"/>
      <c r="X446" s="40"/>
      <c r="Y446" s="40"/>
    </row>
    <row r="447" spans="1:25" ht="14.4">
      <c r="A447" s="50">
        <v>1</v>
      </c>
      <c r="B447" s="51" t="s">
        <v>947</v>
      </c>
      <c r="C447" s="37">
        <v>447</v>
      </c>
      <c r="D447" s="37">
        <v>3</v>
      </c>
      <c r="E447" s="37" t="s">
        <v>904</v>
      </c>
      <c r="F447" s="39" t="str">
        <f>HYPERLINK("https://news.okezone.com/read/2019/11/18/18/2131478/paus-fransiskus-sebut-politikus-yang-serang-kaum-gay-dan-yahudi-mirip-hitler ","sumber")</f>
        <v>sumber</v>
      </c>
      <c r="G447" s="37" t="s">
        <v>1</v>
      </c>
      <c r="H447" s="54">
        <v>389</v>
      </c>
      <c r="I447" s="37">
        <v>1</v>
      </c>
      <c r="J447" s="37">
        <v>3</v>
      </c>
      <c r="K447" s="37" t="s">
        <v>948</v>
      </c>
      <c r="L447" s="37">
        <v>0</v>
      </c>
      <c r="M447" s="37">
        <v>1</v>
      </c>
      <c r="N447" s="43">
        <v>0</v>
      </c>
      <c r="O447" s="37">
        <v>0</v>
      </c>
      <c r="P447" s="37">
        <v>0</v>
      </c>
      <c r="Q447" s="37">
        <v>0</v>
      </c>
      <c r="R447" s="37">
        <v>1</v>
      </c>
      <c r="S447" s="40"/>
      <c r="T447" s="37">
        <v>0</v>
      </c>
      <c r="U447" s="37">
        <v>0</v>
      </c>
      <c r="V447" s="37">
        <v>0</v>
      </c>
      <c r="W447" s="40"/>
      <c r="X447" s="40"/>
      <c r="Y447" s="40"/>
    </row>
    <row r="448" spans="1:25" ht="14.4">
      <c r="A448" s="45">
        <v>1</v>
      </c>
      <c r="B448" s="55" t="s">
        <v>949</v>
      </c>
      <c r="C448" s="3">
        <v>448</v>
      </c>
      <c r="D448" s="3">
        <v>1</v>
      </c>
      <c r="E448" s="3" t="s">
        <v>850</v>
      </c>
      <c r="F448" s="5" t="str">
        <f>HYPERLINK("https://news.detik.com/internasional/d-4792237/2-wartawan-gay-arab-saudi-ditahan-di-australia-usai-minta-suaka","sumber")</f>
        <v>sumber</v>
      </c>
      <c r="G448" s="3" t="s">
        <v>1</v>
      </c>
      <c r="H448" s="56">
        <v>161</v>
      </c>
      <c r="I448" s="3">
        <v>1</v>
      </c>
      <c r="J448" s="3">
        <v>3</v>
      </c>
      <c r="K448" s="3" t="s">
        <v>950</v>
      </c>
      <c r="L448" s="3">
        <v>0</v>
      </c>
      <c r="M448" s="3">
        <v>0</v>
      </c>
      <c r="N448" s="16">
        <v>0</v>
      </c>
      <c r="O448" s="3">
        <v>0</v>
      </c>
      <c r="P448" s="3">
        <v>0</v>
      </c>
      <c r="Q448" s="3" t="s">
        <v>87</v>
      </c>
      <c r="R448" s="3" t="s">
        <v>29</v>
      </c>
      <c r="S448" s="7"/>
      <c r="T448" s="3">
        <v>0</v>
      </c>
      <c r="U448" s="3">
        <v>0</v>
      </c>
      <c r="V448" s="3">
        <v>0</v>
      </c>
      <c r="W448" s="7"/>
      <c r="X448" s="7"/>
      <c r="Y448" s="7"/>
    </row>
    <row r="449" spans="1:25" ht="39.6">
      <c r="A449" s="45">
        <v>1</v>
      </c>
      <c r="B449" s="55" t="s">
        <v>951</v>
      </c>
      <c r="C449" s="3">
        <v>449</v>
      </c>
      <c r="D449" s="3">
        <v>9</v>
      </c>
      <c r="E449" s="3" t="s">
        <v>850</v>
      </c>
      <c r="F449" s="5" t="str">
        <f>HYPERLINK("https://nasional.republika.co.id/berita/q19d1s335/penderita-hiv-di-purwakarta-terus-meningkat","sumber")</f>
        <v>sumber</v>
      </c>
      <c r="G449" s="3" t="s">
        <v>1</v>
      </c>
      <c r="H449" s="56">
        <v>309</v>
      </c>
      <c r="I449" s="3">
        <v>5</v>
      </c>
      <c r="J449" s="3">
        <v>3</v>
      </c>
      <c r="K449" s="3" t="s">
        <v>952</v>
      </c>
      <c r="L449" s="3">
        <v>0</v>
      </c>
      <c r="M449" s="3">
        <v>0</v>
      </c>
      <c r="N449" s="16">
        <v>0</v>
      </c>
      <c r="O449" s="3">
        <v>0</v>
      </c>
      <c r="P449" s="3">
        <v>0</v>
      </c>
      <c r="Q449" s="3">
        <v>0</v>
      </c>
      <c r="R449" s="3">
        <v>0</v>
      </c>
      <c r="S449" s="7"/>
      <c r="T449" s="3">
        <v>0</v>
      </c>
      <c r="U449" s="3">
        <v>0</v>
      </c>
      <c r="V449" s="3">
        <v>0</v>
      </c>
      <c r="W449" s="7"/>
      <c r="X449" s="7"/>
      <c r="Y449" s="7"/>
    </row>
    <row r="450" spans="1:25" ht="39.6">
      <c r="A450" s="50">
        <v>1</v>
      </c>
      <c r="B450" s="51" t="s">
        <v>953</v>
      </c>
      <c r="C450" s="37">
        <v>450</v>
      </c>
      <c r="D450" s="37">
        <v>10</v>
      </c>
      <c r="E450" s="37" t="s">
        <v>912</v>
      </c>
      <c r="F450" s="39" t="str">
        <f>HYPERLINK("https://nasional.tempo.co/read/1274974/tolak-lgbt-daftar-cpns-kejaksaan-agung-kami-mau-yang-normal ","sumber")</f>
        <v>sumber</v>
      </c>
      <c r="G450" s="37" t="s">
        <v>1</v>
      </c>
      <c r="H450" s="54">
        <v>140</v>
      </c>
      <c r="I450" s="37">
        <v>4</v>
      </c>
      <c r="J450" s="37">
        <v>3</v>
      </c>
      <c r="K450" s="37" t="s">
        <v>954</v>
      </c>
      <c r="L450" s="37">
        <v>0</v>
      </c>
      <c r="M450" s="37">
        <v>0</v>
      </c>
      <c r="N450" s="43">
        <v>0</v>
      </c>
      <c r="O450" s="37">
        <v>0</v>
      </c>
      <c r="P450" s="37">
        <v>0</v>
      </c>
      <c r="Q450" s="37">
        <v>0</v>
      </c>
      <c r="R450" s="37">
        <v>-1</v>
      </c>
      <c r="S450" s="37" t="s">
        <v>955</v>
      </c>
      <c r="T450" s="37">
        <v>2</v>
      </c>
      <c r="U450" s="37">
        <v>0</v>
      </c>
      <c r="V450" s="37">
        <v>1</v>
      </c>
      <c r="W450" s="40"/>
      <c r="X450" s="40"/>
      <c r="Y450" s="40"/>
    </row>
    <row r="451" spans="1:25" ht="14.4">
      <c r="A451" s="17">
        <v>2</v>
      </c>
      <c r="B451" s="48" t="s">
        <v>956</v>
      </c>
      <c r="C451" s="18">
        <v>451</v>
      </c>
      <c r="D451" s="18">
        <v>1</v>
      </c>
      <c r="E451" s="18" t="s">
        <v>852</v>
      </c>
      <c r="F451" s="20" t="str">
        <f>HYPERLINK("https://hot.detik.com/celeb/d-4794683/lama-jadi-aktris-happy-salma-nggak-tertarik-produseri-film ","sumber")</f>
        <v>sumber</v>
      </c>
      <c r="G451" s="18" t="s">
        <v>1</v>
      </c>
      <c r="H451" s="49">
        <v>1713</v>
      </c>
      <c r="I451" s="19"/>
      <c r="J451" s="18">
        <v>3</v>
      </c>
      <c r="K451" s="19"/>
      <c r="L451" s="19"/>
      <c r="M451" s="19"/>
      <c r="N451" s="19"/>
      <c r="O451" s="19"/>
      <c r="P451" s="19"/>
      <c r="Q451" s="19"/>
      <c r="R451" s="19"/>
      <c r="S451" s="19"/>
      <c r="T451" s="19"/>
      <c r="U451" s="19"/>
      <c r="V451" s="19"/>
      <c r="W451" s="19"/>
      <c r="X451" s="19"/>
      <c r="Y451" s="19"/>
    </row>
    <row r="452" spans="1:25" ht="26.4">
      <c r="A452" s="45">
        <v>1</v>
      </c>
      <c r="B452" s="55" t="s">
        <v>957</v>
      </c>
      <c r="C452" s="3">
        <v>452</v>
      </c>
      <c r="D452" s="3">
        <v>2</v>
      </c>
      <c r="E452" s="3" t="s">
        <v>918</v>
      </c>
      <c r="F452" s="5" t="str">
        <f>HYPERLINK("https://www.cnnindonesia.com/nasional/20191122180533-20-450718/menpan-rb-dukung-kejaksaan-agung-tolak-lgbt-daftar-cpns","sumber")</f>
        <v>sumber</v>
      </c>
      <c r="G452" s="3" t="s">
        <v>1</v>
      </c>
      <c r="H452" s="56">
        <v>303</v>
      </c>
      <c r="I452" s="3">
        <v>4</v>
      </c>
      <c r="J452" s="3">
        <v>3</v>
      </c>
      <c r="K452" s="3" t="s">
        <v>958</v>
      </c>
      <c r="L452" s="3">
        <v>0</v>
      </c>
      <c r="M452" s="3">
        <v>0</v>
      </c>
      <c r="N452" s="16">
        <v>0</v>
      </c>
      <c r="O452" s="3">
        <v>0</v>
      </c>
      <c r="P452" s="3">
        <v>0</v>
      </c>
      <c r="Q452" s="3">
        <v>0</v>
      </c>
      <c r="R452" s="3">
        <v>-1</v>
      </c>
      <c r="S452" s="7"/>
      <c r="T452" s="3">
        <v>0</v>
      </c>
      <c r="U452" s="3">
        <v>0</v>
      </c>
      <c r="V452" s="3">
        <v>1</v>
      </c>
      <c r="W452" s="7"/>
      <c r="X452" s="7"/>
      <c r="Y452" s="7"/>
    </row>
    <row r="453" spans="1:25" ht="66">
      <c r="A453" s="50">
        <v>1</v>
      </c>
      <c r="B453" s="51" t="s">
        <v>959</v>
      </c>
      <c r="C453" s="37">
        <v>453</v>
      </c>
      <c r="D453" s="37">
        <v>10</v>
      </c>
      <c r="E453" s="37" t="s">
        <v>918</v>
      </c>
      <c r="F453" s="39" t="str">
        <f>HYPERLINK("https://nasional.tempo.co/read/1275581/syarat-cpns-diskriminatif-amnesty-mengecewakan-harus-dicabut ","sumber")</f>
        <v>sumber</v>
      </c>
      <c r="G453" s="37" t="s">
        <v>1</v>
      </c>
      <c r="H453" s="54">
        <v>305</v>
      </c>
      <c r="I453" s="37">
        <v>4</v>
      </c>
      <c r="J453" s="37">
        <v>3</v>
      </c>
      <c r="K453" s="37" t="s">
        <v>960</v>
      </c>
      <c r="L453" s="37">
        <v>0</v>
      </c>
      <c r="M453" s="37">
        <v>0</v>
      </c>
      <c r="N453" s="43">
        <v>0</v>
      </c>
      <c r="O453" s="37">
        <v>0</v>
      </c>
      <c r="P453" s="37">
        <v>0</v>
      </c>
      <c r="Q453" s="37" t="s">
        <v>21</v>
      </c>
      <c r="R453" s="37" t="s">
        <v>22</v>
      </c>
      <c r="S453" s="37" t="s">
        <v>961</v>
      </c>
      <c r="T453" s="37">
        <v>2</v>
      </c>
      <c r="U453" s="37">
        <v>0</v>
      </c>
      <c r="V453" s="37">
        <v>1</v>
      </c>
      <c r="W453" s="40"/>
      <c r="X453" s="40"/>
      <c r="Y453" s="40"/>
    </row>
    <row r="454" spans="1:25" ht="39.6">
      <c r="A454" s="45">
        <v>1</v>
      </c>
      <c r="B454" s="55" t="s">
        <v>962</v>
      </c>
      <c r="C454" s="3">
        <v>454</v>
      </c>
      <c r="D454" s="3">
        <v>2</v>
      </c>
      <c r="E454" s="3" t="s">
        <v>926</v>
      </c>
      <c r="F454" s="5" t="str">
        <f>HYPERLINK("https://www.cnnindonesia.com/nasional/20191124140414-20-451016/ppp-soal-tes-cpns-islam-agama-terbesar-dan-larang-lgbt","sumber")</f>
        <v>sumber</v>
      </c>
      <c r="G454" s="3" t="s">
        <v>1</v>
      </c>
      <c r="H454" s="56">
        <v>377</v>
      </c>
      <c r="I454" s="3">
        <v>4</v>
      </c>
      <c r="J454" s="3">
        <v>3</v>
      </c>
      <c r="K454" s="3" t="s">
        <v>963</v>
      </c>
      <c r="L454" s="3">
        <v>0</v>
      </c>
      <c r="M454" s="3">
        <v>0</v>
      </c>
      <c r="N454" s="16">
        <v>0</v>
      </c>
      <c r="O454" s="3">
        <v>0</v>
      </c>
      <c r="P454" s="3">
        <v>0</v>
      </c>
      <c r="Q454" s="3" t="s">
        <v>21</v>
      </c>
      <c r="R454" s="3" t="s">
        <v>249</v>
      </c>
      <c r="S454" s="3" t="s">
        <v>964</v>
      </c>
      <c r="T454" s="3">
        <v>2</v>
      </c>
      <c r="U454" s="3">
        <v>0</v>
      </c>
      <c r="V454" s="3">
        <v>1</v>
      </c>
      <c r="W454" s="7"/>
      <c r="X454" s="7"/>
      <c r="Y454" s="7"/>
    </row>
    <row r="455" spans="1:25" ht="26.4">
      <c r="A455" s="45">
        <v>1</v>
      </c>
      <c r="B455" s="55" t="s">
        <v>965</v>
      </c>
      <c r="C455" s="3">
        <v>455</v>
      </c>
      <c r="D455" s="3">
        <v>6</v>
      </c>
      <c r="E455" s="3" t="s">
        <v>928</v>
      </c>
      <c r="F455" s="5" t="str">
        <f>HYPERLINK("https://nasional.kompas.com/read/2019/11/25/10103341/amnesty-international-indonesia-syarat-diskriminatif-bagi-pelamar-cpns-2019","sumber")</f>
        <v>sumber</v>
      </c>
      <c r="G455" s="3" t="s">
        <v>1</v>
      </c>
      <c r="H455" s="56">
        <v>284</v>
      </c>
      <c r="I455" s="3">
        <v>4</v>
      </c>
      <c r="J455" s="3">
        <v>3</v>
      </c>
      <c r="K455" s="3" t="s">
        <v>966</v>
      </c>
      <c r="L455" s="3">
        <v>0</v>
      </c>
      <c r="M455" s="3">
        <v>0</v>
      </c>
      <c r="N455" s="16">
        <v>0</v>
      </c>
      <c r="O455" s="3">
        <v>0</v>
      </c>
      <c r="P455" s="3">
        <v>0</v>
      </c>
      <c r="Q455" s="3" t="s">
        <v>29</v>
      </c>
      <c r="R455" s="3" t="s">
        <v>160</v>
      </c>
      <c r="S455" s="7"/>
      <c r="T455" s="3">
        <v>0</v>
      </c>
      <c r="U455" s="3">
        <v>0</v>
      </c>
      <c r="V455" s="3">
        <v>1</v>
      </c>
      <c r="W455" s="7"/>
      <c r="X455" s="7"/>
      <c r="Y455" s="7"/>
    </row>
    <row r="456" spans="1:25" ht="14.4">
      <c r="A456" s="17">
        <v>2</v>
      </c>
      <c r="B456" s="48" t="s">
        <v>967</v>
      </c>
      <c r="C456" s="18">
        <v>456</v>
      </c>
      <c r="D456" s="18">
        <v>3</v>
      </c>
      <c r="E456" s="18" t="s">
        <v>928</v>
      </c>
      <c r="F456" s="20" t="str">
        <f>HYPERLINK("https://economy.okezone.com/read/2019/11/24/320/2133782/6-fakta-menarik-1-000-pns-ngantor-di-rumah-nomor-5-harus-siap ","sumber")</f>
        <v>sumber</v>
      </c>
      <c r="G456" s="18" t="s">
        <v>1</v>
      </c>
      <c r="H456" s="49">
        <v>542</v>
      </c>
      <c r="I456" s="19"/>
      <c r="J456" s="18">
        <v>3</v>
      </c>
      <c r="K456" s="19"/>
      <c r="L456" s="19"/>
      <c r="M456" s="19"/>
      <c r="N456" s="19"/>
      <c r="O456" s="19"/>
      <c r="P456" s="19"/>
      <c r="Q456" s="19"/>
      <c r="R456" s="19"/>
      <c r="S456" s="19"/>
      <c r="T456" s="19"/>
      <c r="U456" s="19"/>
      <c r="V456" s="19"/>
      <c r="W456" s="19"/>
      <c r="X456" s="19"/>
      <c r="Y456" s="19"/>
    </row>
    <row r="457" spans="1:25" ht="26.4">
      <c r="A457" s="50">
        <v>1</v>
      </c>
      <c r="B457" s="51" t="s">
        <v>968</v>
      </c>
      <c r="C457" s="37">
        <v>457</v>
      </c>
      <c r="D457" s="37">
        <v>8</v>
      </c>
      <c r="E457" s="37" t="s">
        <v>928</v>
      </c>
      <c r="F457" s="39" t="str">
        <f>HYPERLINK("https://www.suara.com/news/2019/11/25/154929/komnas-ham-desak-jaksa-agung-mencabut-larangan-transgender-daftar-cpns ","sumber")</f>
        <v>sumber</v>
      </c>
      <c r="G457" s="37" t="s">
        <v>1</v>
      </c>
      <c r="H457" s="54">
        <v>369</v>
      </c>
      <c r="I457" s="37">
        <v>4</v>
      </c>
      <c r="J457" s="37">
        <v>3</v>
      </c>
      <c r="K457" s="37" t="s">
        <v>969</v>
      </c>
      <c r="L457" s="37">
        <v>0</v>
      </c>
      <c r="M457" s="37">
        <v>0</v>
      </c>
      <c r="N457" s="43">
        <v>0</v>
      </c>
      <c r="O457" s="37">
        <v>0</v>
      </c>
      <c r="P457" s="37">
        <v>0</v>
      </c>
      <c r="Q457" s="37">
        <v>0</v>
      </c>
      <c r="R457" s="37">
        <v>1</v>
      </c>
      <c r="S457" s="40"/>
      <c r="T457" s="37">
        <v>0</v>
      </c>
      <c r="U457" s="37">
        <v>0</v>
      </c>
      <c r="V457" s="37">
        <v>1</v>
      </c>
      <c r="W457" s="40"/>
      <c r="X457" s="40"/>
      <c r="Y457" s="40"/>
    </row>
    <row r="458" spans="1:25" ht="66">
      <c r="A458" s="50">
        <v>1</v>
      </c>
      <c r="B458" s="51" t="s">
        <v>970</v>
      </c>
      <c r="C458" s="37">
        <v>458</v>
      </c>
      <c r="D458" s="37">
        <v>7</v>
      </c>
      <c r="E458" s="52">
        <v>43811</v>
      </c>
      <c r="F458" s="39" t="str">
        <f>HYPERLINK("https://www.tribunnews.com/internasional/2019/12/12/marak-diskriminasi-kamboja-didik-murid-sekolah-soal-lgbt ","sumber")</f>
        <v>sumber</v>
      </c>
      <c r="G458" s="37" t="s">
        <v>1</v>
      </c>
      <c r="H458" s="54">
        <v>435</v>
      </c>
      <c r="I458" s="37">
        <v>4</v>
      </c>
      <c r="J458" s="37">
        <v>3</v>
      </c>
      <c r="K458" s="37" t="s">
        <v>971</v>
      </c>
      <c r="L458" s="37">
        <v>0</v>
      </c>
      <c r="M458" s="37">
        <v>0</v>
      </c>
      <c r="N458" s="43">
        <v>0</v>
      </c>
      <c r="O458" s="37">
        <v>0</v>
      </c>
      <c r="P458" s="37">
        <v>0</v>
      </c>
      <c r="Q458" s="37" t="s">
        <v>106</v>
      </c>
      <c r="R458" s="37" t="s">
        <v>360</v>
      </c>
      <c r="S458" s="40"/>
      <c r="T458" s="37">
        <v>0</v>
      </c>
      <c r="U458" s="37">
        <v>0</v>
      </c>
      <c r="V458" s="37">
        <v>1</v>
      </c>
      <c r="W458" s="40"/>
      <c r="X458" s="40"/>
      <c r="Y458" s="40"/>
    </row>
    <row r="459" spans="1:25" ht="14.4">
      <c r="A459" s="45">
        <v>1</v>
      </c>
      <c r="B459" s="55" t="s">
        <v>972</v>
      </c>
      <c r="C459" s="3">
        <v>459</v>
      </c>
      <c r="D459" s="3">
        <v>10</v>
      </c>
      <c r="E459" s="3" t="s">
        <v>973</v>
      </c>
      <c r="F459" s="5" t="str">
        <f>HYPERLINK("https://seleb.tempo.co/read/1288392/dituduh-transgender-istri-jerinx-sid-tak-terima","sumber")</f>
        <v>sumber</v>
      </c>
      <c r="G459" s="3" t="s">
        <v>1</v>
      </c>
      <c r="H459" s="56">
        <v>334</v>
      </c>
      <c r="I459" s="3">
        <v>1</v>
      </c>
      <c r="J459" s="3">
        <v>3</v>
      </c>
      <c r="K459" s="3" t="s">
        <v>974</v>
      </c>
      <c r="L459" s="3">
        <v>0</v>
      </c>
      <c r="M459" s="3">
        <v>0</v>
      </c>
      <c r="N459" s="16">
        <v>0</v>
      </c>
      <c r="O459" s="3">
        <v>0</v>
      </c>
      <c r="P459" s="3">
        <v>0</v>
      </c>
      <c r="Q459" s="3">
        <v>0</v>
      </c>
      <c r="R459" s="3">
        <v>-1</v>
      </c>
      <c r="S459" s="7"/>
      <c r="T459" s="3">
        <v>0</v>
      </c>
      <c r="U459" s="3">
        <v>0</v>
      </c>
      <c r="V459" s="3">
        <v>0</v>
      </c>
      <c r="W459" s="7"/>
      <c r="X459" s="7"/>
      <c r="Y459" s="7"/>
    </row>
    <row r="460" spans="1:25" ht="14.4">
      <c r="A460" s="50">
        <v>1</v>
      </c>
      <c r="B460" s="51" t="s">
        <v>975</v>
      </c>
      <c r="C460" s="37">
        <v>460</v>
      </c>
      <c r="D460" s="37">
        <v>10</v>
      </c>
      <c r="E460" s="37" t="s">
        <v>938</v>
      </c>
      <c r="F460" s="39" t="str">
        <f>HYPERLINK("https://dunia.tempo.co/read/1283750/vatikan-akan-investigasi-investasi-di-film-rocketman ","sumber")</f>
        <v>sumber</v>
      </c>
      <c r="G460" s="37" t="s">
        <v>1</v>
      </c>
      <c r="H460" s="54">
        <v>204</v>
      </c>
      <c r="I460" s="37">
        <v>1</v>
      </c>
      <c r="J460" s="37">
        <v>3</v>
      </c>
      <c r="K460" s="37" t="s">
        <v>976</v>
      </c>
      <c r="L460" s="37">
        <v>0</v>
      </c>
      <c r="M460" s="11">
        <v>0</v>
      </c>
      <c r="N460" s="43">
        <v>0</v>
      </c>
      <c r="O460" s="37">
        <v>0</v>
      </c>
      <c r="P460" s="37">
        <v>0</v>
      </c>
      <c r="Q460" s="37">
        <v>0</v>
      </c>
      <c r="R460" s="37">
        <v>0</v>
      </c>
      <c r="S460" s="40"/>
      <c r="T460" s="37">
        <v>0</v>
      </c>
      <c r="U460" s="37">
        <v>0</v>
      </c>
      <c r="V460" s="37">
        <v>0</v>
      </c>
      <c r="W460" s="40"/>
      <c r="X460" s="40"/>
      <c r="Y460" s="40"/>
    </row>
    <row r="461" spans="1:25" ht="14.4">
      <c r="A461" s="17">
        <v>2</v>
      </c>
      <c r="B461" s="48" t="s">
        <v>977</v>
      </c>
      <c r="C461" s="18">
        <v>461</v>
      </c>
      <c r="D461" s="18">
        <v>7</v>
      </c>
      <c r="E461" s="18" t="s">
        <v>978</v>
      </c>
      <c r="F461" s="20" t="str">
        <f>HYPERLINK("https://www.tribunnews.com/seleb/2019/12/15/lucinta-luna-ancam-bunuh-diri-sampai-nangis-di-atas-genteng-takut-saat-atta-halilintar-ucapkan-ini ","sumber")</f>
        <v>sumber</v>
      </c>
      <c r="G461" s="18" t="s">
        <v>1</v>
      </c>
      <c r="H461" s="49">
        <v>120</v>
      </c>
      <c r="I461" s="19"/>
      <c r="J461" s="18">
        <v>3</v>
      </c>
      <c r="K461" s="19"/>
      <c r="L461" s="19"/>
      <c r="M461" s="19"/>
      <c r="N461" s="19"/>
      <c r="O461" s="19"/>
      <c r="P461" s="19"/>
      <c r="Q461" s="19"/>
      <c r="R461" s="19"/>
      <c r="S461" s="19"/>
      <c r="T461" s="19"/>
      <c r="U461" s="19"/>
      <c r="V461" s="19"/>
      <c r="W461" s="19"/>
      <c r="X461" s="19"/>
      <c r="Y461" s="19"/>
    </row>
    <row r="462" spans="1:25" ht="39.6">
      <c r="A462" s="50">
        <v>1</v>
      </c>
      <c r="B462" s="51" t="s">
        <v>979</v>
      </c>
      <c r="C462" s="37">
        <v>462</v>
      </c>
      <c r="D462" s="37">
        <v>2</v>
      </c>
      <c r="E462" s="37" t="s">
        <v>861</v>
      </c>
      <c r="F462" s="39" t="str">
        <f>HYPERLINK("https://www.cnnindonesia.com/teknologi/20191218105337-185-457975/komentar-kominfo-soal-film-yesus-gay-di-netflix ","sumber")</f>
        <v>sumber</v>
      </c>
      <c r="G462" s="37" t="s">
        <v>1</v>
      </c>
      <c r="H462" s="54">
        <v>392</v>
      </c>
      <c r="I462" s="37">
        <v>1</v>
      </c>
      <c r="J462" s="37">
        <v>3</v>
      </c>
      <c r="K462" s="37" t="s">
        <v>980</v>
      </c>
      <c r="L462" s="37">
        <v>0</v>
      </c>
      <c r="M462" s="37">
        <v>-1</v>
      </c>
      <c r="N462" s="43">
        <v>0</v>
      </c>
      <c r="O462" s="37">
        <v>0</v>
      </c>
      <c r="P462" s="37">
        <v>0</v>
      </c>
      <c r="Q462" s="37" t="s">
        <v>57</v>
      </c>
      <c r="R462" s="37" t="s">
        <v>981</v>
      </c>
      <c r="S462" s="40"/>
      <c r="T462" s="37">
        <v>0</v>
      </c>
      <c r="U462" s="37">
        <v>0</v>
      </c>
      <c r="V462" s="37">
        <v>0</v>
      </c>
      <c r="W462" s="40"/>
      <c r="X462" s="40"/>
      <c r="Y462" s="40"/>
    </row>
    <row r="463" spans="1:25" ht="14.4">
      <c r="A463" s="17">
        <v>2</v>
      </c>
      <c r="B463" s="48" t="s">
        <v>982</v>
      </c>
      <c r="C463" s="18">
        <v>463</v>
      </c>
      <c r="D463" s="18">
        <v>1</v>
      </c>
      <c r="E463" s="18" t="s">
        <v>932</v>
      </c>
      <c r="F463" s="20" t="str">
        <f>HYPERLINK("https://hot.detik.com/kpop/d-4829395/sunmi-jawab-rumor-operasi-payudara ","sumber")</f>
        <v>sumber</v>
      </c>
      <c r="G463" s="18" t="s">
        <v>1</v>
      </c>
      <c r="H463" s="49">
        <v>247</v>
      </c>
      <c r="I463" s="19"/>
      <c r="J463" s="18">
        <v>3</v>
      </c>
      <c r="K463" s="19"/>
      <c r="L463" s="19"/>
      <c r="M463" s="19"/>
      <c r="N463" s="19"/>
      <c r="O463" s="19"/>
      <c r="P463" s="19"/>
      <c r="Q463" s="19"/>
      <c r="R463" s="19"/>
      <c r="S463" s="19"/>
      <c r="T463" s="19"/>
      <c r="U463" s="19"/>
      <c r="V463" s="19"/>
      <c r="W463" s="19"/>
      <c r="X463" s="19"/>
      <c r="Y463" s="19"/>
    </row>
    <row r="464" spans="1:25" ht="14.4">
      <c r="A464" s="50">
        <v>1</v>
      </c>
      <c r="B464" s="51" t="s">
        <v>983</v>
      </c>
      <c r="C464" s="37">
        <v>464</v>
      </c>
      <c r="D464" s="37">
        <v>3</v>
      </c>
      <c r="E464" s="37" t="s">
        <v>870</v>
      </c>
      <c r="F464" s="39" t="str">
        <f>HYPERLINK("https://economy.okezone.com/read/2019/12/22/320/2144839/13-miliarder-ini-terlibat-skandal-besar-dari-kylie-jenner-hingga-bos-facebook ","sumber")</f>
        <v>sumber</v>
      </c>
      <c r="G464" s="37" t="s">
        <v>1</v>
      </c>
      <c r="H464" s="54">
        <v>959</v>
      </c>
      <c r="I464" s="37">
        <v>1</v>
      </c>
      <c r="J464" s="37">
        <v>3</v>
      </c>
      <c r="K464" s="37"/>
      <c r="L464" s="37">
        <v>0</v>
      </c>
      <c r="M464" s="11">
        <v>0</v>
      </c>
      <c r="N464" s="43">
        <v>0</v>
      </c>
      <c r="O464" s="37">
        <v>0</v>
      </c>
      <c r="P464" s="37">
        <v>0</v>
      </c>
      <c r="Q464" s="37"/>
      <c r="R464" s="37"/>
      <c r="S464" s="40"/>
      <c r="T464" s="37">
        <v>0</v>
      </c>
      <c r="U464" s="37">
        <v>0</v>
      </c>
      <c r="V464" s="37">
        <v>0</v>
      </c>
      <c r="W464" s="40"/>
      <c r="X464" s="40"/>
      <c r="Y464" s="40"/>
    </row>
    <row r="465" spans="1:25" ht="14.4">
      <c r="A465" s="45">
        <v>1</v>
      </c>
      <c r="B465" s="55" t="s">
        <v>984</v>
      </c>
      <c r="C465" s="3">
        <v>465</v>
      </c>
      <c r="D465" s="3">
        <v>1</v>
      </c>
      <c r="E465" s="3" t="s">
        <v>932</v>
      </c>
      <c r="F465" s="5" t="str">
        <f>HYPERLINK("https://hot.detik.com/movie/d-4828760/star-wars-the-rise-of-skywalker-jadi-representasi-lgbt","sumber")</f>
        <v>sumber</v>
      </c>
      <c r="G465" s="3" t="s">
        <v>1</v>
      </c>
      <c r="H465" s="56">
        <v>333</v>
      </c>
      <c r="I465" s="3">
        <v>2</v>
      </c>
      <c r="J465" s="3">
        <v>3</v>
      </c>
      <c r="K465" s="3" t="s">
        <v>985</v>
      </c>
      <c r="L465" s="3">
        <v>0</v>
      </c>
      <c r="M465" s="3">
        <v>0</v>
      </c>
      <c r="N465" s="16">
        <v>0</v>
      </c>
      <c r="O465" s="3">
        <v>0</v>
      </c>
      <c r="P465" s="3">
        <v>0</v>
      </c>
      <c r="Q465" s="3">
        <v>0</v>
      </c>
      <c r="R465" s="3">
        <v>1</v>
      </c>
      <c r="S465" s="7"/>
      <c r="T465" s="3">
        <v>0</v>
      </c>
      <c r="U465" s="3">
        <v>0</v>
      </c>
      <c r="V465" s="3">
        <v>0</v>
      </c>
      <c r="W465" s="7"/>
      <c r="X465" s="7"/>
      <c r="Y465" s="7"/>
    </row>
    <row r="466" spans="1:25" ht="14.4">
      <c r="A466" s="50">
        <v>1</v>
      </c>
      <c r="B466" s="51" t="s">
        <v>986</v>
      </c>
      <c r="C466" s="37">
        <v>466</v>
      </c>
      <c r="D466" s="37">
        <v>7</v>
      </c>
      <c r="E466" s="37" t="s">
        <v>987</v>
      </c>
      <c r="F466" s="39" t="str">
        <f>HYPERLINK("https://www.tribunnews.com/internasional/2019/12/30/foto-masa-lalu-putri-kecantikan-yang-ternyata-pria-dulu-miskin-kini-kaya-raya-nikahi-pengusaha ","sumber")</f>
        <v>sumber</v>
      </c>
      <c r="G466" s="37" t="s">
        <v>1</v>
      </c>
      <c r="H466" s="54">
        <v>174</v>
      </c>
      <c r="I466" s="37">
        <v>2</v>
      </c>
      <c r="J466" s="37">
        <v>3</v>
      </c>
      <c r="K466" s="37" t="s">
        <v>988</v>
      </c>
      <c r="L466" s="37">
        <v>0</v>
      </c>
      <c r="M466" s="37">
        <v>0</v>
      </c>
      <c r="N466" s="43">
        <v>0</v>
      </c>
      <c r="O466" s="37">
        <v>0</v>
      </c>
      <c r="P466" s="37">
        <v>0</v>
      </c>
      <c r="Q466" s="37">
        <v>0</v>
      </c>
      <c r="R466" s="37">
        <v>0</v>
      </c>
      <c r="S466" s="40"/>
      <c r="T466" s="37">
        <v>0</v>
      </c>
      <c r="U466" s="37">
        <v>0</v>
      </c>
      <c r="V466" s="37">
        <v>0</v>
      </c>
      <c r="W466" s="40"/>
      <c r="X466" s="40"/>
      <c r="Y466" s="40"/>
    </row>
    <row r="467" spans="1:25" ht="14.4">
      <c r="A467" s="17">
        <v>2</v>
      </c>
      <c r="B467" s="48" t="s">
        <v>989</v>
      </c>
      <c r="C467" s="18">
        <v>467</v>
      </c>
      <c r="D467" s="18">
        <v>2</v>
      </c>
      <c r="E467" s="31">
        <v>43534</v>
      </c>
      <c r="F467" s="20" t="str">
        <f>HYPERLINK("https://www.cnnindonesia.com/nasional/20191002212049-12-436230/polisi-bantah-tangkap-pelajar-karena-dugaan-pelecehan-bendera ","sumber")</f>
        <v>sumber</v>
      </c>
      <c r="G467" s="18" t="s">
        <v>1</v>
      </c>
      <c r="H467" s="49">
        <v>262</v>
      </c>
      <c r="I467" s="19"/>
      <c r="J467" s="18">
        <v>1</v>
      </c>
      <c r="K467" s="19"/>
      <c r="L467" s="19"/>
      <c r="M467" s="19"/>
      <c r="N467" s="19"/>
      <c r="O467" s="19"/>
      <c r="P467" s="19"/>
      <c r="Q467" s="19"/>
      <c r="R467" s="19"/>
      <c r="S467" s="19"/>
      <c r="T467" s="19"/>
      <c r="U467" s="19"/>
      <c r="V467" s="19"/>
      <c r="W467" s="19"/>
      <c r="X467" s="19"/>
      <c r="Y467" s="19"/>
    </row>
    <row r="468" spans="1:25" ht="14.4">
      <c r="A468" s="17">
        <v>2</v>
      </c>
      <c r="B468" s="48" t="s">
        <v>990</v>
      </c>
      <c r="C468" s="18">
        <v>468</v>
      </c>
      <c r="D468" s="18">
        <v>4</v>
      </c>
      <c r="E468" s="31">
        <v>43534</v>
      </c>
      <c r="F468" s="20" t="str">
        <f>HYPERLINK("https://www.liputan6.com/showbiz/read/4077431/ratu-rizky-nabila-beri-dukungan-ke-atta-halilintar ","sumber")</f>
        <v>sumber</v>
      </c>
      <c r="G468" s="18" t="s">
        <v>1</v>
      </c>
      <c r="H468" s="49">
        <v>205</v>
      </c>
      <c r="I468" s="19"/>
      <c r="J468" s="18">
        <v>1</v>
      </c>
      <c r="K468" s="19"/>
      <c r="L468" s="19"/>
      <c r="M468" s="19"/>
      <c r="N468" s="19"/>
      <c r="O468" s="19"/>
      <c r="P468" s="19"/>
      <c r="Q468" s="19"/>
      <c r="R468" s="19"/>
      <c r="S468" s="19"/>
      <c r="T468" s="19"/>
      <c r="U468" s="19"/>
      <c r="V468" s="19"/>
      <c r="W468" s="19"/>
      <c r="X468" s="19"/>
      <c r="Y468" s="19"/>
    </row>
    <row r="469" spans="1:25" ht="26.4">
      <c r="A469" s="50">
        <v>1</v>
      </c>
      <c r="B469" s="51" t="s">
        <v>991</v>
      </c>
      <c r="C469" s="37">
        <v>469</v>
      </c>
      <c r="D469" s="37">
        <v>7</v>
      </c>
      <c r="E469" s="38">
        <v>43534</v>
      </c>
      <c r="F469" s="39" t="str">
        <f>HYPERLINK("https://www.tribunnews.com/regional/2019/10/03/p2tp2a-garut-beri-pendampingan-psikologi-pada-korban-rudapaksa-siswi-smp-di-cisompet ","sumber")</f>
        <v>sumber</v>
      </c>
      <c r="G469" s="37" t="s">
        <v>1</v>
      </c>
      <c r="H469" s="54">
        <v>168</v>
      </c>
      <c r="I469" s="37">
        <v>1</v>
      </c>
      <c r="J469" s="37">
        <v>1</v>
      </c>
      <c r="K469" s="37" t="s">
        <v>992</v>
      </c>
      <c r="L469" s="37">
        <v>0</v>
      </c>
      <c r="M469" s="11">
        <v>0</v>
      </c>
      <c r="N469" s="43">
        <v>0</v>
      </c>
      <c r="O469" s="37">
        <v>1</v>
      </c>
      <c r="P469" s="37">
        <v>0</v>
      </c>
      <c r="Q469" s="37" t="s">
        <v>29</v>
      </c>
      <c r="R469" s="37" t="s">
        <v>29</v>
      </c>
      <c r="S469" s="40"/>
      <c r="T469" s="37">
        <v>0</v>
      </c>
      <c r="U469" s="37">
        <v>0</v>
      </c>
      <c r="V469" s="37">
        <v>0</v>
      </c>
      <c r="W469" s="40"/>
      <c r="X469" s="40"/>
      <c r="Y469" s="40"/>
    </row>
    <row r="470" spans="1:25" ht="26.4">
      <c r="A470" s="50">
        <v>1</v>
      </c>
      <c r="B470" s="51" t="s">
        <v>993</v>
      </c>
      <c r="C470" s="37">
        <v>470</v>
      </c>
      <c r="D470" s="37">
        <v>2</v>
      </c>
      <c r="E470" s="38">
        <v>43565</v>
      </c>
      <c r="F470" s="39" t="str">
        <f>HYPERLINK("https://www.cnnindonesia.com/hiburan/20191004111637-234-436695/james-franco-dituduh-lecehkan-siswi-di-kelas-akting ","sumber")</f>
        <v>sumber</v>
      </c>
      <c r="G470" s="37" t="s">
        <v>1</v>
      </c>
      <c r="H470" s="54">
        <v>492</v>
      </c>
      <c r="I470" s="37">
        <v>1</v>
      </c>
      <c r="J470" s="37">
        <v>1</v>
      </c>
      <c r="K470" s="37" t="s">
        <v>994</v>
      </c>
      <c r="L470" s="37">
        <v>0</v>
      </c>
      <c r="M470" s="37">
        <v>1</v>
      </c>
      <c r="N470" s="37">
        <v>-1</v>
      </c>
      <c r="O470" s="37">
        <v>0</v>
      </c>
      <c r="P470" s="37">
        <v>0</v>
      </c>
      <c r="Q470" s="37" t="s">
        <v>995</v>
      </c>
      <c r="R470" s="37" t="s">
        <v>57</v>
      </c>
      <c r="S470" s="40"/>
      <c r="T470" s="37">
        <v>0</v>
      </c>
      <c r="U470" s="37">
        <v>0</v>
      </c>
      <c r="V470" s="37">
        <v>0</v>
      </c>
      <c r="W470" s="40"/>
      <c r="X470" s="40"/>
      <c r="Y470" s="40"/>
    </row>
    <row r="471" spans="1:25" ht="26.4">
      <c r="A471" s="50">
        <v>1</v>
      </c>
      <c r="B471" s="51" t="s">
        <v>996</v>
      </c>
      <c r="C471" s="37">
        <v>471</v>
      </c>
      <c r="D471" s="37">
        <v>1</v>
      </c>
      <c r="E471" s="38">
        <v>43565</v>
      </c>
      <c r="F471" s="39" t="str">
        <f>HYPERLINK("https://news.detik.com/berita/d-4734072/veronica-koman-ngaku-diancam-dibunuh-polri-tantang-tunjukkan-bukti ","sumber")</f>
        <v>sumber</v>
      </c>
      <c r="G471" s="37" t="s">
        <v>1</v>
      </c>
      <c r="H471" s="54">
        <v>180</v>
      </c>
      <c r="I471" s="37">
        <v>1</v>
      </c>
      <c r="J471" s="37">
        <v>1</v>
      </c>
      <c r="K471" s="37" t="s">
        <v>997</v>
      </c>
      <c r="L471" s="37">
        <v>0</v>
      </c>
      <c r="M471" s="37">
        <v>1</v>
      </c>
      <c r="N471" s="43">
        <v>0</v>
      </c>
      <c r="O471" s="37">
        <v>0</v>
      </c>
      <c r="P471" s="37">
        <v>0</v>
      </c>
      <c r="Q471" s="37" t="s">
        <v>178</v>
      </c>
      <c r="R471" s="37" t="s">
        <v>68</v>
      </c>
      <c r="S471" s="40"/>
      <c r="T471" s="37">
        <v>0</v>
      </c>
      <c r="U471" s="37">
        <v>0</v>
      </c>
      <c r="V471" s="37">
        <v>0</v>
      </c>
      <c r="W471" s="40"/>
      <c r="X471" s="40"/>
      <c r="Y471" s="40"/>
    </row>
    <row r="472" spans="1:25" ht="39.6">
      <c r="A472" s="50">
        <v>1</v>
      </c>
      <c r="B472" s="51" t="s">
        <v>998</v>
      </c>
      <c r="C472" s="37">
        <v>472</v>
      </c>
      <c r="D472" s="37">
        <v>1</v>
      </c>
      <c r="E472" s="38">
        <v>43595</v>
      </c>
      <c r="F472" s="39" t="str">
        <f>HYPERLINK("https://news.detik.com/berita/d-4734501/tampil-di-media-veronica-koman-diingatkan-soal-beasiswa ","sumber")</f>
        <v>sumber</v>
      </c>
      <c r="G472" s="37" t="s">
        <v>1</v>
      </c>
      <c r="H472" s="54">
        <v>202</v>
      </c>
      <c r="I472" s="37">
        <v>1</v>
      </c>
      <c r="J472" s="37">
        <v>1</v>
      </c>
      <c r="K472" s="37" t="s">
        <v>999</v>
      </c>
      <c r="L472" s="37">
        <v>0</v>
      </c>
      <c r="M472" s="37">
        <v>1</v>
      </c>
      <c r="N472" s="43">
        <v>0</v>
      </c>
      <c r="O472" s="37">
        <v>0</v>
      </c>
      <c r="P472" s="37">
        <v>0</v>
      </c>
      <c r="Q472" s="37" t="s">
        <v>48</v>
      </c>
      <c r="R472" s="37" t="s">
        <v>210</v>
      </c>
      <c r="S472" s="40"/>
      <c r="T472" s="37">
        <v>0</v>
      </c>
      <c r="U472" s="37">
        <v>0</v>
      </c>
      <c r="V472" s="37">
        <v>0</v>
      </c>
      <c r="W472" s="40"/>
      <c r="X472" s="40"/>
      <c r="Y472" s="40"/>
    </row>
    <row r="473" spans="1:25" ht="14.4">
      <c r="A473" s="45">
        <v>1</v>
      </c>
      <c r="B473" s="55" t="s">
        <v>1000</v>
      </c>
      <c r="C473" s="3">
        <v>473</v>
      </c>
      <c r="D473" s="3">
        <v>7</v>
      </c>
      <c r="E473" s="4">
        <v>43595</v>
      </c>
      <c r="F473" s="5" t="str">
        <f>HYPERLINK("https://www.tribunnews.com/regional/2019/10/05/ibu-muda-di-sintang-nyari-jadi-korban-pemerkosaan-yang-dilakukan-teman-suami","sumber")</f>
        <v>sumber</v>
      </c>
      <c r="G473" s="3" t="s">
        <v>1</v>
      </c>
      <c r="H473" s="56">
        <v>264</v>
      </c>
      <c r="I473" s="3">
        <v>1</v>
      </c>
      <c r="J473" s="3">
        <v>1</v>
      </c>
      <c r="K473" s="3" t="s">
        <v>1001</v>
      </c>
      <c r="L473" s="3">
        <v>0</v>
      </c>
      <c r="M473" s="3">
        <v>0</v>
      </c>
      <c r="N473" s="16">
        <v>0</v>
      </c>
      <c r="O473" s="3">
        <v>1</v>
      </c>
      <c r="P473" s="3">
        <v>0</v>
      </c>
      <c r="Q473" s="3">
        <v>0</v>
      </c>
      <c r="R473" s="3">
        <v>0</v>
      </c>
      <c r="S473" s="7"/>
      <c r="T473" s="3">
        <v>0</v>
      </c>
      <c r="U473" s="3">
        <v>0</v>
      </c>
      <c r="V473" s="3">
        <v>0</v>
      </c>
      <c r="W473" s="7"/>
      <c r="X473" s="7"/>
      <c r="Y473" s="7"/>
    </row>
    <row r="474" spans="1:25" ht="14.4">
      <c r="A474" s="50">
        <v>1</v>
      </c>
      <c r="B474" s="51" t="s">
        <v>1002</v>
      </c>
      <c r="C474" s="37">
        <v>474</v>
      </c>
      <c r="D474" s="37">
        <v>4</v>
      </c>
      <c r="E474" s="38">
        <v>43687</v>
      </c>
      <c r="F474" s="39" t="str">
        <f>HYPERLINK("https://www.liputan6.com/showbiz/read/4081414/status-orangtua-tunggal-cathy-sharon-tegaskan-jadi-janda ","sumber")</f>
        <v>sumber</v>
      </c>
      <c r="G474" s="37" t="s">
        <v>1</v>
      </c>
      <c r="H474" s="54">
        <v>245</v>
      </c>
      <c r="I474" s="37">
        <v>2</v>
      </c>
      <c r="J474" s="37">
        <v>1</v>
      </c>
      <c r="K474" s="37" t="s">
        <v>1003</v>
      </c>
      <c r="L474" s="37">
        <v>0</v>
      </c>
      <c r="M474" s="37">
        <v>0</v>
      </c>
      <c r="N474" s="43">
        <v>0</v>
      </c>
      <c r="O474" s="37">
        <v>0</v>
      </c>
      <c r="P474" s="37">
        <v>0</v>
      </c>
      <c r="Q474" s="37">
        <v>2</v>
      </c>
      <c r="R474" s="37">
        <v>0</v>
      </c>
      <c r="S474" s="40"/>
      <c r="T474" s="37">
        <v>0</v>
      </c>
      <c r="U474" s="37">
        <v>0</v>
      </c>
      <c r="V474" s="37">
        <v>0</v>
      </c>
      <c r="W474" s="40"/>
      <c r="X474" s="40"/>
      <c r="Y474" s="40"/>
    </row>
    <row r="475" spans="1:25" ht="26.4">
      <c r="A475" s="50">
        <v>1</v>
      </c>
      <c r="B475" s="51" t="s">
        <v>1004</v>
      </c>
      <c r="C475" s="37">
        <v>475</v>
      </c>
      <c r="D475" s="37">
        <v>3</v>
      </c>
      <c r="E475" s="38">
        <v>43718</v>
      </c>
      <c r="F475" s="39" t="str">
        <f>HYPERLINK("https://news.okezone.com/read/2019/10/09/525/2114546/gadis-remaja-digilir-3-pria-paruh-baya-termasuk-pamannya-sendiri ","sumber")</f>
        <v>sumber</v>
      </c>
      <c r="G475" s="37" t="s">
        <v>1</v>
      </c>
      <c r="H475" s="54">
        <v>406</v>
      </c>
      <c r="I475" s="37">
        <v>1</v>
      </c>
      <c r="J475" s="37">
        <v>1</v>
      </c>
      <c r="K475" s="37" t="s">
        <v>1005</v>
      </c>
      <c r="L475" s="37">
        <v>0</v>
      </c>
      <c r="M475" s="11">
        <v>0</v>
      </c>
      <c r="N475" s="43">
        <v>0</v>
      </c>
      <c r="O475" s="37">
        <v>1</v>
      </c>
      <c r="P475" s="37">
        <v>0</v>
      </c>
      <c r="Q475" s="37">
        <v>0</v>
      </c>
      <c r="R475" s="37">
        <v>0</v>
      </c>
      <c r="S475" s="40"/>
      <c r="T475" s="37">
        <v>0</v>
      </c>
      <c r="U475" s="37">
        <v>0</v>
      </c>
      <c r="V475" s="37">
        <v>0</v>
      </c>
      <c r="W475" s="40"/>
      <c r="X475" s="40"/>
      <c r="Y475" s="40"/>
    </row>
    <row r="476" spans="1:25" ht="26.4">
      <c r="A476" s="50">
        <v>1</v>
      </c>
      <c r="B476" s="51" t="s">
        <v>1006</v>
      </c>
      <c r="C476" s="37">
        <v>476</v>
      </c>
      <c r="D476" s="37">
        <v>9</v>
      </c>
      <c r="E476" s="38">
        <v>43718</v>
      </c>
      <c r="F476" s="39" t="str">
        <f>HYPERLINK("https://internasional.republika.co.id/berita/pz3no4/dari-australia-veronica-koman-saya-tidak-akan-berhenti ","sumber")</f>
        <v>sumber</v>
      </c>
      <c r="G476" s="37" t="s">
        <v>1</v>
      </c>
      <c r="H476" s="54">
        <v>212</v>
      </c>
      <c r="I476" s="37">
        <v>1</v>
      </c>
      <c r="J476" s="37">
        <v>1</v>
      </c>
      <c r="K476" s="37" t="s">
        <v>1007</v>
      </c>
      <c r="L476" s="37">
        <v>0</v>
      </c>
      <c r="M476" s="37">
        <v>1</v>
      </c>
      <c r="N476" s="43">
        <v>0</v>
      </c>
      <c r="O476" s="37">
        <v>0</v>
      </c>
      <c r="P476" s="37">
        <v>0</v>
      </c>
      <c r="Q476" s="37" t="s">
        <v>178</v>
      </c>
      <c r="R476" s="37" t="s">
        <v>68</v>
      </c>
      <c r="S476" s="40"/>
      <c r="T476" s="37">
        <v>0</v>
      </c>
      <c r="U476" s="37">
        <v>0</v>
      </c>
      <c r="V476" s="37">
        <v>0</v>
      </c>
      <c r="W476" s="40"/>
      <c r="X476" s="40"/>
      <c r="Y476" s="40"/>
    </row>
    <row r="477" spans="1:25" ht="14.4">
      <c r="A477" s="45">
        <v>1</v>
      </c>
      <c r="B477" s="55" t="s">
        <v>1008</v>
      </c>
      <c r="C477" s="3">
        <v>477</v>
      </c>
      <c r="D477" s="3">
        <v>8</v>
      </c>
      <c r="E477" s="4">
        <v>43506</v>
      </c>
      <c r="F477" s="5" t="str">
        <f>HYPERLINK("https://www.suara.com/health/2019/10/02/194500/kekerasan-berbasis-gender-masih-tinggi-di-indonesia-terlebih-pengidap-hiv","sumber")</f>
        <v>sumber</v>
      </c>
      <c r="G477" s="60" t="s">
        <v>1</v>
      </c>
      <c r="H477" s="56">
        <v>220</v>
      </c>
      <c r="I477" s="3">
        <v>4</v>
      </c>
      <c r="J477" s="3">
        <v>1</v>
      </c>
      <c r="K477" s="3" t="s">
        <v>1009</v>
      </c>
      <c r="L477" s="3">
        <v>0</v>
      </c>
      <c r="M477" s="3">
        <v>0</v>
      </c>
      <c r="N477" s="16">
        <v>0</v>
      </c>
      <c r="O477" s="3">
        <v>0</v>
      </c>
      <c r="P477" s="3">
        <v>0</v>
      </c>
      <c r="Q477" s="3">
        <v>0</v>
      </c>
      <c r="R477" s="3">
        <v>0</v>
      </c>
      <c r="S477" s="7"/>
      <c r="T477" s="3">
        <v>0</v>
      </c>
      <c r="U477" s="3">
        <v>0</v>
      </c>
      <c r="V477" s="3">
        <v>1</v>
      </c>
      <c r="W477" s="7"/>
      <c r="X477" s="7"/>
      <c r="Y477" s="7"/>
    </row>
    <row r="478" spans="1:25" ht="14.4">
      <c r="A478" s="17">
        <v>2</v>
      </c>
      <c r="B478" s="48" t="s">
        <v>1010</v>
      </c>
      <c r="C478" s="18">
        <v>478</v>
      </c>
      <c r="D478" s="18">
        <v>5</v>
      </c>
      <c r="E478" s="31">
        <v>43718</v>
      </c>
      <c r="F478" s="20" t="str">
        <f>HYPERLINK("https://tirto.id/preview-when-the-camellia-blooms-ep-13-14-dong-baek-tuntut-gyu-tae-ejtC ","sumber")</f>
        <v>sumber</v>
      </c>
      <c r="G478" s="18" t="s">
        <v>1</v>
      </c>
      <c r="H478" s="49">
        <v>609</v>
      </c>
      <c r="I478" s="19"/>
      <c r="J478" s="18">
        <v>1</v>
      </c>
      <c r="K478" s="19"/>
      <c r="L478" s="19"/>
      <c r="M478" s="19"/>
      <c r="N478" s="19"/>
      <c r="O478" s="19"/>
      <c r="P478" s="19"/>
      <c r="Q478" s="19"/>
      <c r="R478" s="19"/>
      <c r="S478" s="19"/>
      <c r="T478" s="19"/>
      <c r="U478" s="19"/>
      <c r="V478" s="19"/>
      <c r="W478" s="19"/>
      <c r="X478" s="19"/>
      <c r="Y478" s="19"/>
    </row>
    <row r="479" spans="1:25" ht="14.4">
      <c r="A479" s="17">
        <v>2</v>
      </c>
      <c r="B479" s="48" t="s">
        <v>1011</v>
      </c>
      <c r="C479" s="18">
        <v>479</v>
      </c>
      <c r="D479" s="18">
        <v>6</v>
      </c>
      <c r="E479" s="61">
        <v>43748</v>
      </c>
      <c r="F479" s="20" t="str">
        <f>HYPERLINK("https://regional.kompas.com/read/2019/10/10/10535231/polisi-ungkap-jaringan-prostitusi-yang-jajakan-ladyboy ","sumber")</f>
        <v>sumber</v>
      </c>
      <c r="G479" s="18" t="s">
        <v>1</v>
      </c>
      <c r="H479" s="49">
        <v>291</v>
      </c>
      <c r="I479" s="18"/>
      <c r="J479" s="18">
        <v>1</v>
      </c>
      <c r="K479" s="18"/>
      <c r="L479" s="19"/>
      <c r="M479" s="19"/>
      <c r="N479" s="19"/>
      <c r="O479" s="19"/>
      <c r="P479" s="19"/>
      <c r="Q479" s="19"/>
      <c r="R479" s="19"/>
      <c r="S479" s="19"/>
      <c r="T479" s="19"/>
      <c r="U479" s="19"/>
      <c r="V479" s="19"/>
      <c r="W479" s="19"/>
      <c r="X479" s="19"/>
      <c r="Y479" s="19"/>
    </row>
    <row r="480" spans="1:25" ht="14.4">
      <c r="A480" s="17">
        <v>2</v>
      </c>
      <c r="B480" s="48" t="s">
        <v>1012</v>
      </c>
      <c r="C480" s="18">
        <v>480</v>
      </c>
      <c r="D480" s="18">
        <v>3</v>
      </c>
      <c r="E480" s="61">
        <v>43748</v>
      </c>
      <c r="F480" s="20" t="str">
        <f>HYPERLINK("https://index.okezone.com/read/2019/10/09/612/2114972/berbeda-dengan-hantu-kota-tua-menara-saidah-punya-kuntilanak-merah ","sumber")</f>
        <v>sumber</v>
      </c>
      <c r="G480" s="18" t="s">
        <v>1</v>
      </c>
      <c r="H480" s="49">
        <v>536</v>
      </c>
      <c r="I480" s="19"/>
      <c r="J480" s="18">
        <v>1</v>
      </c>
      <c r="K480" s="19"/>
      <c r="L480" s="19"/>
      <c r="M480" s="19"/>
      <c r="N480" s="19"/>
      <c r="O480" s="19"/>
      <c r="P480" s="19"/>
      <c r="Q480" s="19"/>
      <c r="R480" s="19"/>
      <c r="S480" s="19"/>
      <c r="T480" s="19"/>
      <c r="U480" s="19"/>
      <c r="V480" s="19"/>
      <c r="W480" s="19"/>
      <c r="X480" s="19"/>
      <c r="Y480" s="19"/>
    </row>
    <row r="481" spans="1:25" ht="26.4">
      <c r="A481" s="45">
        <v>1</v>
      </c>
      <c r="B481" s="55" t="s">
        <v>1013</v>
      </c>
      <c r="C481" s="3">
        <v>481</v>
      </c>
      <c r="D481" s="3">
        <v>10</v>
      </c>
      <c r="E481" s="3" t="s">
        <v>928</v>
      </c>
      <c r="F481" s="5" t="str">
        <f>HYPERLINK("https://nasional.tempo.co/read/1276496/pemerintah-dinilai-belum-maksimal-bantu-korban-kekerasan-seksual","sumber")</f>
        <v>sumber</v>
      </c>
      <c r="G481" s="3" t="s">
        <v>1</v>
      </c>
      <c r="H481" s="56">
        <v>167</v>
      </c>
      <c r="I481" s="3">
        <v>4</v>
      </c>
      <c r="J481" s="3">
        <v>1</v>
      </c>
      <c r="K481" s="3" t="s">
        <v>1014</v>
      </c>
      <c r="L481" s="3">
        <v>0</v>
      </c>
      <c r="M481" s="3">
        <v>0</v>
      </c>
      <c r="N481" s="16">
        <v>0</v>
      </c>
      <c r="O481" s="3">
        <v>0</v>
      </c>
      <c r="P481" s="3">
        <v>0</v>
      </c>
      <c r="Q481" s="3">
        <v>0</v>
      </c>
      <c r="R481" s="3">
        <v>1</v>
      </c>
      <c r="S481" s="7"/>
      <c r="T481" s="3">
        <v>0</v>
      </c>
      <c r="U481" s="3">
        <v>0</v>
      </c>
      <c r="V481" s="3">
        <v>1</v>
      </c>
      <c r="W481" s="7"/>
      <c r="X481" s="7"/>
      <c r="Y481" s="7"/>
    </row>
    <row r="482" spans="1:25" ht="39.6">
      <c r="A482" s="50">
        <v>1</v>
      </c>
      <c r="B482" s="51" t="s">
        <v>1015</v>
      </c>
      <c r="C482" s="37">
        <v>482</v>
      </c>
      <c r="D482" s="37">
        <v>6</v>
      </c>
      <c r="E482" s="37" t="s">
        <v>904</v>
      </c>
      <c r="F482" s="39" t="str">
        <f>HYPERLINK("https://megapolitan.kompas.com/read/2019/11/19/18471421/imigrasi-soekarno-hatta-akui-sulit-deteksi-perdagangan-manusia-lewat ","sumber")</f>
        <v>sumber</v>
      </c>
      <c r="G482" s="37" t="s">
        <v>1</v>
      </c>
      <c r="H482" s="54">
        <v>317</v>
      </c>
      <c r="I482" s="37">
        <v>1</v>
      </c>
      <c r="J482" s="37">
        <v>1</v>
      </c>
      <c r="K482" s="37" t="s">
        <v>1016</v>
      </c>
      <c r="L482" s="37">
        <v>0</v>
      </c>
      <c r="M482" s="11">
        <v>0</v>
      </c>
      <c r="N482" s="43">
        <v>0</v>
      </c>
      <c r="O482" s="37">
        <v>0</v>
      </c>
      <c r="P482" s="37">
        <v>0</v>
      </c>
      <c r="Q482" s="37" t="s">
        <v>29</v>
      </c>
      <c r="R482" s="37" t="s">
        <v>29</v>
      </c>
      <c r="S482" s="40"/>
      <c r="T482" s="37">
        <v>0</v>
      </c>
      <c r="U482" s="37">
        <v>0</v>
      </c>
      <c r="V482" s="37">
        <v>0</v>
      </c>
      <c r="W482" s="40"/>
      <c r="X482" s="40"/>
      <c r="Y482" s="40"/>
    </row>
    <row r="483" spans="1:25" ht="14.4">
      <c r="A483" s="50">
        <v>1</v>
      </c>
      <c r="B483" s="51" t="s">
        <v>1017</v>
      </c>
      <c r="C483" s="37">
        <v>483</v>
      </c>
      <c r="D483" s="37">
        <v>10</v>
      </c>
      <c r="E483" s="37" t="s">
        <v>904</v>
      </c>
      <c r="F483" s="39" t="str">
        <f>HYPERLINK("https://tekno.tempo.co/read/1274030/ada-16-ribu-laporan-posting-pembalasan-porno-facebook-setiap-hari ","sumber")</f>
        <v>sumber</v>
      </c>
      <c r="G483" s="37" t="s">
        <v>1</v>
      </c>
      <c r="H483" s="54">
        <v>334</v>
      </c>
      <c r="I483" s="37">
        <v>1</v>
      </c>
      <c r="J483" s="37">
        <v>1</v>
      </c>
      <c r="K483" s="37" t="s">
        <v>1018</v>
      </c>
      <c r="L483" s="37">
        <v>0</v>
      </c>
      <c r="M483" s="11">
        <v>0</v>
      </c>
      <c r="N483" s="43">
        <v>0</v>
      </c>
      <c r="O483" s="37">
        <v>0</v>
      </c>
      <c r="P483" s="37">
        <v>0</v>
      </c>
      <c r="Q483" s="37">
        <v>2</v>
      </c>
      <c r="R483" s="37">
        <v>0</v>
      </c>
      <c r="S483" s="40"/>
      <c r="T483" s="37">
        <v>0</v>
      </c>
      <c r="U483" s="37">
        <v>0</v>
      </c>
      <c r="V483" s="37">
        <v>0</v>
      </c>
      <c r="W483" s="40"/>
      <c r="X483" s="40"/>
      <c r="Y483" s="40"/>
    </row>
    <row r="484" spans="1:25" ht="26.4">
      <c r="A484" s="50">
        <v>1</v>
      </c>
      <c r="B484" s="51" t="s">
        <v>1019</v>
      </c>
      <c r="C484" s="37">
        <v>484</v>
      </c>
      <c r="D484" s="37">
        <v>1</v>
      </c>
      <c r="E484" s="37" t="s">
        <v>850</v>
      </c>
      <c r="F484" s="39" t="str">
        <f>HYPERLINK("https://news.detik.com/internasional/d-4791827/panglima-milisi-kongo-dibui-seumur-hidup-atas-pemerkosaan-ratusan-wanita ","sumber")</f>
        <v>sumber</v>
      </c>
      <c r="G484" s="37" t="s">
        <v>1</v>
      </c>
      <c r="H484" s="54">
        <v>142</v>
      </c>
      <c r="I484" s="37">
        <v>1</v>
      </c>
      <c r="J484" s="37">
        <v>1</v>
      </c>
      <c r="K484" s="37" t="s">
        <v>1020</v>
      </c>
      <c r="L484" s="37">
        <v>0</v>
      </c>
      <c r="M484" s="11">
        <v>0</v>
      </c>
      <c r="N484" s="43">
        <v>0</v>
      </c>
      <c r="O484" s="37">
        <v>0</v>
      </c>
      <c r="P484" s="37">
        <v>0</v>
      </c>
      <c r="Q484" s="37" t="s">
        <v>182</v>
      </c>
      <c r="R484" s="37" t="s">
        <v>29</v>
      </c>
      <c r="S484" s="40"/>
      <c r="T484" s="37">
        <v>0</v>
      </c>
      <c r="U484" s="37">
        <v>0</v>
      </c>
      <c r="V484" s="37">
        <v>0</v>
      </c>
      <c r="W484" s="40"/>
      <c r="X484" s="40"/>
      <c r="Y484" s="40"/>
    </row>
    <row r="485" spans="1:25" ht="39.6">
      <c r="A485" s="45">
        <v>1</v>
      </c>
      <c r="B485" s="55" t="s">
        <v>1021</v>
      </c>
      <c r="C485" s="3">
        <v>485</v>
      </c>
      <c r="D485" s="3">
        <v>9</v>
      </c>
      <c r="E485" s="3" t="s">
        <v>850</v>
      </c>
      <c r="F485" s="5" t="str">
        <f>HYPERLINK("https://internasional.republika.co.id/berita/q191u3382/penyelidikan-kasus-pemerkosaan-julian-assange-dihentikan","sumber")</f>
        <v>sumber</v>
      </c>
      <c r="G485" s="3" t="s">
        <v>1</v>
      </c>
      <c r="H485" s="56">
        <v>43</v>
      </c>
      <c r="I485" s="3">
        <v>1</v>
      </c>
      <c r="J485" s="3">
        <v>1</v>
      </c>
      <c r="K485" s="3" t="s">
        <v>1022</v>
      </c>
      <c r="L485" s="3">
        <v>0</v>
      </c>
      <c r="M485" s="3">
        <v>0</v>
      </c>
      <c r="N485" s="16">
        <v>0</v>
      </c>
      <c r="O485" s="3">
        <v>0</v>
      </c>
      <c r="P485" s="3">
        <v>0</v>
      </c>
      <c r="Q485" s="3" t="s">
        <v>21</v>
      </c>
      <c r="R485" s="3" t="s">
        <v>21</v>
      </c>
      <c r="S485" s="7"/>
      <c r="T485" s="3">
        <v>0</v>
      </c>
      <c r="U485" s="3">
        <v>0</v>
      </c>
      <c r="V485" s="3">
        <v>0</v>
      </c>
      <c r="W485" s="7"/>
      <c r="X485" s="7"/>
      <c r="Y485" s="7"/>
    </row>
    <row r="486" spans="1:25" ht="66">
      <c r="A486" s="50">
        <v>1</v>
      </c>
      <c r="B486" s="51" t="s">
        <v>1023</v>
      </c>
      <c r="C486" s="37">
        <v>486</v>
      </c>
      <c r="D486" s="37">
        <v>5</v>
      </c>
      <c r="E486" s="37" t="s">
        <v>850</v>
      </c>
      <c r="F486" s="39" t="str">
        <f>HYPERLINK("https://tirto.id/teror-sperma-ruu-pks-pentingnya-sanksi-sosial-bagi-pelaku-el1d ","sumber")</f>
        <v>sumber</v>
      </c>
      <c r="G486" s="37" t="s">
        <v>1</v>
      </c>
      <c r="H486" s="54">
        <v>898</v>
      </c>
      <c r="I486" s="37">
        <v>4</v>
      </c>
      <c r="J486" s="37">
        <v>1</v>
      </c>
      <c r="K486" s="37" t="s">
        <v>1024</v>
      </c>
      <c r="L486" s="37">
        <v>0</v>
      </c>
      <c r="M486" s="37">
        <v>0</v>
      </c>
      <c r="N486" s="43">
        <v>0</v>
      </c>
      <c r="O486" s="37">
        <v>0</v>
      </c>
      <c r="P486" s="37">
        <v>0</v>
      </c>
      <c r="Q486" s="37" t="s">
        <v>1025</v>
      </c>
      <c r="R486" s="37" t="s">
        <v>1026</v>
      </c>
      <c r="S486" s="40"/>
      <c r="T486" s="37">
        <v>0</v>
      </c>
      <c r="U486" s="37">
        <v>0</v>
      </c>
      <c r="V486" s="37">
        <v>1</v>
      </c>
      <c r="W486" s="40"/>
      <c r="X486" s="40"/>
      <c r="Y486" s="40"/>
    </row>
    <row r="487" spans="1:25" ht="14.4">
      <c r="A487" s="45">
        <v>1</v>
      </c>
      <c r="B487" s="55" t="s">
        <v>1027</v>
      </c>
      <c r="C487" s="3">
        <v>487</v>
      </c>
      <c r="D487" s="3">
        <v>1</v>
      </c>
      <c r="E487" s="3" t="s">
        <v>852</v>
      </c>
      <c r="F487" s="5" t="str">
        <f>HYPERLINK("https://hot.detik.com/celeb/d-4794622/kania-bp-lebih-sakit-kehilangan-ayah-daripada-dibuat-bonyok-suami","sumber")</f>
        <v>sumber</v>
      </c>
      <c r="G487" s="3" t="s">
        <v>1</v>
      </c>
      <c r="H487" s="56">
        <v>288</v>
      </c>
      <c r="I487" s="3">
        <v>2</v>
      </c>
      <c r="J487" s="3">
        <v>1</v>
      </c>
      <c r="K487" s="3" t="s">
        <v>1028</v>
      </c>
      <c r="L487" s="3">
        <v>0</v>
      </c>
      <c r="M487" s="3">
        <v>0</v>
      </c>
      <c r="N487" s="16">
        <v>0</v>
      </c>
      <c r="O487" s="3">
        <v>0</v>
      </c>
      <c r="P487" s="3">
        <v>0</v>
      </c>
      <c r="Q487" s="3">
        <v>2</v>
      </c>
      <c r="R487" s="3">
        <v>0</v>
      </c>
      <c r="S487" s="7"/>
      <c r="T487" s="3">
        <v>0</v>
      </c>
      <c r="U487" s="3">
        <v>0</v>
      </c>
      <c r="V487" s="3">
        <v>0</v>
      </c>
      <c r="W487" s="7"/>
      <c r="X487" s="7"/>
      <c r="Y487" s="7"/>
    </row>
    <row r="488" spans="1:25" ht="14.4">
      <c r="A488" s="17">
        <v>2</v>
      </c>
      <c r="B488" s="48" t="s">
        <v>1029</v>
      </c>
      <c r="C488" s="18">
        <v>488</v>
      </c>
      <c r="D488" s="18">
        <v>10</v>
      </c>
      <c r="E488" s="18" t="s">
        <v>852</v>
      </c>
      <c r="F488" s="20" t="str">
        <f>HYPERLINK("https://metro.tempo.co/read/1275533/pemerintah-kota-bogor-razia-miras-di-2-lokasi-hasilnya ","sumber")</f>
        <v>sumber</v>
      </c>
      <c r="G488" s="18" t="s">
        <v>1</v>
      </c>
      <c r="H488" s="49">
        <v>328</v>
      </c>
      <c r="I488" s="19"/>
      <c r="J488" s="18">
        <v>1</v>
      </c>
      <c r="K488" s="19"/>
      <c r="L488" s="19"/>
      <c r="M488" s="19"/>
      <c r="N488" s="19"/>
      <c r="O488" s="19"/>
      <c r="P488" s="19"/>
      <c r="Q488" s="19"/>
      <c r="R488" s="19"/>
      <c r="S488" s="19"/>
      <c r="T488" s="19"/>
      <c r="U488" s="19"/>
      <c r="V488" s="19"/>
      <c r="W488" s="19"/>
      <c r="X488" s="19"/>
      <c r="Y488" s="19"/>
    </row>
    <row r="489" spans="1:25" ht="14.4">
      <c r="A489" s="45">
        <v>1</v>
      </c>
      <c r="B489" s="55" t="s">
        <v>1030</v>
      </c>
      <c r="C489" s="3">
        <v>489</v>
      </c>
      <c r="D489" s="3">
        <v>6</v>
      </c>
      <c r="E489" s="3" t="s">
        <v>926</v>
      </c>
      <c r="F489" s="5" t="str">
        <f>HYPERLINK("https://regional.kompas.com/read/2019/11/24/16023951/berulang-kali-perkosa-istri-sahabat-pria-ini-tewas-dibacok","sumber")</f>
        <v>sumber</v>
      </c>
      <c r="G489" s="3" t="s">
        <v>1</v>
      </c>
      <c r="H489" s="56">
        <v>160</v>
      </c>
      <c r="I489" s="3">
        <v>1</v>
      </c>
      <c r="J489" s="3">
        <v>1</v>
      </c>
      <c r="K489" s="3" t="s">
        <v>1031</v>
      </c>
      <c r="L489" s="3">
        <v>0</v>
      </c>
      <c r="M489" s="3">
        <v>0</v>
      </c>
      <c r="N489" s="16">
        <v>0</v>
      </c>
      <c r="O489" s="3">
        <v>1</v>
      </c>
      <c r="P489" s="3">
        <v>0</v>
      </c>
      <c r="Q489" s="3">
        <v>0</v>
      </c>
      <c r="R489" s="3">
        <v>0</v>
      </c>
      <c r="S489" s="7"/>
      <c r="T489" s="3">
        <v>0</v>
      </c>
      <c r="U489" s="3">
        <v>0</v>
      </c>
      <c r="V489" s="3">
        <v>0</v>
      </c>
      <c r="W489" s="7"/>
      <c r="X489" s="7"/>
      <c r="Y489" s="7"/>
    </row>
    <row r="490" spans="1:25" ht="52.8">
      <c r="A490" s="50">
        <v>1</v>
      </c>
      <c r="B490" s="51" t="s">
        <v>1032</v>
      </c>
      <c r="C490" s="37">
        <v>490</v>
      </c>
      <c r="D490" s="37">
        <v>4</v>
      </c>
      <c r="E490" s="37" t="s">
        <v>928</v>
      </c>
      <c r="F490" s="39" t="str">
        <f>HYPERLINK("https://www.liputan6.com/news/read/4118138/membongkar-seks-bebas-berkedok-ritual-pesugihan-di-gunung-kemukus-5-tahun-lalu ","sumber")</f>
        <v>sumber</v>
      </c>
      <c r="G490" s="37" t="s">
        <v>1</v>
      </c>
      <c r="H490" s="54">
        <v>1144</v>
      </c>
      <c r="I490" s="37">
        <v>1</v>
      </c>
      <c r="J490" s="37">
        <v>1</v>
      </c>
      <c r="K490" s="37" t="s">
        <v>1033</v>
      </c>
      <c r="L490" s="37">
        <v>0</v>
      </c>
      <c r="M490" s="11">
        <v>0</v>
      </c>
      <c r="N490" s="43">
        <v>0</v>
      </c>
      <c r="O490" s="37">
        <v>0</v>
      </c>
      <c r="P490" s="37">
        <v>0</v>
      </c>
      <c r="Q490" s="37" t="s">
        <v>245</v>
      </c>
      <c r="R490" s="37" t="s">
        <v>1025</v>
      </c>
      <c r="S490" s="40"/>
      <c r="T490" s="37">
        <v>0</v>
      </c>
      <c r="U490" s="37">
        <v>0</v>
      </c>
      <c r="V490" s="37">
        <v>0</v>
      </c>
      <c r="W490" s="40"/>
      <c r="X490" s="40"/>
      <c r="Y490" s="40"/>
    </row>
    <row r="491" spans="1:25" ht="14.4">
      <c r="A491" s="10">
        <v>1</v>
      </c>
      <c r="B491" s="51" t="s">
        <v>1034</v>
      </c>
      <c r="C491" s="37">
        <v>491</v>
      </c>
      <c r="D491" s="37">
        <v>3</v>
      </c>
      <c r="E491" s="37" t="s">
        <v>978</v>
      </c>
      <c r="F491" s="39" t="str">
        <f>HYPERLINK("https://index.okezone.com/read/2019/12/15/612/2142071/6-risiko-profesi-pramugari-nomor-1-rentan-jadi-korban-pelecehan ","sumber")</f>
        <v>sumber</v>
      </c>
      <c r="G491" s="37" t="s">
        <v>1</v>
      </c>
      <c r="H491" s="54">
        <v>378</v>
      </c>
      <c r="I491" s="37">
        <v>1</v>
      </c>
      <c r="J491" s="37">
        <v>1</v>
      </c>
      <c r="K491" s="37"/>
      <c r="L491" s="37">
        <v>0</v>
      </c>
      <c r="M491" s="11">
        <v>0</v>
      </c>
      <c r="N491" s="43">
        <v>0</v>
      </c>
      <c r="O491" s="37">
        <v>0</v>
      </c>
      <c r="P491" s="37">
        <v>-1</v>
      </c>
      <c r="Q491" s="37"/>
      <c r="R491" s="37"/>
      <c r="S491" s="40"/>
      <c r="T491" s="37">
        <v>0</v>
      </c>
      <c r="U491" s="37">
        <v>0</v>
      </c>
      <c r="V491" s="37">
        <v>0</v>
      </c>
      <c r="W491" s="40"/>
      <c r="X491" s="40"/>
      <c r="Y491" s="40"/>
    </row>
    <row r="492" spans="1:25" ht="14.4">
      <c r="A492" s="50">
        <v>1</v>
      </c>
      <c r="B492" s="51" t="s">
        <v>1035</v>
      </c>
      <c r="C492" s="37">
        <v>492</v>
      </c>
      <c r="D492" s="37">
        <v>1</v>
      </c>
      <c r="E492" s="37" t="s">
        <v>861</v>
      </c>
      <c r="F492" s="39" t="str">
        <f>HYPERLINK("https://hot.detik.com/celeb/d-4826910/charlize-theron-mengaku-alami-pelecehan-seksual-oleh-sutradara-ternama ","sumber")</f>
        <v>sumber</v>
      </c>
      <c r="G492" s="37" t="s">
        <v>1</v>
      </c>
      <c r="H492" s="54">
        <v>721</v>
      </c>
      <c r="I492" s="37">
        <v>1</v>
      </c>
      <c r="J492" s="37">
        <v>1</v>
      </c>
      <c r="K492" s="37" t="s">
        <v>1036</v>
      </c>
      <c r="L492" s="37">
        <v>0</v>
      </c>
      <c r="M492" s="37">
        <v>1</v>
      </c>
      <c r="N492" s="43">
        <v>0</v>
      </c>
      <c r="O492" s="37">
        <v>0</v>
      </c>
      <c r="P492" s="37">
        <v>0</v>
      </c>
      <c r="Q492" s="37">
        <v>2</v>
      </c>
      <c r="R492" s="37">
        <v>1</v>
      </c>
      <c r="S492" s="40"/>
      <c r="T492" s="37">
        <v>0</v>
      </c>
      <c r="U492" s="37">
        <v>0</v>
      </c>
      <c r="V492" s="37">
        <v>0</v>
      </c>
      <c r="W492" s="40"/>
      <c r="X492" s="40"/>
      <c r="Y492" s="40"/>
    </row>
    <row r="493" spans="1:25" ht="14.4">
      <c r="A493" s="17">
        <v>2</v>
      </c>
      <c r="B493" s="48" t="s">
        <v>1037</v>
      </c>
      <c r="C493" s="18">
        <v>493</v>
      </c>
      <c r="D493" s="18">
        <v>5</v>
      </c>
      <c r="E493" s="18" t="s">
        <v>861</v>
      </c>
      <c r="F493" s="20" t="str">
        <f>HYPERLINK("https://tirto.id/film-taken-dibintangi-liam-neeson-tayang-pukul-2130-di-trans-tv-enGE ","sumber")</f>
        <v>sumber</v>
      </c>
      <c r="G493" s="18" t="s">
        <v>1</v>
      </c>
      <c r="H493" s="49">
        <v>428</v>
      </c>
      <c r="I493" s="19"/>
      <c r="J493" s="18">
        <v>1</v>
      </c>
      <c r="K493" s="19"/>
      <c r="L493" s="19"/>
      <c r="M493" s="19"/>
      <c r="N493" s="19"/>
      <c r="O493" s="19"/>
      <c r="P493" s="19"/>
      <c r="Q493" s="19"/>
      <c r="R493" s="19"/>
      <c r="S493" s="19"/>
      <c r="T493" s="19"/>
      <c r="U493" s="19"/>
      <c r="V493" s="19"/>
      <c r="W493" s="19"/>
      <c r="X493" s="19"/>
      <c r="Y493" s="19"/>
    </row>
    <row r="494" spans="1:25" ht="14.4">
      <c r="A494" s="45">
        <v>1</v>
      </c>
      <c r="B494" s="55" t="s">
        <v>1038</v>
      </c>
      <c r="C494" s="3">
        <v>494</v>
      </c>
      <c r="D494" s="3">
        <v>10</v>
      </c>
      <c r="E494" s="62">
        <v>43811</v>
      </c>
      <c r="F494" s="5" t="str">
        <f>HYPERLINK("https://metro.tempo.co/read/1282859/dugaan-pemerkosaan-rizky-amelia-komnas-perempuan-curigai-2-hal","sumber")</f>
        <v>sumber</v>
      </c>
      <c r="G494" s="3" t="s">
        <v>1</v>
      </c>
      <c r="H494" s="56">
        <v>294</v>
      </c>
      <c r="I494" s="3">
        <v>1</v>
      </c>
      <c r="J494" s="3">
        <v>1</v>
      </c>
      <c r="K494" s="3" t="s">
        <v>1039</v>
      </c>
      <c r="L494" s="3">
        <v>0</v>
      </c>
      <c r="M494" s="3">
        <v>0</v>
      </c>
      <c r="N494" s="16">
        <v>0</v>
      </c>
      <c r="O494" s="3">
        <v>0</v>
      </c>
      <c r="P494" s="3">
        <v>0</v>
      </c>
      <c r="Q494" s="3">
        <v>0</v>
      </c>
      <c r="R494" s="3">
        <v>0</v>
      </c>
      <c r="S494" s="7"/>
      <c r="T494" s="3">
        <v>0</v>
      </c>
      <c r="U494" s="3">
        <v>0</v>
      </c>
      <c r="V494" s="3">
        <v>0</v>
      </c>
      <c r="W494" s="7"/>
      <c r="X494" s="7"/>
      <c r="Y494" s="7"/>
    </row>
    <row r="495" spans="1:25" ht="14.4">
      <c r="A495" s="17">
        <v>2</v>
      </c>
      <c r="B495" s="48" t="s">
        <v>1040</v>
      </c>
      <c r="C495" s="18">
        <v>495</v>
      </c>
      <c r="D495" s="18">
        <v>1</v>
      </c>
      <c r="E495" s="18" t="s">
        <v>864</v>
      </c>
      <c r="F495" s="20" t="str">
        <f>HYPERLINK("https://hot.detik.com/celeb/d-4829585/ichsan-munthe-sosok-yang-disebut-suami-vanessa-angel ","sumber")</f>
        <v>sumber</v>
      </c>
      <c r="G495" s="18" t="s">
        <v>1</v>
      </c>
      <c r="H495" s="49">
        <v>1559</v>
      </c>
      <c r="I495" s="19"/>
      <c r="J495" s="18">
        <v>1</v>
      </c>
      <c r="K495" s="19"/>
      <c r="L495" s="19"/>
      <c r="M495" s="19"/>
      <c r="N495" s="19"/>
      <c r="O495" s="19"/>
      <c r="P495" s="19"/>
      <c r="Q495" s="19"/>
      <c r="R495" s="19"/>
      <c r="S495" s="19"/>
      <c r="T495" s="19"/>
      <c r="U495" s="19"/>
      <c r="V495" s="19"/>
      <c r="W495" s="19"/>
      <c r="X495" s="19"/>
      <c r="Y495" s="19"/>
    </row>
    <row r="496" spans="1:25" ht="26.4">
      <c r="A496" s="45">
        <v>1</v>
      </c>
      <c r="B496" s="55" t="s">
        <v>1041</v>
      </c>
      <c r="C496" s="3">
        <v>496</v>
      </c>
      <c r="D496" s="3">
        <v>3</v>
      </c>
      <c r="E496" s="3" t="s">
        <v>936</v>
      </c>
      <c r="F496" s="5" t="str">
        <f>HYPERLINK("https://economy.okezone.com/read/2019/12/23/320/2145044/sri-mulyani-ibu-teman-dekat-saat-anaknya-mengalami-masa-sulit","sumber")</f>
        <v>sumber</v>
      </c>
      <c r="G496" s="3" t="s">
        <v>1</v>
      </c>
      <c r="H496" s="56">
        <v>311</v>
      </c>
      <c r="I496" s="3">
        <v>3</v>
      </c>
      <c r="J496" s="3">
        <v>1</v>
      </c>
      <c r="K496" s="3" t="s">
        <v>1042</v>
      </c>
      <c r="L496" s="3">
        <v>0</v>
      </c>
      <c r="M496" s="3">
        <v>0</v>
      </c>
      <c r="N496" s="16">
        <v>0</v>
      </c>
      <c r="O496" s="3">
        <v>0</v>
      </c>
      <c r="P496" s="3">
        <v>0</v>
      </c>
      <c r="Q496" s="3" t="s">
        <v>29</v>
      </c>
      <c r="R496" s="3" t="s">
        <v>160</v>
      </c>
      <c r="S496" s="7"/>
      <c r="T496" s="3">
        <v>0</v>
      </c>
      <c r="U496" s="3">
        <v>0</v>
      </c>
      <c r="V496" s="3">
        <v>0</v>
      </c>
      <c r="W496" s="7"/>
      <c r="X496" s="7"/>
      <c r="Y496" s="7"/>
    </row>
    <row r="497" spans="1:25" ht="66">
      <c r="A497" s="50">
        <v>1</v>
      </c>
      <c r="B497" s="51" t="s">
        <v>1043</v>
      </c>
      <c r="C497" s="37">
        <v>497</v>
      </c>
      <c r="D497" s="37">
        <v>9</v>
      </c>
      <c r="E497" s="37" t="s">
        <v>1044</v>
      </c>
      <c r="F497" s="39" t="str">
        <f>HYPERLINK("https://republika.co.id/berita/q32fkx383/kasus-kekerasan-seksual-di-wilayah-cirebon-masih-tinggi ","sumber")</f>
        <v>sumber</v>
      </c>
      <c r="G497" s="37" t="s">
        <v>1</v>
      </c>
      <c r="H497" s="54">
        <v>519</v>
      </c>
      <c r="I497" s="37">
        <v>4</v>
      </c>
      <c r="J497" s="37">
        <v>1</v>
      </c>
      <c r="K497" s="37" t="s">
        <v>1045</v>
      </c>
      <c r="L497" s="37">
        <v>0</v>
      </c>
      <c r="M497" s="37">
        <v>0</v>
      </c>
      <c r="N497" s="43">
        <v>0</v>
      </c>
      <c r="O497" s="37">
        <v>0</v>
      </c>
      <c r="P497" s="37">
        <v>0</v>
      </c>
      <c r="Q497" s="37" t="s">
        <v>21</v>
      </c>
      <c r="R497" s="37" t="s">
        <v>1046</v>
      </c>
      <c r="S497" s="40"/>
      <c r="T497" s="37">
        <v>0</v>
      </c>
      <c r="U497" s="37">
        <v>0</v>
      </c>
      <c r="V497" s="37">
        <v>1</v>
      </c>
      <c r="W497" s="40"/>
      <c r="X497" s="40"/>
      <c r="Y497" s="40"/>
    </row>
    <row r="498" spans="1:25" ht="14.4">
      <c r="A498" s="50">
        <v>1</v>
      </c>
      <c r="B498" s="51" t="s">
        <v>1047</v>
      </c>
      <c r="C498" s="37">
        <v>498</v>
      </c>
      <c r="D498" s="37">
        <v>9</v>
      </c>
      <c r="E498" s="37" t="s">
        <v>1048</v>
      </c>
      <c r="F498" s="39" t="str">
        <f>HYPERLINK("https://nasional.republika.co.id/berita/q37tou349/polri-pelaporan-kasus-pemerkosaan-meningkat-di-2019 ","sumber")</f>
        <v>sumber</v>
      </c>
      <c r="G498" s="37" t="s">
        <v>1</v>
      </c>
      <c r="H498" s="54">
        <v>205</v>
      </c>
      <c r="I498" s="37">
        <v>1</v>
      </c>
      <c r="J498" s="37">
        <v>1</v>
      </c>
      <c r="K498" s="37" t="s">
        <v>1049</v>
      </c>
      <c r="L498" s="11">
        <v>0</v>
      </c>
      <c r="M498" s="11">
        <v>0</v>
      </c>
      <c r="N498" s="15">
        <v>0</v>
      </c>
      <c r="O498" s="37">
        <v>0</v>
      </c>
      <c r="P498" s="37">
        <v>0</v>
      </c>
      <c r="Q498" s="37">
        <v>0</v>
      </c>
      <c r="R498" s="37">
        <v>0</v>
      </c>
      <c r="S498" s="40"/>
      <c r="T498" s="37">
        <v>0</v>
      </c>
      <c r="U498" s="37">
        <v>0</v>
      </c>
      <c r="V498" s="37">
        <v>1</v>
      </c>
      <c r="W498" s="40"/>
      <c r="X498" s="40"/>
      <c r="Y498" s="40"/>
    </row>
    <row r="499" spans="1:25" ht="14.4">
      <c r="A499" s="45">
        <v>1</v>
      </c>
      <c r="B499" s="55" t="s">
        <v>1050</v>
      </c>
      <c r="C499" s="3">
        <v>499</v>
      </c>
      <c r="D499" s="3">
        <v>8</v>
      </c>
      <c r="E499" s="4">
        <v>43658</v>
      </c>
      <c r="F499" s="5" t="str">
        <f>HYPERLINK("https://jatim.suara.com/read/2019/12/07/191008/murid-disumpah-alquran-untuk-dicabuli-guru-bk-huda-pakai-ijazah-palsu","sumber")</f>
        <v>sumber</v>
      </c>
      <c r="G499" s="3" t="s">
        <v>1</v>
      </c>
      <c r="H499" s="56">
        <v>536</v>
      </c>
      <c r="I499" s="3">
        <v>1</v>
      </c>
      <c r="J499" s="3">
        <v>1</v>
      </c>
      <c r="K499" s="3" t="s">
        <v>1051</v>
      </c>
      <c r="L499" s="3">
        <v>0</v>
      </c>
      <c r="M499" s="3">
        <v>0</v>
      </c>
      <c r="N499" s="16">
        <v>0</v>
      </c>
      <c r="O499" s="3">
        <v>0</v>
      </c>
      <c r="P499" s="3">
        <v>0</v>
      </c>
      <c r="Q499" s="3">
        <v>0</v>
      </c>
      <c r="R499" s="3">
        <v>0</v>
      </c>
      <c r="S499" s="7"/>
      <c r="T499" s="3">
        <v>0</v>
      </c>
      <c r="U499" s="3">
        <v>0</v>
      </c>
      <c r="V499" s="3">
        <v>0</v>
      </c>
      <c r="W499" s="7"/>
      <c r="X499" s="7"/>
      <c r="Y499" s="7"/>
    </row>
    <row r="500" spans="1:25" ht="14.4">
      <c r="A500" s="50">
        <v>1</v>
      </c>
      <c r="B500" s="51" t="s">
        <v>1052</v>
      </c>
      <c r="C500" s="37">
        <v>500</v>
      </c>
      <c r="D500" s="37">
        <v>10</v>
      </c>
      <c r="E500" s="37" t="s">
        <v>1048</v>
      </c>
      <c r="F500" s="39" t="str">
        <f>HYPERLINK("https://metro.tempo.co/read/1288765/mahasiswi-pelaku-kawin-kontrak-blak-blakan-soal-nafkah-dan-bonus ","sumber")</f>
        <v>sumber</v>
      </c>
      <c r="G500" s="37" t="s">
        <v>1</v>
      </c>
      <c r="H500" s="54">
        <v>409</v>
      </c>
      <c r="I500" s="37">
        <v>1</v>
      </c>
      <c r="J500" s="37">
        <v>1</v>
      </c>
      <c r="K500" s="37" t="s">
        <v>1053</v>
      </c>
      <c r="L500" s="37">
        <v>0</v>
      </c>
      <c r="M500" s="11">
        <v>0</v>
      </c>
      <c r="N500" s="43">
        <v>0</v>
      </c>
      <c r="O500" s="37">
        <v>0</v>
      </c>
      <c r="P500" s="37">
        <v>0</v>
      </c>
      <c r="Q500" s="37">
        <v>2</v>
      </c>
      <c r="R500" s="37">
        <v>0</v>
      </c>
      <c r="S500" s="37" t="s">
        <v>1054</v>
      </c>
      <c r="T500" s="37">
        <v>1</v>
      </c>
      <c r="U500" s="37">
        <v>0</v>
      </c>
      <c r="V500" s="37">
        <v>0</v>
      </c>
      <c r="W500" s="40"/>
      <c r="X500" s="40"/>
      <c r="Y500" s="40"/>
    </row>
    <row r="501" spans="1:25" ht="14.4">
      <c r="A501" s="50">
        <v>1</v>
      </c>
      <c r="B501" s="51" t="s">
        <v>1055</v>
      </c>
      <c r="C501" s="37">
        <v>501</v>
      </c>
      <c r="D501" s="37">
        <v>9</v>
      </c>
      <c r="E501" s="37" t="s">
        <v>1056</v>
      </c>
      <c r="F501" s="39" t="str">
        <f>HYPERLINK("https://republika.co.id/berita/q3d8xf428/kpai-dorong-semua-pihak-cegah-kekerasan-di-sekolah ","sumber")</f>
        <v>sumber</v>
      </c>
      <c r="G501" s="37" t="s">
        <v>1</v>
      </c>
      <c r="H501" s="54">
        <v>36</v>
      </c>
      <c r="I501" s="37">
        <v>4</v>
      </c>
      <c r="J501" s="37">
        <v>1</v>
      </c>
      <c r="K501" s="37" t="s">
        <v>1057</v>
      </c>
      <c r="L501" s="37">
        <v>0</v>
      </c>
      <c r="M501" s="37">
        <v>0</v>
      </c>
      <c r="N501" s="43">
        <v>0</v>
      </c>
      <c r="O501" s="37">
        <v>0</v>
      </c>
      <c r="P501" s="37">
        <v>0</v>
      </c>
      <c r="Q501" s="37">
        <v>0</v>
      </c>
      <c r="R501" s="37">
        <v>1</v>
      </c>
      <c r="S501" s="40"/>
      <c r="T501" s="37">
        <v>0</v>
      </c>
      <c r="U501" s="37">
        <v>0</v>
      </c>
      <c r="V501" s="37">
        <v>1</v>
      </c>
      <c r="W501" s="40"/>
      <c r="X501" s="40"/>
      <c r="Y501" s="40"/>
    </row>
  </sheetData>
  <customSheetViews>
    <customSheetView guid="{66348944-9FC2-49D4-937A-1A6FEBFF4639}" filter="1" showAutoFilter="1">
      <pageMargins left="0.7" right="0.7" top="0.75" bottom="0.75" header="0.3" footer="0.3"/>
      <autoFilter ref="A6:A505"/>
    </customSheetView>
    <customSheetView guid="{20CAB334-E8B9-4848-AC8F-2E0A8DBFE604}" filter="1" showAutoFilter="1">
      <pageMargins left="0.7" right="0.7" top="0.75" bottom="0.75" header="0.3" footer="0.3"/>
      <autoFilter ref="K5:K505"/>
    </customSheetView>
    <customSheetView guid="{62CFFA2F-2CDE-4159-80E8-0067D9460027}" filter="1" showAutoFilter="1">
      <pageMargins left="0.7" right="0.7" top="0.75" bottom="0.75" header="0.3" footer="0.3"/>
      <autoFilter ref="N5:N505">
        <filterColumn colId="0">
          <filters>
            <filter val="0"/>
          </filters>
        </filterColumn>
      </autoFilter>
    </customSheetView>
    <customSheetView guid="{0B48C2DC-E7D4-4DCC-ACB5-09BD4089ED05}" filter="1" showAutoFilter="1">
      <pageMargins left="0.7" right="0.7" top="0.75" bottom="0.75" header="0.3" footer="0.3"/>
      <autoFilter ref="I6:I505">
        <filterColumn colId="0">
          <filters blank="1">
            <filter val="2"/>
            <filter val="3"/>
            <filter val="4"/>
            <filter val="5"/>
          </filters>
        </filterColumn>
      </autoFilter>
    </customSheetView>
    <customSheetView guid="{B69A7256-2244-4A5A-98B8-5882F2FF8700}" filter="1" showAutoFilter="1">
      <pageMargins left="0.7" right="0.7" top="0.75" bottom="0.75" header="0.3" footer="0.3"/>
      <autoFilter ref="M5:M505"/>
    </customSheetView>
    <customSheetView guid="{C0FD2F62-3ADA-4E44-ABC2-10E955012945}" filter="1" showAutoFilter="1">
      <pageMargins left="0.7" right="0.7" top="0.75" bottom="0.75" header="0.3" footer="0.3"/>
      <autoFilter ref="L5:L505"/>
    </customSheetView>
    <customSheetView guid="{17EFBF60-FA66-46DD-8C66-7DD74D543108}" filter="1" showAutoFilter="1">
      <pageMargins left="0.7" right="0.7" top="0.75" bottom="0.75" header="0.3" footer="0.3"/>
      <autoFilter ref="O5:O505"/>
    </customSheetView>
    <customSheetView guid="{E0B68C8C-9E59-4D09-A796-DABAD0F2C26F}" filter="1" showAutoFilter="1">
      <pageMargins left="0.7" right="0.7" top="0.75" bottom="0.75" header="0.3" footer="0.3"/>
      <autoFilter ref="O5:O505"/>
    </customSheetView>
    <customSheetView guid="{7A661D72-FC41-4646-AEAF-00CD193B6D95}" filter="1" showAutoFilter="1">
      <pageMargins left="0.7" right="0.7" top="0.75" bottom="0.75" header="0.3" footer="0.3"/>
      <autoFilter ref="P6:P505"/>
    </customSheetView>
    <customSheetView guid="{D0A54268-7389-43AB-A5BA-78B6DAB825D3}" filter="1" showAutoFilter="1">
      <pageMargins left="0.7" right="0.7" top="0.75" bottom="0.75" header="0.3" footer="0.3"/>
      <autoFilter ref="Q5:Q505"/>
    </customSheetView>
    <customSheetView guid="{E3B16FF4-157A-41A8-880D-5DDB83361892}" filter="1" showAutoFilter="1">
      <pageMargins left="0.7" right="0.7" top="0.75" bottom="0.75" header="0.3" footer="0.3"/>
      <autoFilter ref="Z1:Z505"/>
    </customSheetView>
    <customSheetView guid="{73395ED9-AE98-48BE-901B-FBF6E91AA159}" filter="1" showAutoFilter="1">
      <pageMargins left="0.7" right="0.7" top="0.75" bottom="0.75" header="0.3" footer="0.3"/>
      <autoFilter ref="U5:U505"/>
    </customSheetView>
    <customSheetView guid="{95107451-AD48-4E36-95D5-D44A7511BFD9}" filter="1" showAutoFilter="1">
      <pageMargins left="0.7" right="0.7" top="0.75" bottom="0.75" header="0.3" footer="0.3"/>
      <autoFilter ref="S5:S505"/>
    </customSheetView>
  </customSheetViews>
  <printOptions horizontalCentered="1" gridLines="1"/>
  <pageMargins left="0.7" right="0.7" top="0.75" bottom="0.75" header="0" footer="0"/>
  <pageSetup pageOrder="overThenDown"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503"/>
  <sheetViews>
    <sheetView workbookViewId="0">
      <pane ySplit="1" topLeftCell="A2" activePane="bottomLeft" state="frozen"/>
      <selection pane="bottomLeft"/>
    </sheetView>
  </sheetViews>
  <sheetFormatPr defaultColWidth="14.44140625" defaultRowHeight="15.75" customHeight="1"/>
  <cols>
    <col min="1" max="2" width="10.5546875" customWidth="1"/>
    <col min="3" max="3" width="5" customWidth="1"/>
    <col min="4" max="4" width="6.44140625" customWidth="1"/>
    <col min="5" max="5" width="14.33203125" customWidth="1"/>
    <col min="6" max="6" width="7.5546875" customWidth="1"/>
    <col min="7" max="7" width="8.33203125" customWidth="1"/>
    <col min="8" max="9" width="8.44140625" customWidth="1"/>
    <col min="10" max="10" width="11.44140625" customWidth="1"/>
    <col min="11" max="11" width="26" customWidth="1"/>
    <col min="12" max="12" width="8" customWidth="1"/>
    <col min="13" max="13" width="10.6640625" customWidth="1"/>
    <col min="14" max="14" width="11.44140625" customWidth="1"/>
    <col min="15" max="15" width="12" customWidth="1"/>
    <col min="16" max="16" width="9.88671875" customWidth="1"/>
    <col min="17" max="18" width="13.33203125" customWidth="1"/>
    <col min="19" max="19" width="28.33203125" customWidth="1"/>
    <col min="20" max="20" width="7.6640625" customWidth="1"/>
    <col min="21" max="21" width="8.33203125" customWidth="1"/>
    <col min="22" max="22" width="9.109375" customWidth="1"/>
    <col min="23" max="24" width="8.109375" customWidth="1"/>
    <col min="25" max="25" width="9.88671875" customWidth="1"/>
  </cols>
  <sheetData>
    <row r="1" spans="1:25" ht="39.6">
      <c r="A1" s="63">
        <v>1</v>
      </c>
      <c r="B1" s="64" t="s">
        <v>1058</v>
      </c>
      <c r="C1" s="11">
        <v>1</v>
      </c>
      <c r="D1" s="65">
        <v>2</v>
      </c>
      <c r="E1" s="66">
        <v>43473</v>
      </c>
      <c r="F1" s="13" t="str">
        <f>HYPERLINK("https://www.cnnindonesia.com/internasional/20190108144253-120-359291/belasan-pejabat-irak-melawat-ke-israel-jadi-kontroversi ","sumber")</f>
        <v>sumber</v>
      </c>
      <c r="G1" s="13" t="str">
        <f>HYPERLINK("https://drive.google.com/open?id=1OeCd_gzUMvWl9x7ob5IoB6mtxmmQwTBL","lokasi")</f>
        <v>lokasi</v>
      </c>
      <c r="H1" s="65">
        <v>363</v>
      </c>
      <c r="I1" s="67">
        <v>1</v>
      </c>
      <c r="J1" s="11">
        <v>4</v>
      </c>
      <c r="K1" s="68" t="s">
        <v>1059</v>
      </c>
      <c r="L1" s="11">
        <v>0</v>
      </c>
      <c r="M1" s="11">
        <v>1</v>
      </c>
      <c r="N1" s="11">
        <v>0</v>
      </c>
      <c r="O1" s="11">
        <v>0</v>
      </c>
      <c r="P1" s="11">
        <v>0</v>
      </c>
      <c r="Q1" s="11">
        <v>0</v>
      </c>
      <c r="R1" s="11">
        <v>0</v>
      </c>
      <c r="S1" s="11"/>
      <c r="T1" s="11">
        <v>0</v>
      </c>
      <c r="U1" s="11">
        <v>0</v>
      </c>
      <c r="V1" s="11">
        <v>1</v>
      </c>
      <c r="W1" s="11"/>
      <c r="X1" s="14"/>
      <c r="Y1" s="14"/>
    </row>
    <row r="2" spans="1:25" ht="26.4">
      <c r="A2" s="69">
        <v>1</v>
      </c>
      <c r="B2" s="64" t="s">
        <v>1060</v>
      </c>
      <c r="C2" s="11">
        <v>2</v>
      </c>
      <c r="D2" s="65">
        <v>2</v>
      </c>
      <c r="E2" s="66">
        <v>43477</v>
      </c>
      <c r="F2" s="13" t="str">
        <f>HYPERLINK("https://www.cnnindonesia.com/nasional/20190112002154-32-360314/debat-capres-kontras-minta-calon-sampaikan-sikap-terkait-pki ","sumber")</f>
        <v>sumber</v>
      </c>
      <c r="G2" s="13" t="str">
        <f>HYPERLINK("https://drive.google.com/open?id=1WdyWw01pFM6-NNkZFFXqIjcxpQPQCWkH","lokasi")</f>
        <v>lokasi</v>
      </c>
      <c r="H2" s="65">
        <v>386</v>
      </c>
      <c r="I2" s="67">
        <v>4</v>
      </c>
      <c r="J2" s="11">
        <v>4</v>
      </c>
      <c r="K2" s="70" t="s">
        <v>1061</v>
      </c>
      <c r="L2" s="11">
        <v>0</v>
      </c>
      <c r="M2" s="11">
        <v>0</v>
      </c>
      <c r="N2" s="15">
        <v>0</v>
      </c>
      <c r="O2" s="11">
        <v>0</v>
      </c>
      <c r="P2" s="11">
        <v>0</v>
      </c>
      <c r="Q2" s="11">
        <v>0</v>
      </c>
      <c r="R2" s="11">
        <v>1</v>
      </c>
      <c r="S2" s="11"/>
      <c r="T2" s="11">
        <v>0</v>
      </c>
      <c r="U2" s="11">
        <v>0</v>
      </c>
      <c r="V2" s="11">
        <v>1</v>
      </c>
      <c r="W2" s="14"/>
      <c r="X2" s="14"/>
      <c r="Y2" s="14"/>
    </row>
    <row r="3" spans="1:25" ht="26.4">
      <c r="A3" s="69">
        <v>1</v>
      </c>
      <c r="B3" s="64" t="s">
        <v>1062</v>
      </c>
      <c r="C3" s="11">
        <v>3</v>
      </c>
      <c r="D3" s="65">
        <v>1</v>
      </c>
      <c r="E3" s="66">
        <v>43478</v>
      </c>
      <c r="F3" s="13" t="str">
        <f>HYPERLINK("https://news.detik.com/berita/d-4382419/berkunjung-ke-malaysia-komisi-i-bandingkan-kebebasan-beragama-di-ri ","sumber")</f>
        <v>sumber</v>
      </c>
      <c r="G3" s="13" t="str">
        <f>HYPERLINK("https://drive.google.com/open?id=1QIjiMYG3sWlxXCdpiAlnCwbch69xb1hn","lokasi")</f>
        <v>lokasi</v>
      </c>
      <c r="H3" s="65">
        <v>384</v>
      </c>
      <c r="I3" s="71">
        <v>2</v>
      </c>
      <c r="J3" s="11">
        <v>4</v>
      </c>
      <c r="K3" s="72" t="s">
        <v>1063</v>
      </c>
      <c r="L3" s="11">
        <v>0</v>
      </c>
      <c r="M3" s="11">
        <v>0</v>
      </c>
      <c r="N3" s="15">
        <v>0</v>
      </c>
      <c r="O3" s="11">
        <v>0</v>
      </c>
      <c r="P3" s="11">
        <v>0</v>
      </c>
      <c r="Q3" s="11">
        <v>0</v>
      </c>
      <c r="R3" s="11">
        <v>1</v>
      </c>
      <c r="S3" s="11"/>
      <c r="T3" s="11">
        <v>0</v>
      </c>
      <c r="U3" s="11">
        <v>0</v>
      </c>
      <c r="V3" s="11">
        <v>1</v>
      </c>
      <c r="W3" s="14"/>
      <c r="X3" s="14"/>
      <c r="Y3" s="14"/>
    </row>
    <row r="4" spans="1:25" ht="66">
      <c r="A4" s="69">
        <v>1</v>
      </c>
      <c r="B4" s="64" t="s">
        <v>1064</v>
      </c>
      <c r="C4" s="11">
        <v>4</v>
      </c>
      <c r="D4" s="65">
        <v>10</v>
      </c>
      <c r="E4" s="66">
        <v>43482</v>
      </c>
      <c r="F4" s="13" t="str">
        <f>HYPERLINK("https://pilpres.tempo.co/read/1165796/program-aksi-prabowo-sandiaga-di-bidang-hukum-dan-ham ","sumber")</f>
        <v>sumber</v>
      </c>
      <c r="G4" s="13" t="str">
        <f>HYPERLINK("https://drive.google.com/open?id=1v2z95wcjv6e18oFAV1CY5IFqNytia3oj","lokasi")</f>
        <v>lokasi</v>
      </c>
      <c r="H4" s="65">
        <v>521</v>
      </c>
      <c r="I4" s="67">
        <v>4</v>
      </c>
      <c r="J4" s="11">
        <v>4</v>
      </c>
      <c r="K4" s="70" t="s">
        <v>1065</v>
      </c>
      <c r="L4" s="11">
        <v>0</v>
      </c>
      <c r="M4" s="11">
        <v>0</v>
      </c>
      <c r="N4" s="15">
        <v>0</v>
      </c>
      <c r="O4" s="11">
        <v>0</v>
      </c>
      <c r="P4" s="11">
        <v>0</v>
      </c>
      <c r="Q4" s="11" t="s">
        <v>29</v>
      </c>
      <c r="R4" s="11" t="s">
        <v>182</v>
      </c>
      <c r="S4" s="11"/>
      <c r="T4" s="11">
        <v>0</v>
      </c>
      <c r="U4" s="11">
        <v>0</v>
      </c>
      <c r="V4" s="11">
        <v>1</v>
      </c>
      <c r="W4" s="14"/>
      <c r="X4" s="14"/>
      <c r="Y4" s="14"/>
    </row>
    <row r="5" spans="1:25" ht="13.2">
      <c r="A5" s="73">
        <v>2</v>
      </c>
      <c r="B5" s="74" t="s">
        <v>1066</v>
      </c>
      <c r="C5" s="18">
        <v>5</v>
      </c>
      <c r="D5" s="75">
        <v>4</v>
      </c>
      <c r="E5" s="76">
        <v>43483</v>
      </c>
      <c r="F5" s="20" t="str">
        <f>HYPERLINK("https://www.liputan6.com/regional/read/3873789/menguak-monster-purba-yang-bersembunyi-di-bawah-tanah-aceh ","sumber")</f>
        <v>sumber</v>
      </c>
      <c r="G5" s="18" t="s">
        <v>1</v>
      </c>
      <c r="H5" s="75">
        <v>780</v>
      </c>
      <c r="I5" s="77"/>
      <c r="J5" s="18">
        <v>4</v>
      </c>
      <c r="K5" s="78"/>
      <c r="L5" s="19"/>
      <c r="M5" s="19"/>
      <c r="N5" s="19"/>
      <c r="O5" s="19"/>
      <c r="P5" s="19"/>
      <c r="Q5" s="18"/>
      <c r="R5" s="79"/>
      <c r="S5" s="18"/>
      <c r="T5" s="19"/>
      <c r="U5" s="19"/>
      <c r="V5" s="19"/>
      <c r="W5" s="19"/>
      <c r="X5" s="19"/>
      <c r="Y5" s="19"/>
    </row>
    <row r="6" spans="1:25" ht="39.6">
      <c r="A6" s="80">
        <v>1</v>
      </c>
      <c r="B6" s="81" t="s">
        <v>1067</v>
      </c>
      <c r="C6" s="82">
        <v>6</v>
      </c>
      <c r="D6" s="83">
        <v>10</v>
      </c>
      <c r="E6" s="84">
        <v>43476</v>
      </c>
      <c r="F6" s="85" t="str">
        <f>HYPERLINK("https://pemilu.tempo.co/read/1164057/kontras-sebut-debat-capres-mirip-pemilihan-ketua-osis","sumber")</f>
        <v>sumber</v>
      </c>
      <c r="G6" s="85" t="str">
        <f>HYPERLINK("https://drive.google.com/open?id=15K5sriRJOw0JTPqD9yRZzl0fwZcfdV8X","lokasi")</f>
        <v>lokasi</v>
      </c>
      <c r="H6" s="83">
        <v>409</v>
      </c>
      <c r="I6" s="86">
        <v>2</v>
      </c>
      <c r="J6" s="82">
        <v>4</v>
      </c>
      <c r="K6" s="87" t="s">
        <v>1068</v>
      </c>
      <c r="L6" s="82">
        <v>0</v>
      </c>
      <c r="M6" s="82">
        <v>0</v>
      </c>
      <c r="N6" s="88">
        <v>0</v>
      </c>
      <c r="O6" s="82">
        <v>0</v>
      </c>
      <c r="P6" s="82">
        <v>0</v>
      </c>
      <c r="Q6" s="82" t="s">
        <v>29</v>
      </c>
      <c r="R6" s="89" t="s">
        <v>68</v>
      </c>
      <c r="S6" s="82"/>
      <c r="T6" s="82">
        <v>0</v>
      </c>
      <c r="U6" s="82">
        <v>0</v>
      </c>
      <c r="V6" s="82">
        <v>1</v>
      </c>
      <c r="W6" s="90"/>
      <c r="X6" s="90"/>
      <c r="Y6" s="90"/>
    </row>
    <row r="7" spans="1:25" ht="26.4">
      <c r="A7" s="69">
        <v>1</v>
      </c>
      <c r="B7" s="64" t="s">
        <v>1069</v>
      </c>
      <c r="C7" s="11">
        <v>7</v>
      </c>
      <c r="D7" s="65">
        <v>5</v>
      </c>
      <c r="E7" s="66">
        <v>43490</v>
      </c>
      <c r="F7" s="13" t="str">
        <f>HYPERLINK("https://tirto.id/kontras-bebasnya-btp-harus-jadi-refleksi-pasal-penodaan-agama-de9m ","sumber")</f>
        <v>sumber</v>
      </c>
      <c r="G7" s="13" t="str">
        <f>HYPERLINK("https://drive.google.com/open?id=1v9iWNKeFUZeudaguIIAUd-ZjsBfBbXj6","lokasi")</f>
        <v>lokasi</v>
      </c>
      <c r="H7" s="65">
        <v>308</v>
      </c>
      <c r="I7" s="67">
        <v>4</v>
      </c>
      <c r="J7" s="11">
        <v>4</v>
      </c>
      <c r="K7" s="70" t="s">
        <v>1061</v>
      </c>
      <c r="L7" s="11">
        <v>0</v>
      </c>
      <c r="M7" s="11">
        <v>0</v>
      </c>
      <c r="N7" s="15">
        <v>0</v>
      </c>
      <c r="O7" s="11">
        <v>0</v>
      </c>
      <c r="P7" s="11">
        <v>0</v>
      </c>
      <c r="Q7" s="11">
        <v>0</v>
      </c>
      <c r="R7" s="11">
        <v>1</v>
      </c>
      <c r="S7" s="11"/>
      <c r="T7" s="11">
        <v>0</v>
      </c>
      <c r="U7" s="11">
        <v>0</v>
      </c>
      <c r="V7" s="11">
        <v>1</v>
      </c>
      <c r="W7" s="14"/>
      <c r="X7" s="14"/>
      <c r="Y7" s="14"/>
    </row>
    <row r="8" spans="1:25" ht="26.4">
      <c r="A8" s="69">
        <v>1</v>
      </c>
      <c r="B8" s="64" t="s">
        <v>1070</v>
      </c>
      <c r="C8" s="11">
        <v>8</v>
      </c>
      <c r="D8" s="65">
        <v>7</v>
      </c>
      <c r="E8" s="66">
        <v>43491</v>
      </c>
      <c r="F8" s="13" t="str">
        <f>HYPERLINK("http://www.tribunnews.com/pilpres-2019/2019/01/26/pdip-pasuruan-siap-menangkan-jokowi-maruf-70-persen ","sumber")</f>
        <v>sumber</v>
      </c>
      <c r="G8" s="13" t="str">
        <f>HYPERLINK("https://drive.google.com/open?id=1SJn7PqD3T_K8QrNgOuynFWXyZj-59PJ3","lokasi")</f>
        <v>lokasi</v>
      </c>
      <c r="H8" s="65">
        <v>250</v>
      </c>
      <c r="I8" s="67">
        <v>5</v>
      </c>
      <c r="J8" s="11">
        <v>4</v>
      </c>
      <c r="K8" s="70" t="s">
        <v>1071</v>
      </c>
      <c r="L8" s="11">
        <v>0</v>
      </c>
      <c r="M8" s="11">
        <v>0</v>
      </c>
      <c r="N8" s="15">
        <v>0</v>
      </c>
      <c r="O8" s="11">
        <v>0</v>
      </c>
      <c r="P8" s="11">
        <v>0</v>
      </c>
      <c r="Q8" s="11">
        <v>0</v>
      </c>
      <c r="R8" s="11">
        <v>0</v>
      </c>
      <c r="S8" s="11"/>
      <c r="T8" s="11">
        <v>0</v>
      </c>
      <c r="U8" s="11">
        <v>0</v>
      </c>
      <c r="V8" s="11">
        <v>1</v>
      </c>
      <c r="W8" s="14"/>
      <c r="X8" s="14"/>
      <c r="Y8" s="14"/>
    </row>
    <row r="9" spans="1:25" ht="13.2">
      <c r="A9" s="73">
        <v>2</v>
      </c>
      <c r="B9" s="74" t="s">
        <v>1072</v>
      </c>
      <c r="C9" s="18">
        <v>9</v>
      </c>
      <c r="D9" s="75">
        <v>8</v>
      </c>
      <c r="E9" s="76">
        <v>43496</v>
      </c>
      <c r="F9" s="20" t="str">
        <f>HYPERLINK("https://www.suara.com/news/2019/01/31/124937/didampingi-istri-wapres-ibu-negara-kunjungan-kerja-ke-aceh ","sumber")</f>
        <v>sumber</v>
      </c>
      <c r="G9" s="18" t="s">
        <v>1</v>
      </c>
      <c r="H9" s="75">
        <v>166</v>
      </c>
      <c r="I9" s="77"/>
      <c r="J9" s="18">
        <v>4</v>
      </c>
      <c r="K9" s="78"/>
      <c r="L9" s="19"/>
      <c r="M9" s="19"/>
      <c r="N9" s="19"/>
      <c r="O9" s="19"/>
      <c r="P9" s="19"/>
      <c r="Q9" s="18"/>
      <c r="R9" s="79"/>
      <c r="S9" s="18"/>
      <c r="T9" s="19"/>
      <c r="U9" s="19"/>
      <c r="V9" s="19"/>
      <c r="W9" s="19"/>
      <c r="X9" s="19"/>
      <c r="Y9" s="19"/>
    </row>
    <row r="10" spans="1:25" ht="39.6">
      <c r="A10" s="73">
        <v>2</v>
      </c>
      <c r="B10" s="74" t="s">
        <v>317</v>
      </c>
      <c r="C10" s="18">
        <v>10</v>
      </c>
      <c r="D10" s="75">
        <v>1</v>
      </c>
      <c r="E10" s="76">
        <v>43498</v>
      </c>
      <c r="F10" s="20" t="str">
        <f>HYPERLINK("https://news.detik.com/bbc-world/d-4411681/kisah-perjalanan-udara-yang-menentukan-revolusi-islam-iran ","sumber")</f>
        <v>sumber</v>
      </c>
      <c r="G10" s="20" t="str">
        <f>HYPERLINK("https://drive.google.com/open?id=1TNeUr8bLzj8ILS9BqJBiPBdVqhZBaNMh","lokasi")</f>
        <v>lokasi</v>
      </c>
      <c r="H10" s="75">
        <v>836</v>
      </c>
      <c r="I10" s="91">
        <v>5</v>
      </c>
      <c r="J10" s="18">
        <v>4</v>
      </c>
      <c r="K10" s="92" t="s">
        <v>1073</v>
      </c>
      <c r="L10" s="18">
        <v>0</v>
      </c>
      <c r="M10" s="18">
        <v>0</v>
      </c>
      <c r="N10" s="27">
        <v>0</v>
      </c>
      <c r="O10" s="18">
        <v>0</v>
      </c>
      <c r="P10" s="18">
        <v>0</v>
      </c>
      <c r="Q10" s="18">
        <v>2</v>
      </c>
      <c r="R10" s="18">
        <v>1</v>
      </c>
      <c r="S10" s="18"/>
      <c r="T10" s="18">
        <v>0</v>
      </c>
      <c r="U10" s="18">
        <v>0</v>
      </c>
      <c r="V10" s="18">
        <v>0</v>
      </c>
      <c r="W10" s="19"/>
      <c r="X10" s="19"/>
      <c r="Y10" s="19"/>
    </row>
    <row r="11" spans="1:25" ht="92.4">
      <c r="A11" s="69">
        <v>1</v>
      </c>
      <c r="B11" s="64" t="s">
        <v>1074</v>
      </c>
      <c r="C11" s="11">
        <v>11</v>
      </c>
      <c r="D11" s="65">
        <v>4</v>
      </c>
      <c r="E11" s="66">
        <v>43502</v>
      </c>
      <c r="F11" s="13" t="str">
        <f>HYPERLINK("https://www.liputan6.com/news/read/3888133/minggu-berdarah-jemaah-ahmadiyah-di-cikeusik-8-tahun-silam ","sumber")</f>
        <v>sumber</v>
      </c>
      <c r="G11" s="13" t="str">
        <f>HYPERLINK("https://drive.google.com/open?id=1AnF_hip8xsJGjg7coVAA49Qyd3SYIFva","lokasi")</f>
        <v>lokasi</v>
      </c>
      <c r="H11" s="65">
        <v>676</v>
      </c>
      <c r="I11" s="67">
        <v>1</v>
      </c>
      <c r="J11" s="11">
        <v>4</v>
      </c>
      <c r="K11" s="70" t="s">
        <v>1075</v>
      </c>
      <c r="L11" s="11">
        <v>0</v>
      </c>
      <c r="M11" s="11">
        <v>1</v>
      </c>
      <c r="N11" s="15">
        <v>0</v>
      </c>
      <c r="O11" s="11">
        <v>0</v>
      </c>
      <c r="P11" s="11">
        <v>0</v>
      </c>
      <c r="Q11" s="11" t="s">
        <v>21</v>
      </c>
      <c r="R11" s="11" t="s">
        <v>739</v>
      </c>
      <c r="S11" s="11"/>
      <c r="T11" s="11">
        <v>0</v>
      </c>
      <c r="U11" s="11">
        <v>0</v>
      </c>
      <c r="V11" s="11">
        <v>1</v>
      </c>
      <c r="W11" s="14"/>
      <c r="X11" s="14"/>
      <c r="Y11" s="14"/>
    </row>
    <row r="12" spans="1:25" ht="13.2">
      <c r="A12" s="73">
        <v>2</v>
      </c>
      <c r="B12" s="74" t="s">
        <v>1076</v>
      </c>
      <c r="C12" s="18">
        <v>12</v>
      </c>
      <c r="D12" s="75">
        <v>1</v>
      </c>
      <c r="E12" s="76">
        <v>43504</v>
      </c>
      <c r="F12" s="20" t="str">
        <f>HYPERLINK("https://news.detik.com/kolom/d-4419440/kotak-kotak-takdir ","sumber")</f>
        <v>sumber</v>
      </c>
      <c r="G12" s="18" t="s">
        <v>1</v>
      </c>
      <c r="H12" s="75">
        <v>1189</v>
      </c>
      <c r="I12" s="91"/>
      <c r="J12" s="18">
        <v>4</v>
      </c>
      <c r="K12" s="78"/>
      <c r="L12" s="19"/>
      <c r="M12" s="19"/>
      <c r="N12" s="19"/>
      <c r="O12" s="19"/>
      <c r="P12" s="19"/>
      <c r="Q12" s="18"/>
      <c r="R12" s="79"/>
      <c r="S12" s="18"/>
      <c r="T12" s="19"/>
      <c r="U12" s="19"/>
      <c r="V12" s="19"/>
      <c r="W12" s="19"/>
      <c r="X12" s="19"/>
      <c r="Y12" s="19"/>
    </row>
    <row r="13" spans="1:25" ht="13.2">
      <c r="A13" s="69">
        <v>1</v>
      </c>
      <c r="B13" s="64" t="s">
        <v>1077</v>
      </c>
      <c r="C13" s="11">
        <v>13</v>
      </c>
      <c r="D13" s="65">
        <v>1</v>
      </c>
      <c r="E13" s="66">
        <v>43508</v>
      </c>
      <c r="F13" s="13" t="str">
        <f>HYPERLINK("https://news.detik.com/bbc-world/d-4423984/beda-iran-sebelum-dan-sesudah-revolusi-tahun-1979 ","sumber")</f>
        <v>sumber</v>
      </c>
      <c r="G13" s="13" t="str">
        <f>HYPERLINK("https://drive.google.com/open?id=1DpPWD-DR19lab58JC10gnaSvbp78CQ4V","lokasi")</f>
        <v>lokasi</v>
      </c>
      <c r="H13" s="65">
        <v>799</v>
      </c>
      <c r="I13" s="67">
        <v>5</v>
      </c>
      <c r="J13" s="11">
        <v>4</v>
      </c>
      <c r="K13" s="11"/>
      <c r="L13" s="11">
        <v>0</v>
      </c>
      <c r="M13" s="11">
        <v>0</v>
      </c>
      <c r="N13" s="15">
        <v>0</v>
      </c>
      <c r="O13" s="11">
        <v>0</v>
      </c>
      <c r="P13" s="11">
        <v>0</v>
      </c>
      <c r="Q13" s="11"/>
      <c r="R13" s="11"/>
      <c r="S13" s="11"/>
      <c r="T13" s="11">
        <v>0</v>
      </c>
      <c r="U13" s="11">
        <v>0</v>
      </c>
      <c r="V13" s="11">
        <v>1</v>
      </c>
      <c r="W13" s="14"/>
      <c r="X13" s="14"/>
      <c r="Y13" s="14"/>
    </row>
    <row r="14" spans="1:25" ht="26.4">
      <c r="A14" s="63">
        <v>1</v>
      </c>
      <c r="B14" s="64" t="s">
        <v>1078</v>
      </c>
      <c r="C14" s="11">
        <v>14</v>
      </c>
      <c r="D14" s="65">
        <v>1</v>
      </c>
      <c r="E14" s="66">
        <v>43510</v>
      </c>
      <c r="F14" s="13" t="str">
        <f>HYPERLINK("https://news.detik.com/bbc-world/d-4427421/militan-sunni-klaim-aksi-bom-tewaskan-27-anggota-garda-revolusi-iran ","sumber")</f>
        <v>sumber</v>
      </c>
      <c r="G14" s="13" t="str">
        <f>HYPERLINK("https://drive.google.com/open?id=1BmSdJq_UwqVzOoIiDQ5vI8w0jxBu68GM","lokasi")</f>
        <v>lokasi</v>
      </c>
      <c r="H14" s="65">
        <v>465</v>
      </c>
      <c r="I14" s="67">
        <v>1</v>
      </c>
      <c r="J14" s="11">
        <v>4</v>
      </c>
      <c r="K14" s="70" t="s">
        <v>1079</v>
      </c>
      <c r="L14" s="11">
        <v>0</v>
      </c>
      <c r="M14" s="11">
        <v>1</v>
      </c>
      <c r="N14" s="15">
        <v>0</v>
      </c>
      <c r="O14" s="11">
        <v>0</v>
      </c>
      <c r="P14" s="11">
        <v>0</v>
      </c>
      <c r="Q14" s="11">
        <v>0</v>
      </c>
      <c r="R14" s="11">
        <v>0</v>
      </c>
      <c r="S14" s="11"/>
      <c r="T14" s="11">
        <v>0</v>
      </c>
      <c r="U14" s="11">
        <v>0</v>
      </c>
      <c r="V14" s="11">
        <v>1</v>
      </c>
      <c r="W14" s="14"/>
      <c r="X14" s="14"/>
      <c r="Y14" s="14"/>
    </row>
    <row r="15" spans="1:25" ht="26.4">
      <c r="A15" s="73">
        <v>2</v>
      </c>
      <c r="B15" s="74" t="s">
        <v>1080</v>
      </c>
      <c r="C15" s="18">
        <v>15</v>
      </c>
      <c r="D15" s="75">
        <v>3</v>
      </c>
      <c r="E15" s="76">
        <v>43510</v>
      </c>
      <c r="F15" s="20" t="str">
        <f>HYPERLINK("https://news.okezone.com/read/2019/02/14/18/2017695/pengebom-bunuh-diri-sasar-garda-revolusi-iran-kelompok-sunni-klaim-bertanggung-jawab ","sumber")</f>
        <v>sumber</v>
      </c>
      <c r="G15" s="20" t="str">
        <f>HYPERLINK("https://drive.google.com/open?id=1WSS9CBSssP8WrLTVsNvdzXSbTAcW7ybC","lokasi")</f>
        <v>lokasi</v>
      </c>
      <c r="H15" s="75">
        <v>464</v>
      </c>
      <c r="I15" s="91">
        <v>1</v>
      </c>
      <c r="J15" s="18">
        <v>4</v>
      </c>
      <c r="K15" s="92" t="s">
        <v>1079</v>
      </c>
      <c r="L15" s="18">
        <v>0</v>
      </c>
      <c r="M15" s="18">
        <v>1</v>
      </c>
      <c r="N15" s="27">
        <v>0</v>
      </c>
      <c r="O15" s="18">
        <v>0</v>
      </c>
      <c r="P15" s="18">
        <v>0</v>
      </c>
      <c r="Q15" s="18">
        <v>0</v>
      </c>
      <c r="R15" s="18">
        <v>0</v>
      </c>
      <c r="S15" s="18"/>
      <c r="T15" s="18">
        <v>0</v>
      </c>
      <c r="U15" s="18">
        <v>0</v>
      </c>
      <c r="V15" s="18">
        <v>1</v>
      </c>
      <c r="W15" s="19"/>
      <c r="X15" s="19"/>
      <c r="Y15" s="19"/>
    </row>
    <row r="16" spans="1:25" ht="13.2">
      <c r="A16" s="73">
        <v>2</v>
      </c>
      <c r="B16" s="74" t="s">
        <v>1081</v>
      </c>
      <c r="C16" s="18">
        <v>16</v>
      </c>
      <c r="D16" s="75">
        <v>4</v>
      </c>
      <c r="E16" s="76">
        <v>43518</v>
      </c>
      <c r="F16" s="20" t="str">
        <f>HYPERLINK("https://www.liputan6.com/regional/read/3901169/top-3-berita-hari-ini-warga-bandung-terima-e-ktp-pertama-dengan-kolom-kepercayaan ","sumber")</f>
        <v>sumber</v>
      </c>
      <c r="G16" s="18" t="s">
        <v>1</v>
      </c>
      <c r="H16" s="75">
        <v>421</v>
      </c>
      <c r="I16" s="77"/>
      <c r="J16" s="18">
        <v>4</v>
      </c>
      <c r="K16" s="78"/>
      <c r="L16" s="19"/>
      <c r="M16" s="19"/>
      <c r="N16" s="19"/>
      <c r="O16" s="19"/>
      <c r="P16" s="19"/>
      <c r="Q16" s="18"/>
      <c r="R16" s="79"/>
      <c r="S16" s="18"/>
      <c r="T16" s="19"/>
      <c r="U16" s="19"/>
      <c r="V16" s="19"/>
      <c r="W16" s="19"/>
      <c r="X16" s="19"/>
      <c r="Y16" s="19"/>
    </row>
    <row r="17" spans="1:25" ht="13.2">
      <c r="A17" s="73">
        <v>2</v>
      </c>
      <c r="B17" s="74" t="s">
        <v>1082</v>
      </c>
      <c r="C17" s="18">
        <v>17</v>
      </c>
      <c r="D17" s="75">
        <v>7</v>
      </c>
      <c r="E17" s="76">
        <v>43525</v>
      </c>
      <c r="F17" s="20" t="str">
        <f>HYPERLINK("http://www.tribunnews.com/section/2019/03/01/pendaftaran-utbk-dibuka-hari-ini-berikut-daftar-perguruan-tinggi-negeri-di-indonesia-beserta-link ","sumber")</f>
        <v>sumber</v>
      </c>
      <c r="G17" s="18" t="s">
        <v>1</v>
      </c>
      <c r="H17" s="75">
        <v>216</v>
      </c>
      <c r="I17" s="77"/>
      <c r="J17" s="18">
        <v>4</v>
      </c>
      <c r="K17" s="78"/>
      <c r="L17" s="19"/>
      <c r="M17" s="19"/>
      <c r="N17" s="19"/>
      <c r="O17" s="19"/>
      <c r="P17" s="19"/>
      <c r="Q17" s="18"/>
      <c r="R17" s="79"/>
      <c r="S17" s="18"/>
      <c r="T17" s="19"/>
      <c r="U17" s="19"/>
      <c r="V17" s="19"/>
      <c r="W17" s="19"/>
      <c r="X17" s="19"/>
      <c r="Y17" s="19"/>
    </row>
    <row r="18" spans="1:25" ht="26.4">
      <c r="A18" s="73">
        <v>2</v>
      </c>
      <c r="B18" s="74" t="s">
        <v>1083</v>
      </c>
      <c r="C18" s="18">
        <v>18</v>
      </c>
      <c r="D18" s="75">
        <v>9</v>
      </c>
      <c r="E18" s="76">
        <v>43529</v>
      </c>
      <c r="F18" s="20" t="str">
        <f>HYPERLINK("https://internasional.republika.co.id/berita/internasional/timur-tengah/pnw0r8377/houthi-inggris-coba-gelincirkan-kesepakatan-perdamaian ","sumber")</f>
        <v>sumber</v>
      </c>
      <c r="G18" s="20" t="str">
        <f>HYPERLINK("https://drive.google.com/open?id=1sEuMJMhvAZM4Y7Cdcp9HlSsCheNvdgOR","lokasi")</f>
        <v>lokasi</v>
      </c>
      <c r="H18" s="75">
        <v>291</v>
      </c>
      <c r="I18" s="91">
        <v>1</v>
      </c>
      <c r="J18" s="18">
        <v>4</v>
      </c>
      <c r="K18" s="92" t="s">
        <v>1084</v>
      </c>
      <c r="L18" s="18">
        <v>0</v>
      </c>
      <c r="M18" s="18">
        <v>1</v>
      </c>
      <c r="N18" s="27">
        <v>0</v>
      </c>
      <c r="O18" s="18">
        <v>0</v>
      </c>
      <c r="P18" s="18">
        <v>0</v>
      </c>
      <c r="Q18" s="18">
        <v>0</v>
      </c>
      <c r="R18" s="18">
        <v>1</v>
      </c>
      <c r="S18" s="18"/>
      <c r="T18" s="18">
        <v>0</v>
      </c>
      <c r="U18" s="18">
        <v>0</v>
      </c>
      <c r="V18" s="18">
        <v>1</v>
      </c>
      <c r="W18" s="19"/>
      <c r="X18" s="19"/>
      <c r="Y18" s="19"/>
    </row>
    <row r="19" spans="1:25" ht="13.2">
      <c r="A19" s="73">
        <v>2</v>
      </c>
      <c r="B19" s="74" t="s">
        <v>1085</v>
      </c>
      <c r="C19" s="18">
        <v>19</v>
      </c>
      <c r="D19" s="75">
        <v>3</v>
      </c>
      <c r="E19" s="76">
        <v>43535</v>
      </c>
      <c r="F19" s="20" t="str">
        <f>HYPERLINK("https://economy.okezone.com/read/2019/03/11/320/2028419/ada-jalan-rusak-menteri-basuki-minta-koordinasi-pusat-dan-daerah-ditingkatkan ","sumber")</f>
        <v>sumber</v>
      </c>
      <c r="G19" s="18" t="s">
        <v>1</v>
      </c>
      <c r="H19" s="75">
        <v>256</v>
      </c>
      <c r="I19" s="77"/>
      <c r="J19" s="18">
        <v>4</v>
      </c>
      <c r="K19" s="18"/>
      <c r="L19" s="19"/>
      <c r="M19" s="19"/>
      <c r="N19" s="19"/>
      <c r="O19" s="19"/>
      <c r="P19" s="19"/>
      <c r="Q19" s="18"/>
      <c r="R19" s="79"/>
      <c r="S19" s="18"/>
      <c r="T19" s="19"/>
      <c r="U19" s="19"/>
      <c r="V19" s="19"/>
      <c r="W19" s="19"/>
      <c r="X19" s="19"/>
      <c r="Y19" s="19"/>
    </row>
    <row r="20" spans="1:25" ht="52.8">
      <c r="A20" s="69">
        <v>1</v>
      </c>
      <c r="B20" s="64" t="s">
        <v>1086</v>
      </c>
      <c r="C20" s="11">
        <v>20</v>
      </c>
      <c r="D20" s="65">
        <v>7</v>
      </c>
      <c r="E20" s="66">
        <v>43537</v>
      </c>
      <c r="F20" s="13" t="str">
        <f>HYPERLINK("http://www.tribunnews.com/nasional/2019/03/13/abi-luncurkan-buku-manifesto-ormas-islam-ahlulbait ","sumber")</f>
        <v>sumber</v>
      </c>
      <c r="G20" s="13" t="str">
        <f>HYPERLINK("https://drive.google.com/open?id=163PtZz0sMBBDOF2xYnrRgi992aoiEEg-","lokasi")</f>
        <v>lokasi</v>
      </c>
      <c r="H20" s="65">
        <v>369</v>
      </c>
      <c r="I20" s="67">
        <v>2</v>
      </c>
      <c r="J20" s="11">
        <v>4</v>
      </c>
      <c r="K20" s="70" t="s">
        <v>1087</v>
      </c>
      <c r="L20" s="11">
        <v>0</v>
      </c>
      <c r="M20" s="11">
        <v>0</v>
      </c>
      <c r="N20" s="15">
        <v>0</v>
      </c>
      <c r="O20" s="11">
        <v>0</v>
      </c>
      <c r="P20" s="11">
        <v>0</v>
      </c>
      <c r="Q20" s="11" t="s">
        <v>160</v>
      </c>
      <c r="R20" s="11" t="s">
        <v>160</v>
      </c>
      <c r="S20" s="11"/>
      <c r="T20" s="11">
        <v>0</v>
      </c>
      <c r="U20" s="11">
        <v>0</v>
      </c>
      <c r="V20" s="11">
        <v>0</v>
      </c>
      <c r="W20" s="14"/>
      <c r="X20" s="14"/>
      <c r="Y20" s="14"/>
    </row>
    <row r="21" spans="1:25" ht="13.2">
      <c r="A21" s="69">
        <v>1</v>
      </c>
      <c r="B21" s="64" t="s">
        <v>1088</v>
      </c>
      <c r="C21" s="11">
        <v>21</v>
      </c>
      <c r="D21" s="65">
        <v>10</v>
      </c>
      <c r="E21" s="66">
        <v>43540</v>
      </c>
      <c r="F21" s="13" t="str">
        <f>HYPERLINK("https://dunia.tempo.co/read/1185878/4-masjid-ini-pernah-menjadi-sasaran-serangan-teror ","sumber")</f>
        <v>sumber</v>
      </c>
      <c r="G21" s="13" t="str">
        <f>HYPERLINK("https://drive.google.com/open?id=14oDsnM9gZMkz3BamNrrh7paeCATgq-Fb","lokasi")</f>
        <v>lokasi</v>
      </c>
      <c r="H21" s="65">
        <v>413</v>
      </c>
      <c r="I21" s="67">
        <v>1</v>
      </c>
      <c r="J21" s="11">
        <v>4</v>
      </c>
      <c r="K21" s="11"/>
      <c r="L21" s="11">
        <v>0</v>
      </c>
      <c r="M21" s="28">
        <v>0</v>
      </c>
      <c r="N21" s="15">
        <v>0</v>
      </c>
      <c r="O21" s="11">
        <v>0</v>
      </c>
      <c r="P21" s="11">
        <v>0</v>
      </c>
      <c r="Q21" s="11"/>
      <c r="R21" s="11"/>
      <c r="S21" s="11"/>
      <c r="T21" s="11">
        <v>0</v>
      </c>
      <c r="U21" s="11">
        <v>0</v>
      </c>
      <c r="V21" s="11">
        <v>1</v>
      </c>
      <c r="W21" s="14"/>
      <c r="X21" s="14"/>
      <c r="Y21" s="14"/>
    </row>
    <row r="22" spans="1:25" ht="26.4">
      <c r="A22" s="69">
        <v>1</v>
      </c>
      <c r="B22" s="64" t="s">
        <v>1089</v>
      </c>
      <c r="C22" s="11">
        <v>22</v>
      </c>
      <c r="D22" s="65">
        <v>5</v>
      </c>
      <c r="E22" s="66">
        <v>43541</v>
      </c>
      <c r="F22" s="13" t="str">
        <f>HYPERLINK("https://tirto.id/debat-cawapres-ma039ruf-negara-telah-hadir-untuk-atasi-masalah-djGN ","sumber")</f>
        <v>sumber</v>
      </c>
      <c r="G22" s="13" t="str">
        <f>HYPERLINK("https://drive.google.com/open?id=1Ta3dY0ieHYbdTUaDgmSIHncQNWqFUB-y","lokasi")</f>
        <v>lokasi</v>
      </c>
      <c r="H22" s="65">
        <v>420</v>
      </c>
      <c r="I22" s="67">
        <v>4</v>
      </c>
      <c r="J22" s="11">
        <v>4</v>
      </c>
      <c r="K22" s="70" t="s">
        <v>1090</v>
      </c>
      <c r="L22" s="11">
        <v>0</v>
      </c>
      <c r="M22" s="11">
        <v>0</v>
      </c>
      <c r="N22" s="15">
        <v>0</v>
      </c>
      <c r="O22" s="11">
        <v>0</v>
      </c>
      <c r="P22" s="11">
        <v>0</v>
      </c>
      <c r="Q22" s="11">
        <v>0</v>
      </c>
      <c r="R22" s="11">
        <v>1</v>
      </c>
      <c r="S22" s="11"/>
      <c r="T22" s="11">
        <v>0</v>
      </c>
      <c r="U22" s="11">
        <v>0</v>
      </c>
      <c r="V22" s="11">
        <v>1</v>
      </c>
      <c r="W22" s="14"/>
      <c r="X22" s="14"/>
      <c r="Y22" s="14"/>
    </row>
    <row r="23" spans="1:25" ht="26.4">
      <c r="A23" s="80">
        <v>1</v>
      </c>
      <c r="B23" s="81" t="s">
        <v>1091</v>
      </c>
      <c r="C23" s="82">
        <v>23</v>
      </c>
      <c r="D23" s="83">
        <v>1</v>
      </c>
      <c r="E23" s="84">
        <v>43537</v>
      </c>
      <c r="F23" s="85" t="str">
        <f>HYPERLINK("https://news.detik.com/abc-australia/d-4465345/mengapa-selalu-saja-ada-orang-yang-mengaku-nabi-di-indonesia","sumber")</f>
        <v>sumber</v>
      </c>
      <c r="G23" s="85" t="str">
        <f>HYPERLINK("https://drive.google.com/open?id=15K5sriRJOw0JTPqD9yRZzl0fwZcfdV8X","lokasi")</f>
        <v>lokasi</v>
      </c>
      <c r="H23" s="83">
        <v>743</v>
      </c>
      <c r="I23" s="86">
        <v>2</v>
      </c>
      <c r="J23" s="82">
        <v>4</v>
      </c>
      <c r="K23" s="87" t="s">
        <v>1092</v>
      </c>
      <c r="L23" s="82">
        <v>0</v>
      </c>
      <c r="M23" s="82">
        <v>0</v>
      </c>
      <c r="N23" s="88">
        <v>0</v>
      </c>
      <c r="O23" s="82">
        <v>0</v>
      </c>
      <c r="P23" s="82">
        <v>0</v>
      </c>
      <c r="Q23" s="82" t="s">
        <v>87</v>
      </c>
      <c r="R23" s="89" t="s">
        <v>182</v>
      </c>
      <c r="S23" s="82" t="s">
        <v>1093</v>
      </c>
      <c r="T23" s="82">
        <v>1</v>
      </c>
      <c r="U23" s="82">
        <v>-1</v>
      </c>
      <c r="V23" s="82">
        <v>1</v>
      </c>
      <c r="W23" s="90"/>
      <c r="X23" s="90"/>
      <c r="Y23" s="90"/>
    </row>
    <row r="24" spans="1:25" ht="13.2">
      <c r="A24" s="73">
        <v>2</v>
      </c>
      <c r="B24" s="74" t="s">
        <v>1094</v>
      </c>
      <c r="C24" s="18">
        <v>24</v>
      </c>
      <c r="D24" s="75">
        <v>7</v>
      </c>
      <c r="E24" s="76">
        <v>43548</v>
      </c>
      <c r="F24" s="20" t="str">
        <f>HYPERLINK("http://www.tribunnews.com/regional/2019/03/24/indonesia-one-health-university-network-gelar-pelatihan-manajemen-biorisiko-laboratorium ","sumber")</f>
        <v>sumber</v>
      </c>
      <c r="G24" s="18" t="s">
        <v>1</v>
      </c>
      <c r="H24" s="75">
        <v>365</v>
      </c>
      <c r="I24" s="77"/>
      <c r="J24" s="18">
        <v>4</v>
      </c>
      <c r="K24" s="18"/>
      <c r="L24" s="19"/>
      <c r="M24" s="19"/>
      <c r="N24" s="19"/>
      <c r="O24" s="19"/>
      <c r="P24" s="19"/>
      <c r="Q24" s="18"/>
      <c r="R24" s="79"/>
      <c r="S24" s="18"/>
      <c r="T24" s="19"/>
      <c r="U24" s="19"/>
      <c r="V24" s="19"/>
      <c r="W24" s="19"/>
      <c r="X24" s="19"/>
      <c r="Y24" s="19"/>
    </row>
    <row r="25" spans="1:25" ht="13.2">
      <c r="A25" s="80">
        <v>1</v>
      </c>
      <c r="B25" s="81" t="s">
        <v>1095</v>
      </c>
      <c r="C25" s="82">
        <v>25</v>
      </c>
      <c r="D25" s="83">
        <v>6</v>
      </c>
      <c r="E25" s="84">
        <v>43536</v>
      </c>
      <c r="F25" s="85" t="str">
        <f>HYPERLINK("https://nasional.kompas.com/read/2019/03/12/09305941/partai-partai-seharusnya-juga-diberi-kesempatan-debat-untuk-adu-gagasan","sumber")</f>
        <v>sumber</v>
      </c>
      <c r="G25" s="85" t="str">
        <f>HYPERLINK("https://drive.google.com/open?id=15K5sriRJOw0JTPqD9yRZzl0fwZcfdV8X","lokasi")</f>
        <v>lokasi</v>
      </c>
      <c r="H25" s="83">
        <v>264</v>
      </c>
      <c r="I25" s="86">
        <v>2</v>
      </c>
      <c r="J25" s="82">
        <v>4</v>
      </c>
      <c r="K25" s="87" t="s">
        <v>1096</v>
      </c>
      <c r="L25" s="82">
        <v>0</v>
      </c>
      <c r="M25" s="82">
        <v>0</v>
      </c>
      <c r="N25" s="88">
        <v>0</v>
      </c>
      <c r="O25" s="82">
        <v>0</v>
      </c>
      <c r="P25" s="82">
        <v>0</v>
      </c>
      <c r="Q25" s="82">
        <v>0</v>
      </c>
      <c r="R25" s="89">
        <v>0</v>
      </c>
      <c r="S25" s="82"/>
      <c r="T25" s="82">
        <v>0</v>
      </c>
      <c r="U25" s="82">
        <v>0</v>
      </c>
      <c r="V25" s="82">
        <v>1</v>
      </c>
      <c r="W25" s="90"/>
      <c r="X25" s="90"/>
      <c r="Y25" s="90"/>
    </row>
    <row r="26" spans="1:25" ht="52.8">
      <c r="A26" s="69">
        <v>1</v>
      </c>
      <c r="B26" s="64" t="s">
        <v>339</v>
      </c>
      <c r="C26" s="11">
        <v>26</v>
      </c>
      <c r="D26" s="65">
        <v>5</v>
      </c>
      <c r="E26" s="66">
        <v>43551</v>
      </c>
      <c r="F26" s="13" t="str">
        <f>HYPERLINK("https://tirto.id/kontras-nilai-hilangnya-ruth-rudangta-di-malaysia-bukan-kasus-biasa-dknP ","sumber")</f>
        <v>sumber</v>
      </c>
      <c r="G26" s="13" t="str">
        <f>HYPERLINK("https://drive.google.com/open?id=10282HITuM8KSSqmiI7-iVyRt9Ww8mBFN","lokasi")</f>
        <v>lokasi</v>
      </c>
      <c r="H26" s="65">
        <v>343</v>
      </c>
      <c r="I26" s="67">
        <v>1</v>
      </c>
      <c r="J26" s="11">
        <v>4</v>
      </c>
      <c r="K26" s="70" t="s">
        <v>1097</v>
      </c>
      <c r="L26" s="11">
        <v>0</v>
      </c>
      <c r="M26" s="11">
        <v>1</v>
      </c>
      <c r="N26" s="15">
        <v>0</v>
      </c>
      <c r="O26" s="11">
        <v>0</v>
      </c>
      <c r="P26" s="11">
        <v>0</v>
      </c>
      <c r="Q26" s="11" t="s">
        <v>29</v>
      </c>
      <c r="R26" s="11" t="s">
        <v>160</v>
      </c>
      <c r="S26" s="11"/>
      <c r="T26" s="11">
        <v>0</v>
      </c>
      <c r="U26" s="11">
        <v>0</v>
      </c>
      <c r="V26" s="11">
        <v>1</v>
      </c>
      <c r="W26" s="14"/>
      <c r="X26" s="14"/>
      <c r="Y26" s="14"/>
    </row>
    <row r="27" spans="1:25" ht="26.4">
      <c r="A27" s="69">
        <v>1</v>
      </c>
      <c r="B27" s="64" t="s">
        <v>1098</v>
      </c>
      <c r="C27" s="11">
        <v>27</v>
      </c>
      <c r="D27" s="65">
        <v>1</v>
      </c>
      <c r="E27" s="66">
        <v>43556</v>
      </c>
      <c r="F27" s="13" t="str">
        <f>HYPERLINK("https://news.detik.com/berita/d-4493134/kpu-akan-gelar-doa-bersama-di-debat-pamungkas-pilpres ","sumber")</f>
        <v>sumber</v>
      </c>
      <c r="G27" s="13" t="str">
        <f>HYPERLINK("https://drive.google.com/open?id=17M7mkqm4AoL6YI9eaeLRawKhe7-ocNf2","lokasi")</f>
        <v>lokasi</v>
      </c>
      <c r="H27" s="65">
        <v>273</v>
      </c>
      <c r="I27" s="67">
        <v>2</v>
      </c>
      <c r="J27" s="11">
        <v>4</v>
      </c>
      <c r="K27" s="70" t="s">
        <v>1099</v>
      </c>
      <c r="L27" s="11">
        <v>0</v>
      </c>
      <c r="M27" s="11">
        <v>0</v>
      </c>
      <c r="N27" s="15">
        <v>0</v>
      </c>
      <c r="O27" s="11">
        <v>0</v>
      </c>
      <c r="P27" s="11">
        <v>0</v>
      </c>
      <c r="Q27" s="11">
        <v>0</v>
      </c>
      <c r="R27" s="11">
        <v>0</v>
      </c>
      <c r="S27" s="11"/>
      <c r="T27" s="11">
        <v>0</v>
      </c>
      <c r="U27" s="11">
        <v>0</v>
      </c>
      <c r="V27" s="11">
        <v>1</v>
      </c>
      <c r="W27" s="14"/>
      <c r="X27" s="14"/>
      <c r="Y27" s="14"/>
    </row>
    <row r="28" spans="1:25" ht="52.8">
      <c r="A28" s="69">
        <v>1</v>
      </c>
      <c r="B28" s="64" t="s">
        <v>340</v>
      </c>
      <c r="C28" s="11">
        <v>28</v>
      </c>
      <c r="D28" s="65">
        <v>10</v>
      </c>
      <c r="E28" s="66">
        <v>43557</v>
      </c>
      <c r="F28" s="13" t="str">
        <f>HYPERLINK("https://nasional.tempo.co/read/1191776/pelukis-ditolak-ngontrak-di-yogyakarta-tokoh-kearifan-lokal ","sumber")</f>
        <v>sumber</v>
      </c>
      <c r="G28" s="13" t="str">
        <f>HYPERLINK("https://drive.google.com/open?id=1PzMzzTt1x_ZzrZ6X5_veNCdt4OzXVJv8","lokasi")</f>
        <v>lokasi</v>
      </c>
      <c r="H28" s="65">
        <v>656</v>
      </c>
      <c r="I28" s="67">
        <v>1</v>
      </c>
      <c r="J28" s="11">
        <v>4</v>
      </c>
      <c r="K28" s="70" t="s">
        <v>1100</v>
      </c>
      <c r="L28" s="11">
        <v>0</v>
      </c>
      <c r="M28" s="11">
        <v>-1</v>
      </c>
      <c r="N28" s="15">
        <v>0</v>
      </c>
      <c r="O28" s="11">
        <v>0</v>
      </c>
      <c r="P28" s="11">
        <v>0</v>
      </c>
      <c r="Q28" s="11" t="s">
        <v>29</v>
      </c>
      <c r="R28" s="11" t="s">
        <v>653</v>
      </c>
      <c r="S28" s="11"/>
      <c r="T28" s="11">
        <v>0</v>
      </c>
      <c r="U28" s="11">
        <v>0</v>
      </c>
      <c r="V28" s="11">
        <v>0</v>
      </c>
      <c r="W28" s="14"/>
      <c r="X28" s="14"/>
      <c r="Y28" s="14"/>
    </row>
    <row r="29" spans="1:25" ht="39.6">
      <c r="A29" s="69">
        <v>1</v>
      </c>
      <c r="B29" s="64" t="s">
        <v>1101</v>
      </c>
      <c r="C29" s="11">
        <v>29</v>
      </c>
      <c r="D29" s="65">
        <v>5</v>
      </c>
      <c r="E29" s="66">
        <v>43560</v>
      </c>
      <c r="F29" s="13" t="str">
        <f>HYPERLINK("https://tirto.id/sekda-diy-izin-perumahan-yang-diskriminatif-harus-dievaluasi-dlgF ","sumber")</f>
        <v>sumber</v>
      </c>
      <c r="G29" s="13" t="str">
        <f>HYPERLINK("https://drive.google.com/open?id=10OIyf8k_53bWN2O196DDLkHy1aLfRLpQ","lokasi")</f>
        <v>lokasi</v>
      </c>
      <c r="H29" s="65">
        <v>516</v>
      </c>
      <c r="I29" s="67">
        <v>4</v>
      </c>
      <c r="J29" s="11">
        <v>4</v>
      </c>
      <c r="K29" s="70" t="s">
        <v>1102</v>
      </c>
      <c r="L29" s="11">
        <v>0</v>
      </c>
      <c r="M29" s="11">
        <v>0</v>
      </c>
      <c r="N29" s="15">
        <v>0</v>
      </c>
      <c r="O29" s="11">
        <v>0</v>
      </c>
      <c r="P29" s="11">
        <v>0</v>
      </c>
      <c r="Q29" s="11">
        <v>0</v>
      </c>
      <c r="R29" s="11">
        <v>0</v>
      </c>
      <c r="S29" s="11"/>
      <c r="T29" s="11">
        <v>0</v>
      </c>
      <c r="U29" s="11">
        <v>0</v>
      </c>
      <c r="V29" s="11">
        <v>1</v>
      </c>
      <c r="W29" s="14"/>
      <c r="X29" s="14"/>
      <c r="Y29" s="14"/>
    </row>
    <row r="30" spans="1:25" ht="13.2">
      <c r="A30" s="73">
        <v>2</v>
      </c>
      <c r="B30" s="74" t="s">
        <v>1103</v>
      </c>
      <c r="C30" s="18">
        <v>30</v>
      </c>
      <c r="D30" s="75">
        <v>6</v>
      </c>
      <c r="E30" s="76">
        <v>43566</v>
      </c>
      <c r="F30" s="20" t="str">
        <f>HYPERLINK("https://regional.kompas.com/read/2019/04/11/14523361/5-fakta-demo-mahasiswa-di-aceh-tolak-izin-tambang-ricuh-hingga-9-kali-tak ","sumber")</f>
        <v>sumber</v>
      </c>
      <c r="G30" s="18" t="s">
        <v>1</v>
      </c>
      <c r="H30" s="75">
        <v>374</v>
      </c>
      <c r="I30" s="77"/>
      <c r="J30" s="18">
        <v>4</v>
      </c>
      <c r="K30" s="78"/>
      <c r="L30" s="19"/>
      <c r="M30" s="19"/>
      <c r="N30" s="19"/>
      <c r="O30" s="18"/>
      <c r="P30" s="19"/>
      <c r="Q30" s="18"/>
      <c r="R30" s="79"/>
      <c r="S30" s="18"/>
      <c r="T30" s="19"/>
      <c r="U30" s="19"/>
      <c r="V30" s="19"/>
      <c r="W30" s="19"/>
      <c r="X30" s="19"/>
      <c r="Y30" s="19"/>
    </row>
    <row r="31" spans="1:25" ht="39.6">
      <c r="A31" s="69">
        <v>1</v>
      </c>
      <c r="B31" s="64" t="s">
        <v>1104</v>
      </c>
      <c r="C31" s="11">
        <v>31</v>
      </c>
      <c r="D31" s="65">
        <v>9</v>
      </c>
      <c r="E31" s="66">
        <v>43569</v>
      </c>
      <c r="F31" s="13" t="str">
        <f>HYPERLINK("https://internasional.republika.co.id/berita/internasional/timur-tengah/ppwzlo377/milisi-irak-tolak-sebutan-teroris-buat-garda-revolusi-iran ","sumber")</f>
        <v>sumber</v>
      </c>
      <c r="G31" s="13" t="str">
        <f>HYPERLINK("https://drive.google.com/open?id=1qomdfdw9S57Nm3rP6N7XD-pd81pAvfU_","lokasi")</f>
        <v>lokasi</v>
      </c>
      <c r="H31" s="65">
        <v>232</v>
      </c>
      <c r="I31" s="67">
        <v>1</v>
      </c>
      <c r="J31" s="11">
        <v>4</v>
      </c>
      <c r="K31" s="70" t="s">
        <v>1105</v>
      </c>
      <c r="L31" s="11">
        <v>0</v>
      </c>
      <c r="M31" s="11">
        <v>1</v>
      </c>
      <c r="N31" s="15">
        <v>0</v>
      </c>
      <c r="O31" s="11">
        <v>0</v>
      </c>
      <c r="P31" s="11">
        <v>0</v>
      </c>
      <c r="Q31" s="11" t="s">
        <v>160</v>
      </c>
      <c r="R31" s="11" t="s">
        <v>29</v>
      </c>
      <c r="S31" s="11"/>
      <c r="T31" s="11">
        <v>0</v>
      </c>
      <c r="U31" s="11">
        <v>0</v>
      </c>
      <c r="V31" s="11">
        <v>1</v>
      </c>
      <c r="W31" s="14"/>
      <c r="X31" s="14"/>
      <c r="Y31" s="14"/>
    </row>
    <row r="32" spans="1:25" ht="39.6">
      <c r="A32" s="69">
        <v>1</v>
      </c>
      <c r="B32" s="64" t="s">
        <v>1106</v>
      </c>
      <c r="C32" s="11">
        <v>32</v>
      </c>
      <c r="D32" s="65">
        <v>8</v>
      </c>
      <c r="E32" s="66">
        <v>43569</v>
      </c>
      <c r="F32" s="13" t="str">
        <f>HYPERLINK("https://www.suara.com/news/2019/04/14/121658/warga-ahmadiyah-dilarang-golput ","sumber")</f>
        <v>sumber</v>
      </c>
      <c r="G32" s="13" t="str">
        <f>HYPERLINK("https://drive.google.com/open?id=1q4p2FNCYq1VGke7YKwjyUt23sTFaQoEu","lokasi")</f>
        <v>lokasi</v>
      </c>
      <c r="H32" s="65">
        <v>687</v>
      </c>
      <c r="I32" s="67">
        <v>2</v>
      </c>
      <c r="J32" s="11">
        <v>4</v>
      </c>
      <c r="K32" s="70" t="s">
        <v>1107</v>
      </c>
      <c r="L32" s="11">
        <v>0</v>
      </c>
      <c r="M32" s="11">
        <v>0</v>
      </c>
      <c r="N32" s="15">
        <v>0</v>
      </c>
      <c r="O32" s="11">
        <v>0</v>
      </c>
      <c r="P32" s="11">
        <v>0</v>
      </c>
      <c r="Q32" s="11">
        <v>2</v>
      </c>
      <c r="R32" s="11">
        <v>1</v>
      </c>
      <c r="S32" s="11"/>
      <c r="T32" s="11">
        <v>0</v>
      </c>
      <c r="U32" s="11">
        <v>0</v>
      </c>
      <c r="V32" s="11">
        <v>1</v>
      </c>
      <c r="W32" s="14"/>
      <c r="X32" s="14"/>
      <c r="Y32" s="14"/>
    </row>
    <row r="33" spans="1:25" ht="13.2">
      <c r="A33" s="73">
        <v>2</v>
      </c>
      <c r="B33" s="74" t="s">
        <v>1108</v>
      </c>
      <c r="C33" s="18">
        <v>33</v>
      </c>
      <c r="D33" s="75">
        <v>10</v>
      </c>
      <c r="E33" s="76">
        <v>43570</v>
      </c>
      <c r="F33" s="20" t="str">
        <f>HYPERLINK("https://kolom.tempo.co/read/1195914/sang-khalif ","sumber")</f>
        <v>sumber</v>
      </c>
      <c r="G33" s="18" t="s">
        <v>1</v>
      </c>
      <c r="H33" s="75">
        <v>722</v>
      </c>
      <c r="I33" s="77"/>
      <c r="J33" s="18">
        <v>4</v>
      </c>
      <c r="K33" s="78"/>
      <c r="L33" s="19"/>
      <c r="M33" s="19"/>
      <c r="N33" s="19"/>
      <c r="O33" s="19"/>
      <c r="P33" s="19"/>
      <c r="Q33" s="18"/>
      <c r="R33" s="79"/>
      <c r="S33" s="18"/>
      <c r="T33" s="19"/>
      <c r="U33" s="19"/>
      <c r="V33" s="19"/>
      <c r="W33" s="19"/>
      <c r="X33" s="19"/>
      <c r="Y33" s="19"/>
    </row>
    <row r="34" spans="1:25" ht="52.8">
      <c r="A34" s="69">
        <v>1</v>
      </c>
      <c r="B34" s="64" t="s">
        <v>1109</v>
      </c>
      <c r="C34" s="11">
        <v>34</v>
      </c>
      <c r="D34" s="65">
        <v>2</v>
      </c>
      <c r="E34" s="66">
        <v>43572</v>
      </c>
      <c r="F34" s="13" t="str">
        <f>HYPERLINK("https://www.cnnindonesia.com/nasional/20190416205841-32-386971/lbh-jakarta-kedua-capres-punya-catatan-buruk-soal-ham ","sumber")</f>
        <v>sumber</v>
      </c>
      <c r="G34" s="13" t="str">
        <f>HYPERLINK("https://drive.google.com/open?id=1Bm2UFvptPQv5OxIw7B3C_HYFDT1g108T","lokasi")</f>
        <v>lokasi</v>
      </c>
      <c r="H34" s="65">
        <v>496</v>
      </c>
      <c r="I34" s="67">
        <v>4</v>
      </c>
      <c r="J34" s="11">
        <v>4</v>
      </c>
      <c r="K34" s="70" t="s">
        <v>1110</v>
      </c>
      <c r="L34" s="11">
        <v>0</v>
      </c>
      <c r="M34" s="11">
        <v>0</v>
      </c>
      <c r="N34" s="15">
        <v>0</v>
      </c>
      <c r="O34" s="11">
        <v>0</v>
      </c>
      <c r="P34" s="11">
        <v>0</v>
      </c>
      <c r="Q34" s="11" t="s">
        <v>29</v>
      </c>
      <c r="R34" s="11" t="s">
        <v>160</v>
      </c>
      <c r="S34" s="11"/>
      <c r="T34" s="11">
        <v>0</v>
      </c>
      <c r="U34" s="11">
        <v>0</v>
      </c>
      <c r="V34" s="11">
        <v>1</v>
      </c>
      <c r="W34" s="14"/>
      <c r="X34" s="14"/>
      <c r="Y34" s="14"/>
    </row>
    <row r="35" spans="1:25" ht="13.2">
      <c r="A35" s="69">
        <v>1</v>
      </c>
      <c r="B35" s="64" t="s">
        <v>1111</v>
      </c>
      <c r="C35" s="11">
        <v>35</v>
      </c>
      <c r="D35" s="65">
        <v>6</v>
      </c>
      <c r="E35" s="66">
        <v>43578</v>
      </c>
      <c r="F35" s="13" t="str">
        <f>HYPERLINK("https://internasional.kompas.com/read/2019/04/23/23040221/arab-saudi-eksekusi-37-terpidana-mati-kasus-terorisme ","sumber")</f>
        <v>sumber</v>
      </c>
      <c r="G35" s="13" t="str">
        <f>HYPERLINK("https://drive.google.com/open?id=1eqOGCTavAMvwQ-JbqpYAJnd0e6hqfaBB","lokasi")</f>
        <v>lokasi</v>
      </c>
      <c r="H35" s="65">
        <v>296</v>
      </c>
      <c r="I35" s="67">
        <v>1</v>
      </c>
      <c r="J35" s="11">
        <v>4</v>
      </c>
      <c r="K35" s="70" t="s">
        <v>1112</v>
      </c>
      <c r="L35" s="11">
        <v>0</v>
      </c>
      <c r="M35" s="11">
        <v>-1</v>
      </c>
      <c r="N35" s="15">
        <v>0</v>
      </c>
      <c r="O35" s="11">
        <v>0</v>
      </c>
      <c r="P35" s="11">
        <v>0</v>
      </c>
      <c r="Q35" s="11">
        <v>0</v>
      </c>
      <c r="R35" s="11">
        <v>0</v>
      </c>
      <c r="S35" s="11"/>
      <c r="T35" s="11">
        <v>0</v>
      </c>
      <c r="U35" s="11">
        <v>-1</v>
      </c>
      <c r="V35" s="11">
        <v>1</v>
      </c>
      <c r="W35" s="14"/>
      <c r="X35" s="14"/>
      <c r="Y35" s="14"/>
    </row>
    <row r="36" spans="1:25" ht="26.4">
      <c r="A36" s="80">
        <v>1</v>
      </c>
      <c r="B36" s="81" t="s">
        <v>1113</v>
      </c>
      <c r="C36" s="82">
        <v>36</v>
      </c>
      <c r="D36" s="83">
        <v>1</v>
      </c>
      <c r="E36" s="84">
        <v>43580</v>
      </c>
      <c r="F36" s="85" t="str">
        <f>HYPERLINK("https://news.detik.com/bbc-world/d-4523945/pbb-desak-arab-saudi-tunda-semua-rencana-eksekusi-hukuman-mati","sumber")</f>
        <v>sumber</v>
      </c>
      <c r="G36" s="82" t="s">
        <v>1</v>
      </c>
      <c r="H36" s="83">
        <v>423</v>
      </c>
      <c r="I36" s="86">
        <v>4</v>
      </c>
      <c r="J36" s="82">
        <v>4</v>
      </c>
      <c r="K36" s="87" t="s">
        <v>1114</v>
      </c>
      <c r="L36" s="82">
        <v>0</v>
      </c>
      <c r="M36" s="82">
        <v>0</v>
      </c>
      <c r="N36" s="88">
        <v>0</v>
      </c>
      <c r="O36" s="82">
        <v>0</v>
      </c>
      <c r="P36" s="82">
        <v>0</v>
      </c>
      <c r="Q36" s="82">
        <v>0</v>
      </c>
      <c r="R36" s="89">
        <v>1</v>
      </c>
      <c r="S36" s="82"/>
      <c r="T36" s="82">
        <v>0</v>
      </c>
      <c r="U36" s="82">
        <v>0</v>
      </c>
      <c r="V36" s="82">
        <v>1</v>
      </c>
      <c r="W36" s="90"/>
      <c r="X36" s="90"/>
      <c r="Y36" s="90"/>
    </row>
    <row r="37" spans="1:25" ht="26.4">
      <c r="A37" s="69">
        <v>1</v>
      </c>
      <c r="B37" s="64" t="s">
        <v>1115</v>
      </c>
      <c r="C37" s="11">
        <v>37</v>
      </c>
      <c r="D37" s="65">
        <v>7</v>
      </c>
      <c r="E37" s="66">
        <v>43580</v>
      </c>
      <c r="F37" s="13" t="str">
        <f>HYPERLINK("http://www.tribunnews.com/nasional/2019/04/25/fatayat-nu-tugas-tokoh-agama-tebarkan-perdamaian ","sumber")</f>
        <v>sumber</v>
      </c>
      <c r="G37" s="13" t="str">
        <f t="shared" ref="G37:G39" si="0">HYPERLINK("https://drive.google.com/open?id=15K5sriRJOw0JTPqD9yRZzl0fwZcfdV8X","lokasi")</f>
        <v>lokasi</v>
      </c>
      <c r="H37" s="65">
        <v>365</v>
      </c>
      <c r="I37" s="67">
        <v>3</v>
      </c>
      <c r="J37" s="11">
        <v>4</v>
      </c>
      <c r="K37" s="70" t="s">
        <v>1116</v>
      </c>
      <c r="L37" s="11">
        <v>0</v>
      </c>
      <c r="M37" s="11">
        <v>0</v>
      </c>
      <c r="N37" s="15">
        <v>0</v>
      </c>
      <c r="O37" s="11">
        <v>0</v>
      </c>
      <c r="P37" s="11">
        <v>0</v>
      </c>
      <c r="Q37" s="11">
        <v>0</v>
      </c>
      <c r="R37" s="11">
        <v>-1</v>
      </c>
      <c r="S37" s="11"/>
      <c r="T37" s="11">
        <v>0</v>
      </c>
      <c r="U37" s="11">
        <v>0</v>
      </c>
      <c r="V37" s="11">
        <v>1</v>
      </c>
      <c r="W37" s="14"/>
      <c r="X37" s="14"/>
      <c r="Y37" s="14"/>
    </row>
    <row r="38" spans="1:25" ht="39.6">
      <c r="A38" s="69">
        <v>1</v>
      </c>
      <c r="B38" s="64" t="s">
        <v>1117</v>
      </c>
      <c r="C38" s="11">
        <v>38</v>
      </c>
      <c r="D38" s="65">
        <v>5</v>
      </c>
      <c r="E38" s="66">
        <v>43592</v>
      </c>
      <c r="F38" s="13" t="str">
        <f>HYPERLINK("https://tirto.id/sejarah-syiah-alasan-perbedaan-waktu-buka-puasa-dengan-sunni-drj9 ","sumber")</f>
        <v>sumber</v>
      </c>
      <c r="G38" s="13" t="str">
        <f t="shared" si="0"/>
        <v>lokasi</v>
      </c>
      <c r="H38" s="65">
        <v>499</v>
      </c>
      <c r="I38" s="67">
        <v>2</v>
      </c>
      <c r="J38" s="11">
        <v>4</v>
      </c>
      <c r="K38" s="70" t="s">
        <v>1118</v>
      </c>
      <c r="L38" s="11">
        <v>0</v>
      </c>
      <c r="M38" s="11">
        <v>0</v>
      </c>
      <c r="N38" s="15">
        <v>0</v>
      </c>
      <c r="O38" s="11">
        <v>0</v>
      </c>
      <c r="P38" s="11">
        <v>0</v>
      </c>
      <c r="Q38" s="11" t="s">
        <v>21</v>
      </c>
      <c r="R38" s="11" t="s">
        <v>21</v>
      </c>
      <c r="S38" s="11"/>
      <c r="T38" s="11">
        <v>0</v>
      </c>
      <c r="U38" s="11">
        <v>0</v>
      </c>
      <c r="V38" s="11">
        <v>1</v>
      </c>
      <c r="W38" s="14"/>
      <c r="X38" s="14"/>
      <c r="Y38" s="14"/>
    </row>
    <row r="39" spans="1:25" ht="26.4">
      <c r="A39" s="69">
        <v>1</v>
      </c>
      <c r="B39" s="64" t="s">
        <v>1119</v>
      </c>
      <c r="C39" s="11">
        <v>39</v>
      </c>
      <c r="D39" s="65">
        <v>4</v>
      </c>
      <c r="E39" s="66">
        <v>43593</v>
      </c>
      <c r="F39" s="13" t="str">
        <f>HYPERLINK("https://www.liputan6.com/global/read/3960480/bom-targetkan-tempat-ibadah-kaum-sufi-di-pakistan-4-orang-tewas ","sumber")</f>
        <v>sumber</v>
      </c>
      <c r="G39" s="13" t="str">
        <f t="shared" si="0"/>
        <v>lokasi</v>
      </c>
      <c r="H39" s="65">
        <v>386</v>
      </c>
      <c r="I39" s="67">
        <v>1</v>
      </c>
      <c r="J39" s="11">
        <v>4</v>
      </c>
      <c r="K39" s="70" t="s">
        <v>1120</v>
      </c>
      <c r="L39" s="11">
        <v>0</v>
      </c>
      <c r="M39" s="11">
        <v>-1</v>
      </c>
      <c r="N39" s="15">
        <v>0</v>
      </c>
      <c r="O39" s="11">
        <v>0</v>
      </c>
      <c r="P39" s="11">
        <v>0</v>
      </c>
      <c r="Q39" s="11">
        <v>0</v>
      </c>
      <c r="R39" s="11">
        <v>0</v>
      </c>
      <c r="S39" s="11"/>
      <c r="T39" s="11">
        <v>0</v>
      </c>
      <c r="U39" s="11">
        <v>0</v>
      </c>
      <c r="V39" s="11">
        <v>1</v>
      </c>
      <c r="W39" s="14"/>
      <c r="X39" s="14"/>
      <c r="Y39" s="14"/>
    </row>
    <row r="40" spans="1:25" ht="13.2">
      <c r="A40" s="73">
        <v>2</v>
      </c>
      <c r="B40" s="74" t="s">
        <v>1121</v>
      </c>
      <c r="C40" s="18">
        <v>40</v>
      </c>
      <c r="D40" s="75">
        <v>1</v>
      </c>
      <c r="E40" s="76">
        <v>43601</v>
      </c>
      <c r="F40" s="20" t="str">
        <f>HYPERLINK("https://news.detik.com/kolom/d-4552232/rekonsiliasi-iran-arab-saudi-mungkinkah ","sumber")</f>
        <v>sumber</v>
      </c>
      <c r="G40" s="18" t="s">
        <v>1</v>
      </c>
      <c r="H40" s="75">
        <v>822</v>
      </c>
      <c r="I40" s="77"/>
      <c r="J40" s="18">
        <v>4</v>
      </c>
      <c r="K40" s="78"/>
      <c r="L40" s="19"/>
      <c r="M40" s="19"/>
      <c r="N40" s="19"/>
      <c r="O40" s="19"/>
      <c r="P40" s="19"/>
      <c r="Q40" s="18"/>
      <c r="R40" s="79"/>
      <c r="S40" s="18"/>
      <c r="T40" s="19"/>
      <c r="U40" s="19"/>
      <c r="V40" s="19"/>
      <c r="W40" s="19"/>
      <c r="X40" s="19"/>
      <c r="Y40" s="19"/>
    </row>
    <row r="41" spans="1:25" ht="26.4">
      <c r="A41" s="69">
        <v>1</v>
      </c>
      <c r="B41" s="64" t="s">
        <v>1122</v>
      </c>
      <c r="C41" s="11">
        <v>41</v>
      </c>
      <c r="D41" s="65">
        <v>6</v>
      </c>
      <c r="E41" s="66">
        <v>43602</v>
      </c>
      <c r="F41" s="13" t="str">
        <f>HYPERLINK("https://regional.kompas.com/read/2019/05/17/17341761/kontras-kritik-penghargaan-timdu-penanganan-konflik-sosial-2019-untuk-jawa ","sumber")</f>
        <v>sumber</v>
      </c>
      <c r="G41" s="13" t="str">
        <f t="shared" ref="G41:G47" si="1">HYPERLINK("https://drive.google.com/open?id=15K5sriRJOw0JTPqD9yRZzl0fwZcfdV8X","lokasi")</f>
        <v>lokasi</v>
      </c>
      <c r="H41" s="65">
        <v>288</v>
      </c>
      <c r="I41" s="67">
        <v>4</v>
      </c>
      <c r="J41" s="11">
        <v>4</v>
      </c>
      <c r="K41" s="70" t="s">
        <v>1123</v>
      </c>
      <c r="L41" s="11">
        <v>0</v>
      </c>
      <c r="M41" s="11">
        <v>0</v>
      </c>
      <c r="N41" s="15">
        <v>0</v>
      </c>
      <c r="O41" s="11">
        <v>0</v>
      </c>
      <c r="P41" s="11">
        <v>0</v>
      </c>
      <c r="Q41" s="11">
        <v>0</v>
      </c>
      <c r="R41" s="11">
        <v>1</v>
      </c>
      <c r="S41" s="11"/>
      <c r="T41" s="11">
        <v>0</v>
      </c>
      <c r="U41" s="11">
        <v>0</v>
      </c>
      <c r="V41" s="11">
        <v>1</v>
      </c>
      <c r="W41" s="14"/>
      <c r="X41" s="14"/>
      <c r="Y41" s="14"/>
    </row>
    <row r="42" spans="1:25" ht="26.4">
      <c r="A42" s="69">
        <v>1</v>
      </c>
      <c r="B42" s="64" t="s">
        <v>1124</v>
      </c>
      <c r="C42" s="11">
        <v>42</v>
      </c>
      <c r="D42" s="65">
        <v>9</v>
      </c>
      <c r="E42" s="66">
        <v>43604</v>
      </c>
      <c r="F42" s="13" t="str">
        <f>HYPERLINK("https://internasional.republika.co.id/berita/internasional/timur-tengah/prqtib368/saudi-siap-cegah-peperangan-di-teluk ","sumber")</f>
        <v>sumber</v>
      </c>
      <c r="G42" s="13" t="str">
        <f t="shared" si="1"/>
        <v>lokasi</v>
      </c>
      <c r="H42" s="65">
        <v>402</v>
      </c>
      <c r="I42" s="67">
        <v>1</v>
      </c>
      <c r="J42" s="11">
        <v>4</v>
      </c>
      <c r="K42" s="70" t="s">
        <v>1125</v>
      </c>
      <c r="L42" s="11">
        <v>0</v>
      </c>
      <c r="M42" s="11">
        <v>-1</v>
      </c>
      <c r="N42" s="15">
        <v>0</v>
      </c>
      <c r="O42" s="11">
        <v>0</v>
      </c>
      <c r="P42" s="11">
        <v>0</v>
      </c>
      <c r="Q42" s="11">
        <v>0</v>
      </c>
      <c r="R42" s="11">
        <v>0</v>
      </c>
      <c r="S42" s="11"/>
      <c r="T42" s="11">
        <v>0</v>
      </c>
      <c r="U42" s="11">
        <v>-1</v>
      </c>
      <c r="V42" s="11">
        <v>1</v>
      </c>
      <c r="W42" s="14"/>
      <c r="X42" s="14"/>
      <c r="Y42" s="14"/>
    </row>
    <row r="43" spans="1:25" ht="26.4">
      <c r="A43" s="69">
        <v>1</v>
      </c>
      <c r="B43" s="64" t="s">
        <v>1126</v>
      </c>
      <c r="C43" s="11">
        <v>43</v>
      </c>
      <c r="D43" s="65">
        <v>8</v>
      </c>
      <c r="E43" s="66">
        <v>43605</v>
      </c>
      <c r="F43" s="13" t="str">
        <f>HYPERLINK("https://www.suara.com/news/2019/05/20/152225/bedah-isi-raperda-kota-religius-depok-psi-pasal-karet-dan-diskriminatif ","sumber")</f>
        <v>sumber</v>
      </c>
      <c r="G43" s="13" t="str">
        <f t="shared" si="1"/>
        <v>lokasi</v>
      </c>
      <c r="H43" s="65">
        <v>486</v>
      </c>
      <c r="I43" s="67">
        <v>4</v>
      </c>
      <c r="J43" s="11">
        <v>4</v>
      </c>
      <c r="K43" s="70" t="s">
        <v>1127</v>
      </c>
      <c r="L43" s="11">
        <v>0</v>
      </c>
      <c r="M43" s="11">
        <v>0</v>
      </c>
      <c r="N43" s="15">
        <v>0</v>
      </c>
      <c r="O43" s="11">
        <v>0</v>
      </c>
      <c r="P43" s="11">
        <v>0</v>
      </c>
      <c r="Q43" s="11">
        <v>0</v>
      </c>
      <c r="R43" s="11">
        <v>1</v>
      </c>
      <c r="S43" s="11"/>
      <c r="T43" s="11">
        <v>0</v>
      </c>
      <c r="U43" s="11">
        <v>0</v>
      </c>
      <c r="V43" s="11">
        <v>1</v>
      </c>
      <c r="W43" s="14"/>
      <c r="X43" s="14"/>
      <c r="Y43" s="14"/>
    </row>
    <row r="44" spans="1:25" ht="52.8">
      <c r="A44" s="69">
        <v>1</v>
      </c>
      <c r="B44" s="64" t="s">
        <v>1128</v>
      </c>
      <c r="C44" s="11">
        <v>44</v>
      </c>
      <c r="D44" s="65">
        <v>7</v>
      </c>
      <c r="E44" s="66">
        <v>43605</v>
      </c>
      <c r="F44" s="13" t="str">
        <f>HYPERLINK("http://www.tribunnews.com/internasional/2019/05/20/arab-saudi-tegaskan-siap-ladeni-perang-pasca-serangan-drone-atas-fasilitas-minyaknya ","sumber")</f>
        <v>sumber</v>
      </c>
      <c r="G44" s="13" t="str">
        <f t="shared" si="1"/>
        <v>lokasi</v>
      </c>
      <c r="H44" s="65">
        <v>275</v>
      </c>
      <c r="I44" s="67">
        <v>1</v>
      </c>
      <c r="J44" s="11">
        <v>4</v>
      </c>
      <c r="K44" s="70" t="s">
        <v>1129</v>
      </c>
      <c r="L44" s="11">
        <v>0</v>
      </c>
      <c r="M44" s="11">
        <v>-1</v>
      </c>
      <c r="N44" s="15">
        <v>0</v>
      </c>
      <c r="O44" s="11">
        <v>0</v>
      </c>
      <c r="P44" s="11">
        <v>0</v>
      </c>
      <c r="Q44" s="11" t="s">
        <v>29</v>
      </c>
      <c r="R44" s="11" t="s">
        <v>29</v>
      </c>
      <c r="S44" s="11"/>
      <c r="T44" s="11">
        <v>0</v>
      </c>
      <c r="U44" s="11">
        <v>-1</v>
      </c>
      <c r="V44" s="11">
        <v>1</v>
      </c>
      <c r="W44" s="14"/>
      <c r="X44" s="14"/>
      <c r="Y44" s="14"/>
    </row>
    <row r="45" spans="1:25" ht="39.6">
      <c r="A45" s="69">
        <v>1</v>
      </c>
      <c r="B45" s="64" t="s">
        <v>1130</v>
      </c>
      <c r="C45" s="11">
        <v>45</v>
      </c>
      <c r="D45" s="65">
        <v>4</v>
      </c>
      <c r="E45" s="66">
        <v>43606</v>
      </c>
      <c r="F45" s="13" t="str">
        <f>HYPERLINK("https://www.liputan6.com/global/read/3971441/ini-balasan-iran-atas-ancaman-genosida-oleh-donald-trump ","sumber")</f>
        <v>sumber</v>
      </c>
      <c r="G45" s="13" t="str">
        <f t="shared" si="1"/>
        <v>lokasi</v>
      </c>
      <c r="H45" s="65">
        <v>564</v>
      </c>
      <c r="I45" s="67">
        <v>1</v>
      </c>
      <c r="J45" s="11">
        <v>4</v>
      </c>
      <c r="K45" s="70" t="s">
        <v>1131</v>
      </c>
      <c r="L45" s="11">
        <v>0</v>
      </c>
      <c r="M45" s="11">
        <v>-1</v>
      </c>
      <c r="N45" s="15">
        <v>0</v>
      </c>
      <c r="O45" s="11">
        <v>0</v>
      </c>
      <c r="P45" s="11">
        <v>0</v>
      </c>
      <c r="Q45" s="11" t="s">
        <v>29</v>
      </c>
      <c r="R45" s="11" t="s">
        <v>53</v>
      </c>
      <c r="S45" s="11"/>
      <c r="T45" s="11">
        <v>0</v>
      </c>
      <c r="U45" s="11">
        <v>-1</v>
      </c>
      <c r="V45" s="11">
        <v>1</v>
      </c>
      <c r="W45" s="14"/>
      <c r="X45" s="14"/>
      <c r="Y45" s="14"/>
    </row>
    <row r="46" spans="1:25" ht="26.4">
      <c r="A46" s="69">
        <v>1</v>
      </c>
      <c r="B46" s="64" t="s">
        <v>1132</v>
      </c>
      <c r="C46" s="11">
        <v>46</v>
      </c>
      <c r="D46" s="65">
        <v>10</v>
      </c>
      <c r="E46" s="66">
        <v>43606</v>
      </c>
      <c r="F46" s="13" t="str">
        <f>HYPERLINK("https://dunia.tempo.co/read/1207407/dituding-tembakkan-rudal-balistik-ke-mekah-houthi-angkat-bicara ","sumber")</f>
        <v>sumber</v>
      </c>
      <c r="G46" s="13" t="str">
        <f t="shared" si="1"/>
        <v>lokasi</v>
      </c>
      <c r="H46" s="65">
        <v>456</v>
      </c>
      <c r="I46" s="67">
        <v>1</v>
      </c>
      <c r="J46" s="11">
        <v>4</v>
      </c>
      <c r="K46" s="70" t="s">
        <v>1133</v>
      </c>
      <c r="L46" s="11">
        <v>0</v>
      </c>
      <c r="M46" s="11">
        <v>1</v>
      </c>
      <c r="N46" s="15">
        <v>0</v>
      </c>
      <c r="O46" s="11">
        <v>0</v>
      </c>
      <c r="P46" s="11">
        <v>0</v>
      </c>
      <c r="Q46" s="11">
        <v>0</v>
      </c>
      <c r="R46" s="11">
        <v>0</v>
      </c>
      <c r="S46" s="11"/>
      <c r="T46" s="11">
        <v>0</v>
      </c>
      <c r="U46" s="11">
        <v>-1</v>
      </c>
      <c r="V46" s="11">
        <v>1</v>
      </c>
      <c r="W46" s="14"/>
      <c r="X46" s="14"/>
      <c r="Y46" s="14"/>
    </row>
    <row r="47" spans="1:25" ht="26.4">
      <c r="A47" s="69">
        <v>1</v>
      </c>
      <c r="B47" s="64" t="s">
        <v>1134</v>
      </c>
      <c r="C47" s="11">
        <v>47</v>
      </c>
      <c r="D47" s="65">
        <v>3</v>
      </c>
      <c r="E47" s="66">
        <v>43608</v>
      </c>
      <c r="F47" s="13" t="str">
        <f>HYPERLINK("https://news.okezone.com/read/2019/05/23/18/2059644/arab-saudi-akan-eksekusi-tiga-ulama-setelah-ramadan ","sumber")</f>
        <v>sumber</v>
      </c>
      <c r="G47" s="13" t="str">
        <f t="shared" si="1"/>
        <v>lokasi</v>
      </c>
      <c r="H47" s="65">
        <v>355</v>
      </c>
      <c r="I47" s="67">
        <v>1</v>
      </c>
      <c r="J47" s="11">
        <v>4</v>
      </c>
      <c r="K47" s="70" t="s">
        <v>1135</v>
      </c>
      <c r="L47" s="11">
        <v>0</v>
      </c>
      <c r="M47" s="11">
        <v>1</v>
      </c>
      <c r="N47" s="15">
        <v>0</v>
      </c>
      <c r="O47" s="11">
        <v>0</v>
      </c>
      <c r="P47" s="11">
        <v>0</v>
      </c>
      <c r="Q47" s="11">
        <v>0</v>
      </c>
      <c r="R47" s="11">
        <v>0</v>
      </c>
      <c r="S47" s="11"/>
      <c r="T47" s="11">
        <v>0</v>
      </c>
      <c r="U47" s="11">
        <v>-1</v>
      </c>
      <c r="V47" s="11">
        <v>1</v>
      </c>
      <c r="W47" s="14"/>
      <c r="X47" s="14"/>
      <c r="Y47" s="14"/>
    </row>
    <row r="48" spans="1:25" ht="13.2">
      <c r="A48" s="73">
        <v>2</v>
      </c>
      <c r="B48" s="74" t="s">
        <v>1136</v>
      </c>
      <c r="C48" s="18">
        <v>48</v>
      </c>
      <c r="D48" s="75">
        <v>9</v>
      </c>
      <c r="E48" s="76">
        <v>43609</v>
      </c>
      <c r="F48" s="20" t="str">
        <f>HYPERLINK("https://internasional.republika.co.id/berita/internasional/asia/ps0nf4320/bom-meledak-di-masjid-komunitas-sunni-quetta-pakistan ","sumber")</f>
        <v>sumber</v>
      </c>
      <c r="G48" s="18" t="s">
        <v>1</v>
      </c>
      <c r="H48" s="75">
        <v>164</v>
      </c>
      <c r="I48" s="77"/>
      <c r="J48" s="18">
        <v>4</v>
      </c>
      <c r="K48" s="78"/>
      <c r="L48" s="19"/>
      <c r="M48" s="19"/>
      <c r="N48" s="19"/>
      <c r="O48" s="18"/>
      <c r="P48" s="19"/>
      <c r="Q48" s="18"/>
      <c r="R48" s="79"/>
      <c r="S48" s="18"/>
      <c r="T48" s="19"/>
      <c r="U48" s="19"/>
      <c r="V48" s="19"/>
      <c r="W48" s="19"/>
      <c r="X48" s="19"/>
      <c r="Y48" s="19"/>
    </row>
    <row r="49" spans="1:25" ht="13.2">
      <c r="A49" s="73">
        <v>2</v>
      </c>
      <c r="B49" s="74" t="s">
        <v>1137</v>
      </c>
      <c r="C49" s="18">
        <v>49</v>
      </c>
      <c r="D49" s="75">
        <v>10</v>
      </c>
      <c r="E49" s="76">
        <v>43610</v>
      </c>
      <c r="F49" s="20" t="str">
        <f>HYPERLINK("https://dunia.tempo.co/read/1209229/warga-minta-irak-tak-campuri-perselisihan-iran-amerika ","sumber")</f>
        <v>sumber</v>
      </c>
      <c r="G49" s="18" t="s">
        <v>1</v>
      </c>
      <c r="H49" s="75">
        <v>304</v>
      </c>
      <c r="I49" s="77"/>
      <c r="J49" s="18">
        <v>4</v>
      </c>
      <c r="K49" s="78"/>
      <c r="L49" s="19"/>
      <c r="M49" s="19"/>
      <c r="N49" s="19"/>
      <c r="O49" s="19"/>
      <c r="P49" s="19"/>
      <c r="Q49" s="18"/>
      <c r="R49" s="79"/>
      <c r="S49" s="18"/>
      <c r="T49" s="19"/>
      <c r="U49" s="19"/>
      <c r="V49" s="19"/>
      <c r="W49" s="19"/>
      <c r="X49" s="19"/>
      <c r="Y49" s="19"/>
    </row>
    <row r="50" spans="1:25" ht="39.6">
      <c r="A50" s="69">
        <v>1</v>
      </c>
      <c r="B50" s="64" t="s">
        <v>1138</v>
      </c>
      <c r="C50" s="11">
        <v>50</v>
      </c>
      <c r="D50" s="65">
        <v>9</v>
      </c>
      <c r="E50" s="66">
        <v>43627</v>
      </c>
      <c r="F50" s="13" t="str">
        <f>HYPERLINK("https://khazanah.republika.co.id/berita/dunia-islam/dunia/psx0b1313/menelusuri-jejak-islam-di-kepulauan-solomon ","sumber")</f>
        <v>sumber</v>
      </c>
      <c r="G50" s="13" t="str">
        <f t="shared" ref="G50:G52" si="2">HYPERLINK("https://drive.google.com/open?id=15K5sriRJOw0JTPqD9yRZzl0fwZcfdV8X","lokasi")</f>
        <v>lokasi</v>
      </c>
      <c r="H50" s="65">
        <v>407</v>
      </c>
      <c r="I50" s="67">
        <v>2</v>
      </c>
      <c r="J50" s="11">
        <v>4</v>
      </c>
      <c r="K50" s="70" t="s">
        <v>1139</v>
      </c>
      <c r="L50" s="11">
        <v>0</v>
      </c>
      <c r="M50" s="11">
        <v>0</v>
      </c>
      <c r="N50" s="15">
        <v>0</v>
      </c>
      <c r="O50" s="11">
        <v>0</v>
      </c>
      <c r="P50" s="11">
        <v>0</v>
      </c>
      <c r="Q50" s="11">
        <v>0</v>
      </c>
      <c r="R50" s="11">
        <v>0</v>
      </c>
      <c r="S50" s="11"/>
      <c r="T50" s="11">
        <v>0</v>
      </c>
      <c r="U50" s="11">
        <v>0</v>
      </c>
      <c r="V50" s="11">
        <v>1</v>
      </c>
      <c r="W50" s="14"/>
      <c r="X50" s="14"/>
      <c r="Y50" s="14"/>
    </row>
    <row r="51" spans="1:25" ht="26.4">
      <c r="A51" s="80">
        <v>1</v>
      </c>
      <c r="B51" s="81" t="s">
        <v>1140</v>
      </c>
      <c r="C51" s="82">
        <v>51</v>
      </c>
      <c r="D51" s="83">
        <v>3</v>
      </c>
      <c r="E51" s="84">
        <v>43629</v>
      </c>
      <c r="F51" s="85" t="str">
        <f>HYPERLINK("https://index.okezone.com/read/2019/06/13/614/2065994/kontroversi-zakir-naik-penceramah-kondang-yang-bikin-malaysia-dan-india-memanas","sumber")</f>
        <v>sumber</v>
      </c>
      <c r="G51" s="85" t="str">
        <f t="shared" si="2"/>
        <v>lokasi</v>
      </c>
      <c r="H51" s="83">
        <v>333</v>
      </c>
      <c r="I51" s="86">
        <v>1</v>
      </c>
      <c r="J51" s="82">
        <v>4</v>
      </c>
      <c r="K51" s="87" t="s">
        <v>1141</v>
      </c>
      <c r="L51" s="82">
        <v>0</v>
      </c>
      <c r="M51" s="28">
        <v>0</v>
      </c>
      <c r="N51" s="88">
        <v>0</v>
      </c>
      <c r="O51" s="82">
        <v>0</v>
      </c>
      <c r="P51" s="82">
        <v>0</v>
      </c>
      <c r="Q51" s="82">
        <v>0</v>
      </c>
      <c r="R51" s="89">
        <v>0</v>
      </c>
      <c r="S51" s="82"/>
      <c r="T51" s="82">
        <v>0</v>
      </c>
      <c r="U51" s="82">
        <v>0</v>
      </c>
      <c r="V51" s="82">
        <v>1</v>
      </c>
      <c r="W51" s="90"/>
      <c r="X51" s="90"/>
      <c r="Y51" s="90"/>
    </row>
    <row r="52" spans="1:25" ht="39.6">
      <c r="A52" s="69">
        <v>1</v>
      </c>
      <c r="B52" s="64" t="s">
        <v>1142</v>
      </c>
      <c r="C52" s="11">
        <v>52</v>
      </c>
      <c r="D52" s="65">
        <v>5</v>
      </c>
      <c r="E52" s="66">
        <v>43630</v>
      </c>
      <c r="F52" s="13" t="str">
        <f>HYPERLINK("https://tirto.id/ikut-demo-di-usia-10-tahun-remaja-saudi-divonis-hukuman-mati-ecfY ","sumber")</f>
        <v>sumber</v>
      </c>
      <c r="G52" s="13" t="str">
        <f t="shared" si="2"/>
        <v>lokasi</v>
      </c>
      <c r="H52" s="65">
        <v>991</v>
      </c>
      <c r="I52" s="67">
        <v>1</v>
      </c>
      <c r="J52" s="11">
        <v>4</v>
      </c>
      <c r="K52" s="70" t="s">
        <v>1143</v>
      </c>
      <c r="L52" s="11">
        <v>0</v>
      </c>
      <c r="M52" s="11">
        <v>1</v>
      </c>
      <c r="N52" s="15">
        <v>0</v>
      </c>
      <c r="O52" s="11">
        <v>0</v>
      </c>
      <c r="P52" s="11">
        <v>0</v>
      </c>
      <c r="Q52" s="11">
        <v>0</v>
      </c>
      <c r="R52" s="11">
        <v>1</v>
      </c>
      <c r="S52" s="11"/>
      <c r="T52" s="11">
        <v>0</v>
      </c>
      <c r="U52" s="11">
        <v>0</v>
      </c>
      <c r="V52" s="11">
        <v>1</v>
      </c>
      <c r="W52" s="14"/>
      <c r="X52" s="14"/>
      <c r="Y52" s="14"/>
    </row>
    <row r="53" spans="1:25" ht="13.2">
      <c r="A53" s="73">
        <v>2</v>
      </c>
      <c r="B53" s="74" t="s">
        <v>1144</v>
      </c>
      <c r="C53" s="18">
        <v>53</v>
      </c>
      <c r="D53" s="75">
        <v>1</v>
      </c>
      <c r="E53" s="76">
        <v>43634</v>
      </c>
      <c r="F53" s="20" t="str">
        <f>HYPERLINK("https://news.detik.com/kolom/d-4590828/menolak-mantan-isis ","sumber")</f>
        <v>sumber</v>
      </c>
      <c r="G53" s="18" t="s">
        <v>1</v>
      </c>
      <c r="H53" s="75">
        <v>1401</v>
      </c>
      <c r="I53" s="77"/>
      <c r="J53" s="18">
        <v>4</v>
      </c>
      <c r="K53" s="78"/>
      <c r="L53" s="19"/>
      <c r="M53" s="19"/>
      <c r="N53" s="19"/>
      <c r="O53" s="19"/>
      <c r="P53" s="19"/>
      <c r="Q53" s="18"/>
      <c r="R53" s="79"/>
      <c r="S53" s="18"/>
      <c r="T53" s="19"/>
      <c r="U53" s="19"/>
      <c r="V53" s="19"/>
      <c r="W53" s="19"/>
      <c r="X53" s="19"/>
      <c r="Y53" s="19"/>
    </row>
    <row r="54" spans="1:25" ht="13.2">
      <c r="A54" s="69">
        <v>1</v>
      </c>
      <c r="B54" s="64" t="s">
        <v>1145</v>
      </c>
      <c r="C54" s="11">
        <v>54</v>
      </c>
      <c r="D54" s="65">
        <v>8</v>
      </c>
      <c r="E54" s="66">
        <v>43638</v>
      </c>
      <c r="F54" s="13" t="str">
        <f>HYPERLINK("https://www.suara.com/news/2019/06/22/070256/bom-meledak-di-masjid-syiah-7-orang-tewas ","sumber")</f>
        <v>sumber</v>
      </c>
      <c r="G54" s="13" t="str">
        <f t="shared" ref="G54:G58" si="3">HYPERLINK("https://drive.google.com/open?id=15K5sriRJOw0JTPqD9yRZzl0fwZcfdV8X","lokasi")</f>
        <v>lokasi</v>
      </c>
      <c r="H54" s="65">
        <v>112</v>
      </c>
      <c r="I54" s="67">
        <v>1</v>
      </c>
      <c r="J54" s="11">
        <v>4</v>
      </c>
      <c r="K54" s="70" t="s">
        <v>1146</v>
      </c>
      <c r="L54" s="11">
        <v>0</v>
      </c>
      <c r="M54" s="11">
        <v>1</v>
      </c>
      <c r="N54" s="15">
        <v>0</v>
      </c>
      <c r="O54" s="11">
        <v>0</v>
      </c>
      <c r="P54" s="11">
        <v>0</v>
      </c>
      <c r="Q54" s="11">
        <v>-1</v>
      </c>
      <c r="R54" s="11">
        <v>0</v>
      </c>
      <c r="S54" s="11"/>
      <c r="T54" s="11">
        <v>0</v>
      </c>
      <c r="U54" s="11">
        <v>0</v>
      </c>
      <c r="V54" s="11">
        <v>1</v>
      </c>
      <c r="W54" s="14"/>
      <c r="X54" s="14"/>
      <c r="Y54" s="14"/>
    </row>
    <row r="55" spans="1:25" ht="13.2">
      <c r="A55" s="69">
        <v>1</v>
      </c>
      <c r="B55" s="64" t="s">
        <v>1147</v>
      </c>
      <c r="C55" s="11">
        <v>55</v>
      </c>
      <c r="D55" s="65">
        <v>10</v>
      </c>
      <c r="E55" s="66">
        <v>43641</v>
      </c>
      <c r="F55" s="13" t="str">
        <f>HYPERLINK("https://difabel.tempo.co/read/1218143/menyesap-wangi-kopi-barista-inklusi ","sumber")</f>
        <v>sumber</v>
      </c>
      <c r="G55" s="13" t="str">
        <f t="shared" si="3"/>
        <v>lokasi</v>
      </c>
      <c r="H55" s="65">
        <v>790</v>
      </c>
      <c r="I55" s="67">
        <v>2</v>
      </c>
      <c r="J55" s="11">
        <v>4</v>
      </c>
      <c r="K55" s="70" t="s">
        <v>1148</v>
      </c>
      <c r="L55" s="11">
        <v>0</v>
      </c>
      <c r="M55" s="11">
        <v>0</v>
      </c>
      <c r="N55" s="15">
        <v>0</v>
      </c>
      <c r="O55" s="11">
        <v>0</v>
      </c>
      <c r="P55" s="11">
        <v>0</v>
      </c>
      <c r="Q55" s="11" t="s">
        <v>159</v>
      </c>
      <c r="R55" s="11" t="s">
        <v>160</v>
      </c>
      <c r="S55" s="11"/>
      <c r="T55" s="11">
        <v>0</v>
      </c>
      <c r="U55" s="11">
        <v>0</v>
      </c>
      <c r="V55" s="11">
        <v>1</v>
      </c>
      <c r="W55" s="14"/>
      <c r="X55" s="14"/>
      <c r="Y55" s="14"/>
    </row>
    <row r="56" spans="1:25" ht="13.2">
      <c r="A56" s="69">
        <v>1</v>
      </c>
      <c r="B56" s="64" t="s">
        <v>1149</v>
      </c>
      <c r="C56" s="11">
        <v>56</v>
      </c>
      <c r="D56" s="65">
        <v>3</v>
      </c>
      <c r="E56" s="66">
        <v>43642</v>
      </c>
      <c r="F56" s="13" t="str">
        <f>HYPERLINK("https://news.okezone.com/read/2019/06/26/605/2071277/isi-petisi-aksi-halalbihalal-tahlil-akbar-di-sekitar-gedung-mk ","sumber")</f>
        <v>sumber</v>
      </c>
      <c r="G56" s="13" t="str">
        <f t="shared" si="3"/>
        <v>lokasi</v>
      </c>
      <c r="H56" s="65">
        <v>447</v>
      </c>
      <c r="I56" s="67">
        <v>3</v>
      </c>
      <c r="J56" s="11">
        <v>4</v>
      </c>
      <c r="K56" s="70" t="s">
        <v>1150</v>
      </c>
      <c r="L56" s="11">
        <v>0</v>
      </c>
      <c r="M56" s="11">
        <v>0</v>
      </c>
      <c r="N56" s="15">
        <v>0</v>
      </c>
      <c r="O56" s="11">
        <v>0</v>
      </c>
      <c r="P56" s="11">
        <v>0</v>
      </c>
      <c r="Q56" s="11">
        <v>0</v>
      </c>
      <c r="R56" s="11">
        <v>-1</v>
      </c>
      <c r="S56" s="11"/>
      <c r="T56" s="11">
        <v>0</v>
      </c>
      <c r="U56" s="11">
        <v>0</v>
      </c>
      <c r="V56" s="11">
        <v>1</v>
      </c>
      <c r="W56" s="14"/>
      <c r="X56" s="14"/>
      <c r="Y56" s="14"/>
    </row>
    <row r="57" spans="1:25" ht="39.6">
      <c r="A57" s="69">
        <v>1</v>
      </c>
      <c r="B57" s="64" t="s">
        <v>1151</v>
      </c>
      <c r="C57" s="11">
        <v>57</v>
      </c>
      <c r="D57" s="65">
        <v>8</v>
      </c>
      <c r="E57" s="66">
        <v>43642</v>
      </c>
      <c r="F57" s="13" t="str">
        <f>HYPERLINK("https://www.suara.com/news/2019/06/26/185751/gabungan-ormas-islam-sampaikan-petisi-kedaulatan-rakyat-untuk-hakim-mk ","sumber")</f>
        <v>sumber</v>
      </c>
      <c r="G57" s="13" t="str">
        <f t="shared" si="3"/>
        <v>lokasi</v>
      </c>
      <c r="H57" s="65">
        <v>486</v>
      </c>
      <c r="I57" s="67">
        <v>3</v>
      </c>
      <c r="J57" s="11">
        <v>4</v>
      </c>
      <c r="K57" s="70" t="s">
        <v>1152</v>
      </c>
      <c r="L57" s="11">
        <v>0</v>
      </c>
      <c r="M57" s="11">
        <v>0</v>
      </c>
      <c r="N57" s="15">
        <v>0</v>
      </c>
      <c r="O57" s="11">
        <v>0</v>
      </c>
      <c r="P57" s="11">
        <v>0</v>
      </c>
      <c r="Q57" s="11" t="s">
        <v>29</v>
      </c>
      <c r="R57" s="11" t="s">
        <v>653</v>
      </c>
      <c r="S57" s="11"/>
      <c r="T57" s="11">
        <v>0</v>
      </c>
      <c r="U57" s="11">
        <v>0</v>
      </c>
      <c r="V57" s="11">
        <v>1</v>
      </c>
      <c r="W57" s="14"/>
      <c r="X57" s="14"/>
      <c r="Y57" s="14"/>
    </row>
    <row r="58" spans="1:25" ht="13.2">
      <c r="A58" s="80">
        <v>1</v>
      </c>
      <c r="B58" s="81" t="s">
        <v>1153</v>
      </c>
      <c r="C58" s="82">
        <v>58</v>
      </c>
      <c r="D58" s="83">
        <v>8</v>
      </c>
      <c r="E58" s="84">
        <v>43669</v>
      </c>
      <c r="F58" s="85" t="str">
        <f>HYPERLINK("https://www.suara.com/news/2019/07/23/181552/indonesia-akhirnya-akui-dan-atur-pernikahan-umat-penghayat-kepercayaan","sumber")</f>
        <v>sumber</v>
      </c>
      <c r="G58" s="85" t="str">
        <f t="shared" si="3"/>
        <v>lokasi</v>
      </c>
      <c r="H58" s="83">
        <v>312</v>
      </c>
      <c r="I58" s="86">
        <v>4</v>
      </c>
      <c r="J58" s="82">
        <v>4</v>
      </c>
      <c r="K58" s="87"/>
      <c r="L58" s="82">
        <v>0</v>
      </c>
      <c r="M58" s="82">
        <v>0</v>
      </c>
      <c r="N58" s="88">
        <v>0</v>
      </c>
      <c r="O58" s="82">
        <v>0</v>
      </c>
      <c r="P58" s="82">
        <v>0</v>
      </c>
      <c r="Q58" s="82"/>
      <c r="R58" s="89"/>
      <c r="S58" s="82"/>
      <c r="T58" s="82">
        <v>0</v>
      </c>
      <c r="U58" s="82">
        <v>0</v>
      </c>
      <c r="V58" s="82">
        <v>1</v>
      </c>
      <c r="W58" s="90"/>
      <c r="X58" s="90"/>
      <c r="Y58" s="90"/>
    </row>
    <row r="59" spans="1:25" ht="13.2">
      <c r="A59" s="73">
        <v>2</v>
      </c>
      <c r="B59" s="74" t="s">
        <v>1154</v>
      </c>
      <c r="C59" s="18">
        <v>59</v>
      </c>
      <c r="D59" s="75">
        <v>6</v>
      </c>
      <c r="E59" s="76">
        <v>43652</v>
      </c>
      <c r="F59" s="20" t="str">
        <f>HYPERLINK("https://internasional.kompas.com/read/2019/07/06/22033771/serangan-mortir-hantam-pasar-di-afghanistan-14-orang-tewas ","sumber")</f>
        <v>sumber</v>
      </c>
      <c r="G59" s="18" t="s">
        <v>1</v>
      </c>
      <c r="H59" s="75">
        <v>357</v>
      </c>
      <c r="I59" s="77"/>
      <c r="J59" s="18">
        <v>4</v>
      </c>
      <c r="K59" s="78"/>
      <c r="L59" s="19"/>
      <c r="M59" s="19"/>
      <c r="N59" s="19"/>
      <c r="O59" s="19"/>
      <c r="P59" s="19"/>
      <c r="Q59" s="18"/>
      <c r="R59" s="79"/>
      <c r="S59" s="18"/>
      <c r="T59" s="19"/>
      <c r="U59" s="19"/>
      <c r="V59" s="19"/>
      <c r="W59" s="19"/>
      <c r="X59" s="19"/>
      <c r="Y59" s="19"/>
    </row>
    <row r="60" spans="1:25" ht="13.2">
      <c r="A60" s="73">
        <v>2</v>
      </c>
      <c r="B60" s="74" t="s">
        <v>1155</v>
      </c>
      <c r="C60" s="18">
        <v>60</v>
      </c>
      <c r="D60" s="75">
        <v>6</v>
      </c>
      <c r="E60" s="76">
        <v>43668</v>
      </c>
      <c r="F60" s="20" t="str">
        <f>HYPERLINK("https://regional.kompas.com/read/2019/07/22/16595261/21-tahun-terpisah-dari-keluarga-tki-asal-cirebon-tiba-di-kampung-halaman ","sumber")</f>
        <v>sumber</v>
      </c>
      <c r="G60" s="18" t="s">
        <v>1</v>
      </c>
      <c r="H60" s="75">
        <v>354</v>
      </c>
      <c r="I60" s="77"/>
      <c r="J60" s="18">
        <v>4</v>
      </c>
      <c r="K60" s="78"/>
      <c r="L60" s="19"/>
      <c r="M60" s="19"/>
      <c r="N60" s="19"/>
      <c r="O60" s="19"/>
      <c r="P60" s="19"/>
      <c r="Q60" s="18"/>
      <c r="R60" s="79"/>
      <c r="S60" s="18"/>
      <c r="T60" s="19"/>
      <c r="U60" s="19"/>
      <c r="V60" s="19"/>
      <c r="W60" s="19"/>
      <c r="X60" s="19"/>
      <c r="Y60" s="19"/>
    </row>
    <row r="61" spans="1:25" ht="26.4">
      <c r="A61" s="69">
        <v>1</v>
      </c>
      <c r="B61" s="64" t="s">
        <v>1156</v>
      </c>
      <c r="C61" s="11">
        <v>61</v>
      </c>
      <c r="D61" s="65">
        <v>9</v>
      </c>
      <c r="E61" s="66">
        <v>43670</v>
      </c>
      <c r="F61" s="13" t="str">
        <f>HYPERLINK("https://internasional.republika.co.id/berita/pv54f4/pembakar-masjid-di-melbourne-dipenjara-lebih-dari-16-tahun ","sumber")</f>
        <v>sumber</v>
      </c>
      <c r="G61" s="13" t="str">
        <f t="shared" ref="G61:G62" si="4">HYPERLINK("https://drive.google.com/open?id=15K5sriRJOw0JTPqD9yRZzl0fwZcfdV8X","lokasi")</f>
        <v>lokasi</v>
      </c>
      <c r="H61" s="65">
        <v>427</v>
      </c>
      <c r="I61" s="67">
        <v>1</v>
      </c>
      <c r="J61" s="11">
        <v>4</v>
      </c>
      <c r="K61" s="70" t="s">
        <v>1157</v>
      </c>
      <c r="L61" s="11">
        <v>0</v>
      </c>
      <c r="M61" s="11">
        <v>1</v>
      </c>
      <c r="N61" s="15">
        <v>0</v>
      </c>
      <c r="O61" s="11">
        <v>0</v>
      </c>
      <c r="P61" s="11">
        <v>0</v>
      </c>
      <c r="Q61" s="11">
        <v>0</v>
      </c>
      <c r="R61" s="11">
        <v>1</v>
      </c>
      <c r="S61" s="11"/>
      <c r="T61" s="11">
        <v>0</v>
      </c>
      <c r="U61" s="11">
        <v>0</v>
      </c>
      <c r="V61" s="11">
        <v>1</v>
      </c>
      <c r="W61" s="14"/>
      <c r="X61" s="14"/>
      <c r="Y61" s="14"/>
    </row>
    <row r="62" spans="1:25" ht="39.6">
      <c r="A62" s="69">
        <v>1</v>
      </c>
      <c r="B62" s="64" t="s">
        <v>1158</v>
      </c>
      <c r="C62" s="11">
        <v>62</v>
      </c>
      <c r="D62" s="65">
        <v>6</v>
      </c>
      <c r="E62" s="66">
        <v>43672</v>
      </c>
      <c r="F62" s="13" t="str">
        <f>HYPERLINK("https://regional.kompas.com/read/2019/07/26/16030541/saat-perbedaan-keyakinan-tak-halangi-warga-blitar-bantu-bangun-pura-yang ","sumber")</f>
        <v>sumber</v>
      </c>
      <c r="G62" s="13" t="str">
        <f t="shared" si="4"/>
        <v>lokasi</v>
      </c>
      <c r="H62" s="65">
        <v>349</v>
      </c>
      <c r="I62" s="67">
        <v>2</v>
      </c>
      <c r="J62" s="11">
        <v>4</v>
      </c>
      <c r="K62" s="70" t="s">
        <v>1159</v>
      </c>
      <c r="L62" s="11">
        <v>0</v>
      </c>
      <c r="M62" s="11">
        <v>0</v>
      </c>
      <c r="N62" s="15">
        <v>0</v>
      </c>
      <c r="O62" s="11">
        <v>0</v>
      </c>
      <c r="P62" s="11">
        <v>0</v>
      </c>
      <c r="Q62" s="11" t="s">
        <v>29</v>
      </c>
      <c r="R62" s="11" t="s">
        <v>160</v>
      </c>
      <c r="S62" s="11"/>
      <c r="T62" s="11">
        <v>0</v>
      </c>
      <c r="U62" s="11">
        <v>0</v>
      </c>
      <c r="V62" s="11">
        <v>1</v>
      </c>
      <c r="W62" s="14"/>
      <c r="X62" s="14"/>
      <c r="Y62" s="14"/>
    </row>
    <row r="63" spans="1:25" ht="13.2">
      <c r="A63" s="73">
        <v>2</v>
      </c>
      <c r="B63" s="74" t="s">
        <v>1160</v>
      </c>
      <c r="C63" s="18">
        <v>63</v>
      </c>
      <c r="D63" s="75">
        <v>7</v>
      </c>
      <c r="E63" s="76">
        <v>43674</v>
      </c>
      <c r="F63" s="20" t="str">
        <f>HYPERLINK("https://www.tribunnews.com/regional/2019/07/28/ini-daftar-tkw-asal-cirebon-terjerat-masalah-di-arab-saudi-dua-orang-tak-diketahui-nasibnya ","sumber")</f>
        <v>sumber</v>
      </c>
      <c r="G63" s="18" t="s">
        <v>1</v>
      </c>
      <c r="H63" s="75">
        <v>230</v>
      </c>
      <c r="I63" s="77"/>
      <c r="J63" s="18">
        <v>4</v>
      </c>
      <c r="K63" s="78"/>
      <c r="L63" s="19"/>
      <c r="M63" s="19"/>
      <c r="N63" s="19"/>
      <c r="O63" s="19"/>
      <c r="P63" s="19"/>
      <c r="Q63" s="18"/>
      <c r="R63" s="79"/>
      <c r="S63" s="18"/>
      <c r="T63" s="19"/>
      <c r="U63" s="19"/>
      <c r="V63" s="19"/>
      <c r="W63" s="19"/>
      <c r="X63" s="19"/>
      <c r="Y63" s="19"/>
    </row>
    <row r="64" spans="1:25" ht="13.2">
      <c r="A64" s="73">
        <v>2</v>
      </c>
      <c r="B64" s="74" t="s">
        <v>1161</v>
      </c>
      <c r="C64" s="18">
        <v>64</v>
      </c>
      <c r="D64" s="75">
        <v>3</v>
      </c>
      <c r="E64" s="76">
        <v>43675</v>
      </c>
      <c r="F64" s="20" t="str">
        <f>HYPERLINK("https://news.okezone.com/read/2019/07/29/337/2084789/peristiwa-29-juli-kelahiran-diktator-italia-benito-mussolini-hingga-terbakarnya-kapal-as-di-pantai-vietnam ","sumber")</f>
        <v>sumber</v>
      </c>
      <c r="G64" s="18" t="s">
        <v>1</v>
      </c>
      <c r="H64" s="75">
        <v>370</v>
      </c>
      <c r="I64" s="77"/>
      <c r="J64" s="18">
        <v>4</v>
      </c>
      <c r="K64" s="78"/>
      <c r="L64" s="19"/>
      <c r="M64" s="19"/>
      <c r="N64" s="19"/>
      <c r="O64" s="19"/>
      <c r="P64" s="19"/>
      <c r="Q64" s="18"/>
      <c r="R64" s="79"/>
      <c r="S64" s="18"/>
      <c r="T64" s="19"/>
      <c r="U64" s="19"/>
      <c r="V64" s="19"/>
      <c r="W64" s="19"/>
      <c r="X64" s="19"/>
      <c r="Y64" s="19"/>
    </row>
    <row r="65" spans="1:25" ht="13.2">
      <c r="A65" s="73">
        <v>2</v>
      </c>
      <c r="B65" s="74" t="s">
        <v>1162</v>
      </c>
      <c r="C65" s="18">
        <v>65</v>
      </c>
      <c r="D65" s="75">
        <v>9</v>
      </c>
      <c r="E65" s="76">
        <v>43676</v>
      </c>
      <c r="F65" s="20" t="str">
        <f>HYPERLINK("https://khazanah.republika.co.id/berita/pvfkil313/mengenal-kafe-alfishawy ","sumber")</f>
        <v>sumber</v>
      </c>
      <c r="G65" s="18" t="s">
        <v>1</v>
      </c>
      <c r="H65" s="75">
        <v>408</v>
      </c>
      <c r="I65" s="77"/>
      <c r="J65" s="18">
        <v>4</v>
      </c>
      <c r="K65" s="78"/>
      <c r="L65" s="19"/>
      <c r="M65" s="19"/>
      <c r="N65" s="19"/>
      <c r="O65" s="19"/>
      <c r="P65" s="19"/>
      <c r="Q65" s="18"/>
      <c r="R65" s="79"/>
      <c r="S65" s="18"/>
      <c r="T65" s="19"/>
      <c r="U65" s="19"/>
      <c r="V65" s="19"/>
      <c r="W65" s="19"/>
      <c r="X65" s="19"/>
      <c r="Y65" s="19"/>
    </row>
    <row r="66" spans="1:25" ht="13.2">
      <c r="A66" s="73">
        <v>2</v>
      </c>
      <c r="B66" s="74" t="s">
        <v>1163</v>
      </c>
      <c r="C66" s="18">
        <v>66</v>
      </c>
      <c r="D66" s="75">
        <v>3</v>
      </c>
      <c r="E66" s="76">
        <v>43679</v>
      </c>
      <c r="F66" s="20" t="str">
        <f>HYPERLINK("https://news.okezone.com/read/2019/08/02/65/2086792/10-daftar-kampus-indonesia-di-world-class-university ","sumber")</f>
        <v>sumber</v>
      </c>
      <c r="G66" s="18" t="s">
        <v>1</v>
      </c>
      <c r="H66" s="75">
        <v>439</v>
      </c>
      <c r="I66" s="77"/>
      <c r="J66" s="18">
        <v>4</v>
      </c>
      <c r="K66" s="78"/>
      <c r="L66" s="19"/>
      <c r="M66" s="19"/>
      <c r="N66" s="19"/>
      <c r="O66" s="19"/>
      <c r="P66" s="19"/>
      <c r="Q66" s="18"/>
      <c r="R66" s="79"/>
      <c r="S66" s="18"/>
      <c r="T66" s="19"/>
      <c r="U66" s="19"/>
      <c r="V66" s="19"/>
      <c r="W66" s="19"/>
      <c r="X66" s="19"/>
      <c r="Y66" s="19"/>
    </row>
    <row r="67" spans="1:25" ht="26.4">
      <c r="A67" s="69">
        <v>1</v>
      </c>
      <c r="B67" s="64" t="s">
        <v>1164</v>
      </c>
      <c r="C67" s="11">
        <v>67</v>
      </c>
      <c r="D67" s="65">
        <v>3</v>
      </c>
      <c r="E67" s="66">
        <v>43685</v>
      </c>
      <c r="F67" s="13" t="str">
        <f>HYPERLINK("https://news.okezone.com/read/2019/08/08/340/2089480/mengaku-telah-mati-7-kali-dan-bertemu-allah-pria-di-aceh-ditangkap-polisi ","sumber")</f>
        <v>sumber</v>
      </c>
      <c r="G67" s="13" t="str">
        <f t="shared" ref="G67:G69" si="5">HYPERLINK("https://drive.google.com/open?id=15K5sriRJOw0JTPqD9yRZzl0fwZcfdV8X","lokasi")</f>
        <v>lokasi</v>
      </c>
      <c r="H67" s="65">
        <v>408</v>
      </c>
      <c r="I67" s="67">
        <v>2</v>
      </c>
      <c r="J67" s="11">
        <v>4</v>
      </c>
      <c r="K67" s="70" t="s">
        <v>1165</v>
      </c>
      <c r="L67" s="11">
        <v>0</v>
      </c>
      <c r="M67" s="11">
        <v>0</v>
      </c>
      <c r="N67" s="15">
        <v>0</v>
      </c>
      <c r="O67" s="11">
        <v>0</v>
      </c>
      <c r="P67" s="11">
        <v>0</v>
      </c>
      <c r="Q67" s="11">
        <v>0</v>
      </c>
      <c r="R67" s="11">
        <v>-1</v>
      </c>
      <c r="S67" s="11" t="s">
        <v>1166</v>
      </c>
      <c r="T67" s="11">
        <v>2</v>
      </c>
      <c r="U67" s="11">
        <v>0</v>
      </c>
      <c r="V67" s="11">
        <v>0</v>
      </c>
      <c r="W67" s="14"/>
      <c r="X67" s="14"/>
      <c r="Y67" s="14"/>
    </row>
    <row r="68" spans="1:25" ht="39.6">
      <c r="A68" s="69">
        <v>1</v>
      </c>
      <c r="B68" s="64" t="s">
        <v>1167</v>
      </c>
      <c r="C68" s="11">
        <v>68</v>
      </c>
      <c r="D68" s="65">
        <v>5</v>
      </c>
      <c r="E68" s="66">
        <v>43685</v>
      </c>
      <c r="F68" s="13" t="str">
        <f>HYPERLINK("https://tirto.id/kisah-pindah-agama-kegelisahan-iman-itu-normal-efSK ","sumber")</f>
        <v>sumber</v>
      </c>
      <c r="G68" s="13" t="str">
        <f t="shared" si="5"/>
        <v>lokasi</v>
      </c>
      <c r="H68" s="65">
        <v>2196</v>
      </c>
      <c r="I68" s="67">
        <v>2</v>
      </c>
      <c r="J68" s="11">
        <v>4</v>
      </c>
      <c r="K68" s="70" t="s">
        <v>1168</v>
      </c>
      <c r="L68" s="11">
        <v>0</v>
      </c>
      <c r="M68" s="11">
        <v>0</v>
      </c>
      <c r="N68" s="15">
        <v>0</v>
      </c>
      <c r="O68" s="11">
        <v>0</v>
      </c>
      <c r="P68" s="11">
        <v>0</v>
      </c>
      <c r="Q68" s="11" t="s">
        <v>170</v>
      </c>
      <c r="R68" s="11" t="s">
        <v>170</v>
      </c>
      <c r="S68" s="11"/>
      <c r="T68" s="11">
        <v>0</v>
      </c>
      <c r="U68" s="11">
        <v>0</v>
      </c>
      <c r="V68" s="11">
        <v>1</v>
      </c>
      <c r="W68" s="14"/>
      <c r="X68" s="14"/>
      <c r="Y68" s="14"/>
    </row>
    <row r="69" spans="1:25" ht="26.4">
      <c r="A69" s="69">
        <v>1</v>
      </c>
      <c r="B69" s="64" t="s">
        <v>1169</v>
      </c>
      <c r="C69" s="11">
        <v>69</v>
      </c>
      <c r="D69" s="65">
        <v>10</v>
      </c>
      <c r="E69" s="66">
        <v>43686</v>
      </c>
      <c r="F69" s="13" t="str">
        <f>HYPERLINK("https://nasional.tempo.co/read/1234101/9-isu-ham-dalam-surat-human-rights-watch-untuk-jokowi ","sumber")</f>
        <v>sumber</v>
      </c>
      <c r="G69" s="13" t="str">
        <f t="shared" si="5"/>
        <v>lokasi</v>
      </c>
      <c r="H69" s="65">
        <v>312</v>
      </c>
      <c r="I69" s="67">
        <v>4</v>
      </c>
      <c r="J69" s="11">
        <v>4</v>
      </c>
      <c r="K69" s="70" t="s">
        <v>1170</v>
      </c>
      <c r="L69" s="11">
        <v>0</v>
      </c>
      <c r="M69" s="11">
        <v>0</v>
      </c>
      <c r="N69" s="15">
        <v>0</v>
      </c>
      <c r="O69" s="11">
        <v>0</v>
      </c>
      <c r="P69" s="11">
        <v>0</v>
      </c>
      <c r="Q69" s="11">
        <v>0</v>
      </c>
      <c r="R69" s="11">
        <v>1</v>
      </c>
      <c r="S69" s="11"/>
      <c r="T69" s="11">
        <v>0</v>
      </c>
      <c r="U69" s="11">
        <v>0</v>
      </c>
      <c r="V69" s="11">
        <v>1</v>
      </c>
      <c r="W69" s="14"/>
      <c r="X69" s="14"/>
      <c r="Y69" s="14"/>
    </row>
    <row r="70" spans="1:25" ht="13.2">
      <c r="A70" s="73">
        <v>2</v>
      </c>
      <c r="B70" s="74" t="s">
        <v>1171</v>
      </c>
      <c r="C70" s="18">
        <v>70</v>
      </c>
      <c r="D70" s="75">
        <v>10</v>
      </c>
      <c r="E70" s="76">
        <v>43695</v>
      </c>
      <c r="F70" s="20" t="str">
        <f>HYPERLINK("https://dunia.tempo.co/read/1237460/bom-bunuh-diri-di-pernikahan-afganistan-63-tewas-dan-182-luka ","sumber")</f>
        <v>sumber</v>
      </c>
      <c r="G70" s="18" t="s">
        <v>1</v>
      </c>
      <c r="H70" s="75">
        <v>406</v>
      </c>
      <c r="I70" s="77"/>
      <c r="J70" s="18">
        <v>4</v>
      </c>
      <c r="K70" s="78"/>
      <c r="L70" s="19"/>
      <c r="M70" s="19"/>
      <c r="N70" s="19"/>
      <c r="O70" s="19"/>
      <c r="P70" s="19"/>
      <c r="Q70" s="18"/>
      <c r="R70" s="79"/>
      <c r="S70" s="18"/>
      <c r="T70" s="19"/>
      <c r="U70" s="19"/>
      <c r="V70" s="19"/>
      <c r="W70" s="19"/>
      <c r="X70" s="19"/>
      <c r="Y70" s="19"/>
    </row>
    <row r="71" spans="1:25" ht="13.2">
      <c r="A71" s="73">
        <v>2</v>
      </c>
      <c r="B71" s="74" t="s">
        <v>1172</v>
      </c>
      <c r="C71" s="18">
        <v>71</v>
      </c>
      <c r="D71" s="75">
        <v>1</v>
      </c>
      <c r="E71" s="76">
        <v>43696</v>
      </c>
      <c r="F71" s="20" t="str">
        <f>HYPERLINK("https://news.detik.com/bbc-world/d-4672349/pesta-pernikahan-disasar-bom-pengantin-pria-di-afganistan-hilang-harapan ","sumber")</f>
        <v>sumber</v>
      </c>
      <c r="G71" s="18" t="s">
        <v>1</v>
      </c>
      <c r="H71" s="75">
        <v>646</v>
      </c>
      <c r="I71" s="77"/>
      <c r="J71" s="18">
        <v>4</v>
      </c>
      <c r="K71" s="78"/>
      <c r="L71" s="19"/>
      <c r="M71" s="19"/>
      <c r="N71" s="19"/>
      <c r="O71" s="19"/>
      <c r="P71" s="19"/>
      <c r="Q71" s="18"/>
      <c r="R71" s="79"/>
      <c r="S71" s="18"/>
      <c r="T71" s="19"/>
      <c r="U71" s="19"/>
      <c r="V71" s="19"/>
      <c r="W71" s="19"/>
      <c r="X71" s="19"/>
      <c r="Y71" s="19"/>
    </row>
    <row r="72" spans="1:25" ht="13.2">
      <c r="A72" s="73">
        <v>2</v>
      </c>
      <c r="B72" s="74" t="s">
        <v>1173</v>
      </c>
      <c r="C72" s="18">
        <v>72</v>
      </c>
      <c r="D72" s="75">
        <v>7</v>
      </c>
      <c r="E72" s="76">
        <v>43709</v>
      </c>
      <c r="F72" s="20" t="str">
        <f>HYPERLINK("https://www.tribunnews.com/nasional/2019/09/01/pengamat-politik-dosen-universitas-syiah-kuala-jadi-tersangka-kasus-dugaan-pencemaran-nama-baik ","sumber")</f>
        <v>sumber</v>
      </c>
      <c r="G72" s="18" t="s">
        <v>1</v>
      </c>
      <c r="H72" s="75">
        <v>243</v>
      </c>
      <c r="I72" s="77"/>
      <c r="J72" s="18">
        <v>4</v>
      </c>
      <c r="K72" s="78"/>
      <c r="L72" s="19"/>
      <c r="M72" s="19"/>
      <c r="N72" s="19"/>
      <c r="O72" s="19"/>
      <c r="P72" s="19"/>
      <c r="Q72" s="18"/>
      <c r="R72" s="79"/>
      <c r="S72" s="18"/>
      <c r="T72" s="19"/>
      <c r="U72" s="19"/>
      <c r="V72" s="19"/>
      <c r="W72" s="19"/>
      <c r="X72" s="19"/>
      <c r="Y72" s="19"/>
    </row>
    <row r="73" spans="1:25" ht="13.2">
      <c r="A73" s="73">
        <v>2</v>
      </c>
      <c r="B73" s="74" t="s">
        <v>1174</v>
      </c>
      <c r="C73" s="18">
        <v>73</v>
      </c>
      <c r="D73" s="75">
        <v>1</v>
      </c>
      <c r="E73" s="76">
        <v>43710</v>
      </c>
      <c r="F73" s="20" t="str">
        <f>HYPERLINK("https://finance.detik.com/berita-ekonomi-bisnis/d-4690522/ajak-milenial-kuasai-teknologi-jk-contohkan-bos-gojek-dan-bukalapak ","sumber")</f>
        <v>sumber</v>
      </c>
      <c r="G73" s="18" t="s">
        <v>1</v>
      </c>
      <c r="H73" s="75">
        <v>335</v>
      </c>
      <c r="I73" s="77"/>
      <c r="J73" s="18">
        <v>4</v>
      </c>
      <c r="K73" s="78"/>
      <c r="L73" s="19"/>
      <c r="M73" s="19"/>
      <c r="N73" s="19"/>
      <c r="O73" s="19"/>
      <c r="P73" s="19"/>
      <c r="Q73" s="18"/>
      <c r="R73" s="79"/>
      <c r="S73" s="18"/>
      <c r="T73" s="19"/>
      <c r="U73" s="19"/>
      <c r="V73" s="19"/>
      <c r="W73" s="19"/>
      <c r="X73" s="19"/>
      <c r="Y73" s="19"/>
    </row>
    <row r="74" spans="1:25" ht="13.2">
      <c r="A74" s="73">
        <v>2</v>
      </c>
      <c r="B74" s="74" t="s">
        <v>1175</v>
      </c>
      <c r="C74" s="18">
        <v>74</v>
      </c>
      <c r="D74" s="75">
        <v>7</v>
      </c>
      <c r="E74" s="76">
        <v>43710</v>
      </c>
      <c r="F74" s="20" t="str">
        <f>HYPERLINK("https://www.tribunnews.com/internasional/2019/09/02/di-ambang-perang-israel-vs-hizbullah-saling-lepas-rudal-di-perbatasan-lebanon ","sumber")</f>
        <v>sumber</v>
      </c>
      <c r="G74" s="18" t="s">
        <v>1</v>
      </c>
      <c r="H74" s="75">
        <v>182</v>
      </c>
      <c r="I74" s="77"/>
      <c r="J74" s="18">
        <v>4</v>
      </c>
      <c r="K74" s="78"/>
      <c r="L74" s="19"/>
      <c r="M74" s="19"/>
      <c r="N74" s="19"/>
      <c r="O74" s="19"/>
      <c r="P74" s="19"/>
      <c r="Q74" s="18"/>
      <c r="R74" s="79"/>
      <c r="S74" s="18"/>
      <c r="T74" s="19"/>
      <c r="U74" s="19"/>
      <c r="V74" s="19"/>
      <c r="W74" s="19"/>
      <c r="X74" s="19"/>
      <c r="Y74" s="19"/>
    </row>
    <row r="75" spans="1:25" ht="39.6">
      <c r="A75" s="69">
        <v>1</v>
      </c>
      <c r="B75" s="64" t="s">
        <v>1176</v>
      </c>
      <c r="C75" s="11">
        <v>75</v>
      </c>
      <c r="D75" s="65">
        <v>6</v>
      </c>
      <c r="E75" s="66">
        <v>43473</v>
      </c>
      <c r="F75" s="13" t="str">
        <f>HYPERLINK("https://regional.kompas.com/read/2019/01/08/22255081/dua-bocah-tewas-dalam-kebakaran-di-ambon ","sumber")</f>
        <v>sumber</v>
      </c>
      <c r="G75" s="13" t="str">
        <f t="shared" ref="G75:G78" si="6">HYPERLINK("https://drive.google.com/open?id=15K5sriRJOw0JTPqD9yRZzl0fwZcfdV8X","lokasi")</f>
        <v>lokasi</v>
      </c>
      <c r="H75" s="65">
        <v>277</v>
      </c>
      <c r="I75" s="67">
        <v>1</v>
      </c>
      <c r="J75" s="11">
        <v>2</v>
      </c>
      <c r="K75" s="70" t="s">
        <v>1177</v>
      </c>
      <c r="L75" s="11">
        <v>0</v>
      </c>
      <c r="M75" s="28">
        <v>0</v>
      </c>
      <c r="N75" s="15">
        <v>0</v>
      </c>
      <c r="O75" s="11">
        <v>0</v>
      </c>
      <c r="P75" s="11">
        <v>0</v>
      </c>
      <c r="Q75" s="11" t="s">
        <v>29</v>
      </c>
      <c r="R75" s="11" t="s">
        <v>53</v>
      </c>
      <c r="S75" s="11" t="s">
        <v>1178</v>
      </c>
      <c r="T75" s="11">
        <v>1</v>
      </c>
      <c r="U75" s="11">
        <v>-1</v>
      </c>
      <c r="V75" s="11">
        <v>1</v>
      </c>
      <c r="W75" s="14"/>
      <c r="X75" s="14"/>
      <c r="Y75" s="14"/>
    </row>
    <row r="76" spans="1:25" ht="79.2">
      <c r="A76" s="80">
        <v>1</v>
      </c>
      <c r="B76" s="81" t="s">
        <v>1179</v>
      </c>
      <c r="C76" s="82">
        <v>76</v>
      </c>
      <c r="D76" s="83">
        <v>1</v>
      </c>
      <c r="E76" s="84">
        <v>43484</v>
      </c>
      <c r="F76" s="85" t="str">
        <f>HYPERLINK("https://news.detik.com/berita/d-4391652/sudah-lama-mati-hotline-cegah-bunuh-diri-akan-dihidupkan-lagi ","sumber")</f>
        <v>sumber</v>
      </c>
      <c r="G76" s="85" t="str">
        <f t="shared" si="6"/>
        <v>lokasi</v>
      </c>
      <c r="H76" s="83">
        <v>969</v>
      </c>
      <c r="I76" s="86">
        <v>4</v>
      </c>
      <c r="J76" s="82">
        <v>2</v>
      </c>
      <c r="K76" s="87" t="s">
        <v>1180</v>
      </c>
      <c r="L76" s="82">
        <v>0</v>
      </c>
      <c r="M76" s="82">
        <v>0</v>
      </c>
      <c r="N76" s="88">
        <v>0</v>
      </c>
      <c r="O76" s="82">
        <v>0</v>
      </c>
      <c r="P76" s="82">
        <v>0</v>
      </c>
      <c r="Q76" s="82" t="s">
        <v>29</v>
      </c>
      <c r="R76" s="89" t="s">
        <v>29</v>
      </c>
      <c r="S76" s="82"/>
      <c r="T76" s="82">
        <v>0</v>
      </c>
      <c r="U76" s="82">
        <v>0</v>
      </c>
      <c r="V76" s="82">
        <v>1</v>
      </c>
      <c r="W76" s="90"/>
      <c r="X76" s="90"/>
      <c r="Y76" s="90"/>
    </row>
    <row r="77" spans="1:25" ht="26.4">
      <c r="A77" s="80">
        <v>1</v>
      </c>
      <c r="B77" s="81" t="s">
        <v>1181</v>
      </c>
      <c r="C77" s="82">
        <v>77</v>
      </c>
      <c r="D77" s="83">
        <v>8</v>
      </c>
      <c r="E77" s="84">
        <v>43494</v>
      </c>
      <c r="F77" s="85" t="str">
        <f>HYPERLINK("https://www.suara.com/lifestyle/2019/01/29/100500/pengguna-kursi-roda-dilarang-naik-pesawat","sumber")</f>
        <v>sumber</v>
      </c>
      <c r="G77" s="85" t="str">
        <f t="shared" si="6"/>
        <v>lokasi</v>
      </c>
      <c r="H77" s="83">
        <v>292</v>
      </c>
      <c r="I77" s="86">
        <v>1</v>
      </c>
      <c r="J77" s="82">
        <v>2</v>
      </c>
      <c r="K77" s="87" t="s">
        <v>1182</v>
      </c>
      <c r="L77" s="82">
        <v>0</v>
      </c>
      <c r="M77" s="28">
        <v>0</v>
      </c>
      <c r="N77" s="88">
        <v>0</v>
      </c>
      <c r="O77" s="82">
        <v>0</v>
      </c>
      <c r="P77" s="82">
        <v>-1</v>
      </c>
      <c r="Q77" s="82">
        <v>2</v>
      </c>
      <c r="R77" s="89">
        <v>1</v>
      </c>
      <c r="S77" s="82"/>
      <c r="T77" s="82">
        <v>0</v>
      </c>
      <c r="U77" s="82">
        <v>0</v>
      </c>
      <c r="V77" s="82">
        <v>1</v>
      </c>
      <c r="W77" s="90"/>
      <c r="X77" s="90"/>
      <c r="Y77" s="90"/>
    </row>
    <row r="78" spans="1:25" ht="52.8">
      <c r="A78" s="80">
        <v>1</v>
      </c>
      <c r="B78" s="81" t="s">
        <v>1183</v>
      </c>
      <c r="C78" s="82">
        <v>78</v>
      </c>
      <c r="D78" s="83">
        <v>7</v>
      </c>
      <c r="E78" s="84">
        <v>43480</v>
      </c>
      <c r="F78" s="85" t="str">
        <f>HYPERLINK("http://www.tribunnews.com/regional/2019/01/15/seorang-kakek-tak-beridentitas-tiba-tiba-ambruk-lalu-meninggal-di-jalan-raya-babat-bojonegoro","sumber")</f>
        <v>sumber</v>
      </c>
      <c r="G78" s="85" t="str">
        <f t="shared" si="6"/>
        <v>lokasi</v>
      </c>
      <c r="H78" s="83">
        <v>218</v>
      </c>
      <c r="I78" s="86">
        <v>1</v>
      </c>
      <c r="J78" s="82">
        <v>2</v>
      </c>
      <c r="K78" s="87" t="s">
        <v>1184</v>
      </c>
      <c r="L78" s="82">
        <v>0</v>
      </c>
      <c r="M78" s="28">
        <v>0</v>
      </c>
      <c r="N78" s="88">
        <v>0</v>
      </c>
      <c r="O78" s="82">
        <v>0</v>
      </c>
      <c r="P78" s="82">
        <v>0</v>
      </c>
      <c r="Q78" s="82" t="s">
        <v>29</v>
      </c>
      <c r="R78" s="89" t="s">
        <v>53</v>
      </c>
      <c r="S78" s="82"/>
      <c r="T78" s="82">
        <v>0</v>
      </c>
      <c r="U78" s="82">
        <v>0</v>
      </c>
      <c r="V78" s="82">
        <v>0</v>
      </c>
      <c r="W78" s="90"/>
      <c r="X78" s="90"/>
      <c r="Y78" s="90"/>
    </row>
    <row r="79" spans="1:25" ht="13.2">
      <c r="A79" s="73">
        <v>2</v>
      </c>
      <c r="B79" s="74" t="s">
        <v>1185</v>
      </c>
      <c r="C79" s="18">
        <v>79</v>
      </c>
      <c r="D79" s="75">
        <v>4</v>
      </c>
      <c r="E79" s="76">
        <v>43486</v>
      </c>
      <c r="F79" s="20" t="str">
        <f>HYPERLINK("https://www.liputan6.com/news/read/3873235/teror-candi-borobudur-misteri-ledakan-9-bom-di-pagi-buta ","sumber")</f>
        <v>sumber</v>
      </c>
      <c r="G79" s="18" t="s">
        <v>1</v>
      </c>
      <c r="H79" s="75">
        <v>897</v>
      </c>
      <c r="I79" s="77"/>
      <c r="J79" s="18">
        <v>2</v>
      </c>
      <c r="K79" s="78"/>
      <c r="L79" s="19"/>
      <c r="M79" s="19"/>
      <c r="N79" s="19"/>
      <c r="O79" s="19"/>
      <c r="P79" s="19"/>
      <c r="Q79" s="18"/>
      <c r="R79" s="79"/>
      <c r="S79" s="18"/>
      <c r="T79" s="19"/>
      <c r="U79" s="19"/>
      <c r="V79" s="19"/>
      <c r="W79" s="19"/>
      <c r="X79" s="19"/>
      <c r="Y79" s="19"/>
    </row>
    <row r="80" spans="1:25" ht="13.2">
      <c r="A80" s="80">
        <v>1</v>
      </c>
      <c r="B80" s="81" t="s">
        <v>1186</v>
      </c>
      <c r="C80" s="82">
        <v>80</v>
      </c>
      <c r="D80" s="83">
        <v>7</v>
      </c>
      <c r="E80" s="84">
        <v>43468</v>
      </c>
      <c r="F80" s="85" t="str">
        <f>HYPERLINK("http://www.tribunnews.com/metropolitan/2019/01/03/pria-diduga-mengidap-gangguan-jiwa-aniaya-bayi-2-tahun-hingga-tewas-di-pasar-rebo","sumber")</f>
        <v>sumber</v>
      </c>
      <c r="G80" s="85" t="str">
        <f>HYPERLINK("https://drive.google.com/open?id=15K5sriRJOw0JTPqD9yRZzl0fwZcfdV8X","lokasi")</f>
        <v>lokasi</v>
      </c>
      <c r="H80" s="83">
        <v>307</v>
      </c>
      <c r="I80" s="86">
        <v>1</v>
      </c>
      <c r="J80" s="82">
        <v>2</v>
      </c>
      <c r="K80" s="87" t="s">
        <v>1187</v>
      </c>
      <c r="L80" s="82">
        <v>0</v>
      </c>
      <c r="M80" s="28">
        <v>0</v>
      </c>
      <c r="N80" s="88">
        <v>0</v>
      </c>
      <c r="O80" s="82">
        <v>0</v>
      </c>
      <c r="P80" s="82">
        <v>0</v>
      </c>
      <c r="Q80" s="82">
        <v>0</v>
      </c>
      <c r="R80" s="89">
        <v>0</v>
      </c>
      <c r="S80" s="82"/>
      <c r="T80" s="82">
        <v>0</v>
      </c>
      <c r="U80" s="82">
        <v>-1</v>
      </c>
      <c r="V80" s="82">
        <v>1</v>
      </c>
      <c r="W80" s="90"/>
      <c r="X80" s="90"/>
      <c r="Y80" s="90"/>
    </row>
    <row r="81" spans="1:25" ht="13.2">
      <c r="A81" s="73">
        <v>2</v>
      </c>
      <c r="B81" s="74" t="s">
        <v>1188</v>
      </c>
      <c r="C81" s="18">
        <v>81</v>
      </c>
      <c r="D81" s="75">
        <v>1</v>
      </c>
      <c r="E81" s="76">
        <v>43490</v>
      </c>
      <c r="F81" s="20" t="str">
        <f>HYPERLINK("https://finance.detik.com/foto-bisnis/d-4400403/kaki-palsu-buatan-penyandang-disabilitas-ini-tembus-malaysia ","sumber")</f>
        <v>sumber</v>
      </c>
      <c r="G81" s="18" t="s">
        <v>1</v>
      </c>
      <c r="H81" s="75">
        <v>6</v>
      </c>
      <c r="I81" s="77"/>
      <c r="J81" s="18">
        <v>2</v>
      </c>
      <c r="K81" s="78"/>
      <c r="L81" s="19"/>
      <c r="M81" s="19"/>
      <c r="N81" s="19"/>
      <c r="O81" s="19"/>
      <c r="P81" s="19"/>
      <c r="Q81" s="18"/>
      <c r="R81" s="79"/>
      <c r="S81" s="18"/>
      <c r="T81" s="19"/>
      <c r="U81" s="19"/>
      <c r="V81" s="19"/>
      <c r="W81" s="19"/>
      <c r="X81" s="19"/>
      <c r="Y81" s="19"/>
    </row>
    <row r="82" spans="1:25" ht="26.4">
      <c r="A82" s="69">
        <v>1</v>
      </c>
      <c r="B82" s="64" t="s">
        <v>1189</v>
      </c>
      <c r="C82" s="11">
        <v>82</v>
      </c>
      <c r="D82" s="65">
        <v>7</v>
      </c>
      <c r="E82" s="66">
        <v>43490</v>
      </c>
      <c r="F82" s="13" t="str">
        <f>HYPERLINK("http://www.tribunnews.com/regional/2019/01/25/bantu-warga-kuasai-tanah-penyandang-disabilitas-sejumlah-perangkat-desa-jadi-tersangka ","sumber")</f>
        <v>sumber</v>
      </c>
      <c r="G82" s="13" t="str">
        <f>HYPERLINK("https://drive.google.com/open?id=15K5sriRJOw0JTPqD9yRZzl0fwZcfdV8X","lokasi")</f>
        <v>lokasi</v>
      </c>
      <c r="H82" s="65">
        <v>201</v>
      </c>
      <c r="I82" s="67">
        <v>1</v>
      </c>
      <c r="J82" s="11">
        <v>2</v>
      </c>
      <c r="K82" s="70" t="s">
        <v>1190</v>
      </c>
      <c r="L82" s="11">
        <v>0</v>
      </c>
      <c r="M82" s="11">
        <v>1</v>
      </c>
      <c r="N82" s="15">
        <v>0</v>
      </c>
      <c r="O82" s="11">
        <v>0</v>
      </c>
      <c r="P82" s="11">
        <v>0</v>
      </c>
      <c r="Q82" s="11">
        <v>1</v>
      </c>
      <c r="R82" s="11">
        <v>1</v>
      </c>
      <c r="S82" s="11"/>
      <c r="T82" s="11">
        <v>0</v>
      </c>
      <c r="U82" s="11">
        <v>0</v>
      </c>
      <c r="V82" s="11">
        <v>1</v>
      </c>
      <c r="W82" s="14"/>
      <c r="X82" s="14"/>
      <c r="Y82" s="14"/>
    </row>
    <row r="83" spans="1:25" ht="13.2">
      <c r="A83" s="73">
        <v>2</v>
      </c>
      <c r="B83" s="74" t="s">
        <v>1191</v>
      </c>
      <c r="C83" s="18">
        <v>83</v>
      </c>
      <c r="D83" s="75">
        <v>7</v>
      </c>
      <c r="E83" s="76">
        <v>43492</v>
      </c>
      <c r="F83" s="20" t="str">
        <f>HYPERLINK("http://www.tribunnews.com/superskor/2019/01/27/conor-mcgregor-sebut-ole-gunnar-solskjaer-gila-usai-kalahkan-arsenal ","sumber")</f>
        <v>sumber</v>
      </c>
      <c r="G83" s="18" t="s">
        <v>1</v>
      </c>
      <c r="H83" s="75">
        <v>70</v>
      </c>
      <c r="I83" s="77"/>
      <c r="J83" s="18">
        <v>2</v>
      </c>
      <c r="K83" s="78"/>
      <c r="L83" s="19"/>
      <c r="M83" s="19"/>
      <c r="N83" s="19"/>
      <c r="O83" s="19"/>
      <c r="P83" s="19"/>
      <c r="Q83" s="18"/>
      <c r="R83" s="79"/>
      <c r="S83" s="18"/>
      <c r="T83" s="19"/>
      <c r="U83" s="19"/>
      <c r="V83" s="19"/>
      <c r="W83" s="19"/>
      <c r="X83" s="19"/>
      <c r="Y83" s="19"/>
    </row>
    <row r="84" spans="1:25" ht="26.4">
      <c r="A84" s="69">
        <v>1</v>
      </c>
      <c r="B84" s="64" t="s">
        <v>1192</v>
      </c>
      <c r="C84" s="11">
        <v>84</v>
      </c>
      <c r="D84" s="65">
        <v>2</v>
      </c>
      <c r="E84" s="66">
        <v>43493</v>
      </c>
      <c r="F84" s="13" t="str">
        <f>HYPERLINK("https://www.cnnindonesia.com/nasional/20190128182629-32-364530/said-aqil-tak-mau-didikte-mui-ketua-pbnu-harus-nekat ","sumber")</f>
        <v>sumber</v>
      </c>
      <c r="G84" s="13" t="str">
        <f t="shared" ref="G84:G87" si="7">HYPERLINK("https://drive.google.com/open?id=15K5sriRJOw0JTPqD9yRZzl0fwZcfdV8X","lokasi")</f>
        <v>lokasi</v>
      </c>
      <c r="H84" s="65">
        <v>501</v>
      </c>
      <c r="I84" s="67">
        <v>1</v>
      </c>
      <c r="J84" s="11">
        <v>2</v>
      </c>
      <c r="K84" s="70" t="s">
        <v>1193</v>
      </c>
      <c r="L84" s="11">
        <v>0</v>
      </c>
      <c r="M84" s="28">
        <v>0</v>
      </c>
      <c r="N84" s="15">
        <v>0</v>
      </c>
      <c r="O84" s="11">
        <v>0</v>
      </c>
      <c r="P84" s="11">
        <v>0</v>
      </c>
      <c r="Q84" s="11">
        <v>0</v>
      </c>
      <c r="R84" s="11">
        <v>-1</v>
      </c>
      <c r="S84" s="11" t="s">
        <v>1194</v>
      </c>
      <c r="T84" s="11">
        <v>1</v>
      </c>
      <c r="U84" s="11">
        <v>0</v>
      </c>
      <c r="V84" s="11">
        <v>1</v>
      </c>
      <c r="W84" s="14"/>
      <c r="X84" s="14"/>
      <c r="Y84" s="14"/>
    </row>
    <row r="85" spans="1:25" ht="13.2">
      <c r="A85" s="80">
        <v>1</v>
      </c>
      <c r="B85" s="81" t="s">
        <v>1195</v>
      </c>
      <c r="C85" s="82">
        <v>85</v>
      </c>
      <c r="D85" s="83">
        <v>8</v>
      </c>
      <c r="E85" s="84">
        <v>43497</v>
      </c>
      <c r="F85" s="85" t="str">
        <f>HYPERLINK("https://www.suara.com/lifestyle/2019/02/01/133702/kabar-baik-machu-piccu-bisa-diakses-pengunjung-berkursi-roda","sumber")</f>
        <v>sumber</v>
      </c>
      <c r="G85" s="85" t="str">
        <f t="shared" si="7"/>
        <v>lokasi</v>
      </c>
      <c r="H85" s="83">
        <v>418</v>
      </c>
      <c r="I85" s="86">
        <v>2</v>
      </c>
      <c r="J85" s="82">
        <v>2</v>
      </c>
      <c r="K85" s="87" t="s">
        <v>1196</v>
      </c>
      <c r="L85" s="82">
        <v>0</v>
      </c>
      <c r="M85" s="82">
        <v>0</v>
      </c>
      <c r="N85" s="88">
        <v>0</v>
      </c>
      <c r="O85" s="82">
        <v>0</v>
      </c>
      <c r="P85" s="82">
        <v>0</v>
      </c>
      <c r="Q85" s="82">
        <v>0</v>
      </c>
      <c r="R85" s="89">
        <v>1</v>
      </c>
      <c r="S85" s="82"/>
      <c r="T85" s="82">
        <v>0</v>
      </c>
      <c r="U85" s="82">
        <v>0</v>
      </c>
      <c r="V85" s="82">
        <v>1</v>
      </c>
      <c r="W85" s="90"/>
      <c r="X85" s="90"/>
      <c r="Y85" s="90"/>
    </row>
    <row r="86" spans="1:25" ht="66">
      <c r="A86" s="80">
        <v>1</v>
      </c>
      <c r="B86" s="81" t="s">
        <v>1197</v>
      </c>
      <c r="C86" s="82">
        <v>86</v>
      </c>
      <c r="D86" s="83">
        <v>4</v>
      </c>
      <c r="E86" s="84">
        <v>43505</v>
      </c>
      <c r="F86" s="85" t="str">
        <f>HYPERLINK("https://www.liputan6.com/health/read/3890746/kusta-bukan-penyakit-kutukan-dari-dewa-juga-bukan-karena-keturunan","sumber")</f>
        <v>sumber</v>
      </c>
      <c r="G86" s="85" t="str">
        <f t="shared" si="7"/>
        <v>lokasi</v>
      </c>
      <c r="H86" s="83">
        <v>344</v>
      </c>
      <c r="I86" s="86">
        <v>2</v>
      </c>
      <c r="J86" s="82">
        <v>2</v>
      </c>
      <c r="K86" s="87" t="s">
        <v>1198</v>
      </c>
      <c r="L86" s="82">
        <v>0</v>
      </c>
      <c r="M86" s="82">
        <v>0</v>
      </c>
      <c r="N86" s="88">
        <v>0</v>
      </c>
      <c r="O86" s="82">
        <v>0</v>
      </c>
      <c r="P86" s="82">
        <v>0</v>
      </c>
      <c r="Q86" s="82">
        <v>0</v>
      </c>
      <c r="R86" s="89">
        <v>1</v>
      </c>
      <c r="S86" s="82"/>
      <c r="T86" s="82">
        <v>0</v>
      </c>
      <c r="U86" s="82">
        <v>0</v>
      </c>
      <c r="V86" s="82">
        <v>1</v>
      </c>
      <c r="W86" s="90"/>
      <c r="X86" s="90"/>
      <c r="Y86" s="90"/>
    </row>
    <row r="87" spans="1:25" ht="26.4">
      <c r="A87" s="80">
        <v>1</v>
      </c>
      <c r="B87" s="81" t="s">
        <v>1199</v>
      </c>
      <c r="C87" s="82">
        <v>87</v>
      </c>
      <c r="D87" s="83">
        <v>6</v>
      </c>
      <c r="E87" s="84">
        <v>43509</v>
      </c>
      <c r="F87" s="85" t="str">
        <f>HYPERLINK("https://regional.kompas.com/read/2019/02/13/15354131/pengidap-gangguang-jiwa-mengamuk-kades-dan-warganya-dibacok","sumber")</f>
        <v>sumber</v>
      </c>
      <c r="G87" s="85" t="str">
        <f t="shared" si="7"/>
        <v>lokasi</v>
      </c>
      <c r="H87" s="83">
        <v>270</v>
      </c>
      <c r="I87" s="86">
        <v>1</v>
      </c>
      <c r="J87" s="82">
        <v>2</v>
      </c>
      <c r="K87" s="87" t="s">
        <v>1200</v>
      </c>
      <c r="L87" s="82">
        <v>0</v>
      </c>
      <c r="M87" s="28">
        <v>0</v>
      </c>
      <c r="N87" s="88">
        <v>0</v>
      </c>
      <c r="O87" s="82">
        <v>0</v>
      </c>
      <c r="P87" s="82">
        <v>0</v>
      </c>
      <c r="Q87" s="82">
        <v>0</v>
      </c>
      <c r="R87" s="89">
        <v>0</v>
      </c>
      <c r="S87" s="82"/>
      <c r="T87" s="82">
        <v>0</v>
      </c>
      <c r="U87" s="82">
        <v>0</v>
      </c>
      <c r="V87" s="82">
        <v>1</v>
      </c>
      <c r="W87" s="90"/>
      <c r="X87" s="90"/>
      <c r="Y87" s="90"/>
    </row>
    <row r="88" spans="1:25" ht="13.2">
      <c r="A88" s="73">
        <v>2</v>
      </c>
      <c r="B88" s="74" t="s">
        <v>1201</v>
      </c>
      <c r="C88" s="18">
        <v>88</v>
      </c>
      <c r="D88" s="75">
        <v>5</v>
      </c>
      <c r="E88" s="76">
        <v>43505</v>
      </c>
      <c r="F88" s="20" t="str">
        <f>HYPERLINK("https://tirto.id/bebe-rexha-emosional-di-spotifys-best-new-artist-grammy-party-dgqV ","sumber")</f>
        <v>sumber</v>
      </c>
      <c r="G88" s="18" t="s">
        <v>1</v>
      </c>
      <c r="H88" s="75">
        <v>289</v>
      </c>
      <c r="I88" s="77"/>
      <c r="J88" s="18">
        <v>2</v>
      </c>
      <c r="K88" s="78"/>
      <c r="L88" s="19"/>
      <c r="M88" s="19"/>
      <c r="N88" s="19"/>
      <c r="O88" s="19"/>
      <c r="P88" s="19"/>
      <c r="Q88" s="18"/>
      <c r="R88" s="79"/>
      <c r="S88" s="18"/>
      <c r="T88" s="19"/>
      <c r="U88" s="19"/>
      <c r="V88" s="19"/>
      <c r="W88" s="19"/>
      <c r="X88" s="19"/>
      <c r="Y88" s="19"/>
    </row>
    <row r="89" spans="1:25" ht="13.2">
      <c r="A89" s="73">
        <v>2</v>
      </c>
      <c r="B89" s="74" t="s">
        <v>1202</v>
      </c>
      <c r="C89" s="18">
        <v>89</v>
      </c>
      <c r="D89" s="75">
        <v>1</v>
      </c>
      <c r="E89" s="76">
        <v>43515</v>
      </c>
      <c r="F89" s="20" t="str">
        <f>HYPERLINK("https://news.detik.com/detiktv/d-4434040/belajar-dari-pematung-buta-dengan-karya-memesona","sumber")</f>
        <v>sumber</v>
      </c>
      <c r="G89" s="18" t="s">
        <v>1</v>
      </c>
      <c r="H89" s="75">
        <v>20</v>
      </c>
      <c r="I89" s="91"/>
      <c r="J89" s="18">
        <v>2</v>
      </c>
      <c r="K89" s="92"/>
      <c r="L89" s="18"/>
      <c r="M89" s="18"/>
      <c r="N89" s="18"/>
      <c r="O89" s="18"/>
      <c r="P89" s="18"/>
      <c r="Q89" s="18"/>
      <c r="R89" s="79"/>
      <c r="S89" s="18"/>
      <c r="T89" s="18"/>
      <c r="U89" s="18"/>
      <c r="V89" s="18"/>
      <c r="W89" s="19"/>
      <c r="X89" s="19"/>
      <c r="Y89" s="19"/>
    </row>
    <row r="90" spans="1:25" ht="79.2">
      <c r="A90" s="80">
        <v>1</v>
      </c>
      <c r="B90" s="81" t="s">
        <v>1203</v>
      </c>
      <c r="C90" s="82">
        <v>90</v>
      </c>
      <c r="D90" s="83">
        <v>10</v>
      </c>
      <c r="E90" s="84">
        <v>43501</v>
      </c>
      <c r="F90" s="85" t="str">
        <f>HYPERLINK("https://sport.tempo.co/read/1172315/ada-penghargaan-atlet-disabilitas-di-anugerah-olahraga-siwo-pwi","sumber")</f>
        <v>sumber</v>
      </c>
      <c r="G90" s="85" t="str">
        <f t="shared" ref="G90:G94" si="8">HYPERLINK("https://drive.google.com/open?id=15K5sriRJOw0JTPqD9yRZzl0fwZcfdV8X","lokasi")</f>
        <v>lokasi</v>
      </c>
      <c r="H90" s="83">
        <v>288</v>
      </c>
      <c r="I90" s="86">
        <v>3</v>
      </c>
      <c r="J90" s="82">
        <v>2</v>
      </c>
      <c r="K90" s="87" t="s">
        <v>1204</v>
      </c>
      <c r="L90" s="82">
        <v>0</v>
      </c>
      <c r="M90" s="82">
        <v>0</v>
      </c>
      <c r="N90" s="88">
        <v>0</v>
      </c>
      <c r="O90" s="82">
        <v>0</v>
      </c>
      <c r="P90" s="82">
        <v>0</v>
      </c>
      <c r="Q90" s="82" t="s">
        <v>29</v>
      </c>
      <c r="R90" s="89" t="s">
        <v>160</v>
      </c>
      <c r="S90" s="82"/>
      <c r="T90" s="82">
        <v>0</v>
      </c>
      <c r="U90" s="82">
        <v>0</v>
      </c>
      <c r="V90" s="82">
        <v>1</v>
      </c>
      <c r="W90" s="90"/>
      <c r="X90" s="90"/>
      <c r="Y90" s="90"/>
    </row>
    <row r="91" spans="1:25" ht="211.2">
      <c r="A91" s="69">
        <v>1</v>
      </c>
      <c r="B91" s="64" t="s">
        <v>1205</v>
      </c>
      <c r="C91" s="11">
        <v>91</v>
      </c>
      <c r="D91" s="65">
        <v>6</v>
      </c>
      <c r="E91" s="66">
        <v>43510</v>
      </c>
      <c r="F91" s="13" t="str">
        <f>HYPERLINK("https://regional.kompas.com/read/2019/02/14/06000061/kisah-sedih-orang-orang-terpasung-di-manggarai ","sumber")</f>
        <v>sumber</v>
      </c>
      <c r="G91" s="13" t="str">
        <f t="shared" si="8"/>
        <v>lokasi</v>
      </c>
      <c r="H91" s="65">
        <v>358</v>
      </c>
      <c r="I91" s="67">
        <v>2</v>
      </c>
      <c r="J91" s="11">
        <v>2</v>
      </c>
      <c r="K91" s="70" t="s">
        <v>1206</v>
      </c>
      <c r="L91" s="11">
        <v>0</v>
      </c>
      <c r="M91" s="11">
        <v>1</v>
      </c>
      <c r="N91" s="15">
        <v>0</v>
      </c>
      <c r="O91" s="11">
        <v>0</v>
      </c>
      <c r="P91" s="11">
        <v>0</v>
      </c>
      <c r="Q91" s="11" t="s">
        <v>1207</v>
      </c>
      <c r="R91" s="11" t="s">
        <v>1208</v>
      </c>
      <c r="S91" s="11"/>
      <c r="T91" s="11">
        <v>0</v>
      </c>
      <c r="U91" s="11">
        <v>0</v>
      </c>
      <c r="V91" s="11">
        <v>1</v>
      </c>
      <c r="W91" s="14"/>
      <c r="X91" s="14"/>
      <c r="Y91" s="14"/>
    </row>
    <row r="92" spans="1:25" ht="52.8">
      <c r="A92" s="80">
        <v>1</v>
      </c>
      <c r="B92" s="81" t="s">
        <v>1209</v>
      </c>
      <c r="C92" s="82">
        <v>92</v>
      </c>
      <c r="D92" s="83">
        <v>10</v>
      </c>
      <c r="E92" s="84">
        <v>43524</v>
      </c>
      <c r="F92" s="85" t="str">
        <f>HYPERLINK("https://difabel.tempo.co/read/1180487/ternyata-anak-jenius-masuk-anak-berkebutuhan-khusus","sumber")</f>
        <v>sumber</v>
      </c>
      <c r="G92" s="85" t="str">
        <f t="shared" si="8"/>
        <v>lokasi</v>
      </c>
      <c r="H92" s="83">
        <v>399</v>
      </c>
      <c r="I92" s="86">
        <v>2</v>
      </c>
      <c r="J92" s="82">
        <v>2</v>
      </c>
      <c r="K92" s="87" t="s">
        <v>1210</v>
      </c>
      <c r="L92" s="82">
        <v>0</v>
      </c>
      <c r="M92" s="82">
        <v>0</v>
      </c>
      <c r="N92" s="88">
        <v>0</v>
      </c>
      <c r="O92" s="82">
        <v>0</v>
      </c>
      <c r="P92" s="82">
        <v>0</v>
      </c>
      <c r="Q92" s="82" t="s">
        <v>29</v>
      </c>
      <c r="R92" s="89" t="s">
        <v>68</v>
      </c>
      <c r="S92" s="82"/>
      <c r="T92" s="82">
        <v>0</v>
      </c>
      <c r="U92" s="82">
        <v>0</v>
      </c>
      <c r="V92" s="82">
        <v>1</v>
      </c>
      <c r="W92" s="90"/>
      <c r="X92" s="90"/>
      <c r="Y92" s="90"/>
    </row>
    <row r="93" spans="1:25" ht="39.6">
      <c r="A93" s="69">
        <v>1</v>
      </c>
      <c r="B93" s="64" t="s">
        <v>1211</v>
      </c>
      <c r="C93" s="11">
        <v>93</v>
      </c>
      <c r="D93" s="65">
        <v>10</v>
      </c>
      <c r="E93" s="66">
        <v>43511</v>
      </c>
      <c r="F93" s="13" t="str">
        <f>HYPERLINK("https://metro.tempo.co/read/1175959/penderita-epilepsi-kumat-saat-anies-berpidato-ini-yang-terjadi ","sumber")</f>
        <v>sumber</v>
      </c>
      <c r="G93" s="13" t="str">
        <f t="shared" si="8"/>
        <v>lokasi</v>
      </c>
      <c r="H93" s="65">
        <v>281</v>
      </c>
      <c r="I93" s="67">
        <v>3</v>
      </c>
      <c r="J93" s="11">
        <v>2</v>
      </c>
      <c r="K93" s="70" t="s">
        <v>1212</v>
      </c>
      <c r="L93" s="11">
        <v>0</v>
      </c>
      <c r="M93" s="11">
        <v>0</v>
      </c>
      <c r="N93" s="15">
        <v>0</v>
      </c>
      <c r="O93" s="11">
        <v>0</v>
      </c>
      <c r="P93" s="11">
        <v>0</v>
      </c>
      <c r="Q93" s="11" t="s">
        <v>29</v>
      </c>
      <c r="R93" s="11" t="s">
        <v>29</v>
      </c>
      <c r="S93" s="11"/>
      <c r="T93" s="11">
        <v>0</v>
      </c>
      <c r="U93" s="11">
        <v>0</v>
      </c>
      <c r="V93" s="11">
        <v>1</v>
      </c>
      <c r="W93" s="14"/>
      <c r="X93" s="14"/>
      <c r="Y93" s="14"/>
    </row>
    <row r="94" spans="1:25" ht="13.2">
      <c r="A94" s="69">
        <v>1</v>
      </c>
      <c r="B94" s="64" t="s">
        <v>1213</v>
      </c>
      <c r="C94" s="11">
        <v>94</v>
      </c>
      <c r="D94" s="65">
        <v>7</v>
      </c>
      <c r="E94" s="66">
        <v>43511</v>
      </c>
      <c r="F94" s="13" t="str">
        <f>HYPERLINK("http://www.tribunnews.com/seleb/2019/02/15/meriahnya-fan-event-captain-marvel-para-pemain-selfie-dan-beri-tandatangan ","sumber")</f>
        <v>sumber</v>
      </c>
      <c r="G94" s="13" t="str">
        <f t="shared" si="8"/>
        <v>lokasi</v>
      </c>
      <c r="H94" s="65">
        <v>262</v>
      </c>
      <c r="I94" s="67">
        <v>2</v>
      </c>
      <c r="J94" s="11">
        <v>2</v>
      </c>
      <c r="K94" s="70" t="s">
        <v>1214</v>
      </c>
      <c r="L94" s="11">
        <v>0</v>
      </c>
      <c r="M94" s="11">
        <v>0</v>
      </c>
      <c r="N94" s="15">
        <v>0</v>
      </c>
      <c r="O94" s="11">
        <v>0</v>
      </c>
      <c r="P94" s="11">
        <v>0</v>
      </c>
      <c r="Q94" s="11">
        <v>0</v>
      </c>
      <c r="R94" s="11">
        <v>0</v>
      </c>
      <c r="S94" s="11"/>
      <c r="T94" s="11">
        <v>0</v>
      </c>
      <c r="U94" s="11">
        <v>0</v>
      </c>
      <c r="V94" s="11">
        <v>1</v>
      </c>
      <c r="W94" s="14"/>
      <c r="X94" s="14"/>
      <c r="Y94" s="14"/>
    </row>
    <row r="95" spans="1:25" ht="13.2">
      <c r="A95" s="73">
        <v>2</v>
      </c>
      <c r="B95" s="74" t="s">
        <v>1215</v>
      </c>
      <c r="C95" s="18">
        <v>95</v>
      </c>
      <c r="D95" s="75">
        <v>7</v>
      </c>
      <c r="E95" s="76">
        <v>43516</v>
      </c>
      <c r="F95" s="20" t="str">
        <f>HYPERLINK("http://www.tribunnews.com/superskor/2019/02/20/liverpool-vs-bayern-muenchen-leg-pertama-berakhir-0-0 ","sumber")</f>
        <v>sumber</v>
      </c>
      <c r="G95" s="18" t="s">
        <v>1</v>
      </c>
      <c r="H95" s="75">
        <v>154</v>
      </c>
      <c r="I95" s="77"/>
      <c r="J95" s="18">
        <v>2</v>
      </c>
      <c r="K95" s="78"/>
      <c r="L95" s="19"/>
      <c r="M95" s="19"/>
      <c r="N95" s="19"/>
      <c r="O95" s="19"/>
      <c r="P95" s="19"/>
      <c r="Q95" s="18"/>
      <c r="R95" s="79"/>
      <c r="S95" s="18"/>
      <c r="T95" s="19"/>
      <c r="U95" s="19"/>
      <c r="V95" s="19"/>
      <c r="W95" s="19"/>
      <c r="X95" s="19"/>
      <c r="Y95" s="19"/>
    </row>
    <row r="96" spans="1:25" ht="66">
      <c r="A96" s="80">
        <v>1</v>
      </c>
      <c r="B96" s="81" t="s">
        <v>1216</v>
      </c>
      <c r="C96" s="82">
        <v>96</v>
      </c>
      <c r="D96" s="83">
        <v>5</v>
      </c>
      <c r="E96" s="84">
        <v>43510</v>
      </c>
      <c r="F96" s="85" t="str">
        <f>HYPERLINK("https://tirto.id/kpu-diminta-lebih-perhatian-ke-pemilih-penyandang-disabilitas-dg2s","sumber")</f>
        <v>sumber</v>
      </c>
      <c r="G96" s="85" t="str">
        <f>HYPERLINK("https://drive.google.com/open?id=15K5sriRJOw0JTPqD9yRZzl0fwZcfdV8X","lokasi")</f>
        <v>lokasi</v>
      </c>
      <c r="H96" s="83">
        <v>305</v>
      </c>
      <c r="I96" s="86">
        <v>4</v>
      </c>
      <c r="J96" s="82">
        <v>2</v>
      </c>
      <c r="K96" s="87" t="s">
        <v>1217</v>
      </c>
      <c r="L96" s="82">
        <v>0</v>
      </c>
      <c r="M96" s="82">
        <v>0</v>
      </c>
      <c r="N96" s="88">
        <v>0</v>
      </c>
      <c r="O96" s="82">
        <v>0</v>
      </c>
      <c r="P96" s="82">
        <v>0</v>
      </c>
      <c r="Q96" s="82" t="s">
        <v>68</v>
      </c>
      <c r="R96" s="89" t="s">
        <v>160</v>
      </c>
      <c r="S96" s="82"/>
      <c r="T96" s="82">
        <v>0</v>
      </c>
      <c r="U96" s="82">
        <v>0</v>
      </c>
      <c r="V96" s="82">
        <v>1</v>
      </c>
      <c r="W96" s="90"/>
      <c r="X96" s="90"/>
      <c r="Y96" s="90"/>
    </row>
    <row r="97" spans="1:25" ht="13.2">
      <c r="A97" s="73">
        <v>2</v>
      </c>
      <c r="B97" s="74" t="s">
        <v>1218</v>
      </c>
      <c r="C97" s="18">
        <v>97</v>
      </c>
      <c r="D97" s="75">
        <v>2</v>
      </c>
      <c r="E97" s="76">
        <v>43518</v>
      </c>
      <c r="F97" s="20" t="str">
        <f>HYPERLINK("https://www.cnnindonesia.com/internasional/20190222192527-120-371939/latihan-perang-teluk-iran-uji-kapal-selam-rudal ","sumber")</f>
        <v>sumber</v>
      </c>
      <c r="G97" s="18" t="s">
        <v>1</v>
      </c>
      <c r="H97" s="75">
        <v>302</v>
      </c>
      <c r="I97" s="77"/>
      <c r="J97" s="18">
        <v>2</v>
      </c>
      <c r="K97" s="78"/>
      <c r="L97" s="19"/>
      <c r="M97" s="19"/>
      <c r="N97" s="19"/>
      <c r="O97" s="19"/>
      <c r="P97" s="19"/>
      <c r="Q97" s="18"/>
      <c r="R97" s="79"/>
      <c r="S97" s="18"/>
      <c r="T97" s="19"/>
      <c r="U97" s="19"/>
      <c r="V97" s="19"/>
      <c r="W97" s="19"/>
      <c r="X97" s="19"/>
      <c r="Y97" s="19"/>
    </row>
    <row r="98" spans="1:25" ht="13.2">
      <c r="A98" s="73">
        <v>2</v>
      </c>
      <c r="B98" s="74" t="s">
        <v>1219</v>
      </c>
      <c r="C98" s="18">
        <v>98</v>
      </c>
      <c r="D98" s="75">
        <v>8</v>
      </c>
      <c r="E98" s="76">
        <v>43520</v>
      </c>
      <c r="F98" s="20" t="str">
        <f>HYPERLINK("https://www.suara.com/lifestyle/2019/02/24/084338/salut-nenek-103-tahun-jadi-penjaga-grand-canyon-national-park ","sumber")</f>
        <v>sumber</v>
      </c>
      <c r="G98" s="18" t="s">
        <v>1</v>
      </c>
      <c r="H98" s="75">
        <v>216</v>
      </c>
      <c r="I98" s="77"/>
      <c r="J98" s="18">
        <v>2</v>
      </c>
      <c r="K98" s="78"/>
      <c r="L98" s="19"/>
      <c r="M98" s="19"/>
      <c r="N98" s="19"/>
      <c r="O98" s="19"/>
      <c r="P98" s="19"/>
      <c r="Q98" s="18"/>
      <c r="R98" s="79"/>
      <c r="S98" s="18"/>
      <c r="T98" s="19"/>
      <c r="U98" s="19"/>
      <c r="V98" s="19"/>
      <c r="W98" s="19"/>
      <c r="X98" s="19"/>
      <c r="Y98" s="19"/>
    </row>
    <row r="99" spans="1:25" ht="13.2">
      <c r="A99" s="73">
        <v>2</v>
      </c>
      <c r="B99" s="74" t="s">
        <v>1220</v>
      </c>
      <c r="C99" s="18">
        <v>99</v>
      </c>
      <c r="D99" s="75">
        <v>2</v>
      </c>
      <c r="E99" s="76">
        <v>43521</v>
      </c>
      <c r="F99" s="20" t="str">
        <f>HYPERLINK("https://www.cnnindonesia.com/ekonomi/20190225182102-532-372525/jokowi-minta-penerima-pkh-buat-perencanaan-keuangan ","sumber")</f>
        <v>sumber</v>
      </c>
      <c r="G99" s="18" t="s">
        <v>1</v>
      </c>
      <c r="H99" s="75">
        <v>419</v>
      </c>
      <c r="I99" s="77"/>
      <c r="J99" s="18">
        <v>2</v>
      </c>
      <c r="K99" s="78"/>
      <c r="L99" s="19"/>
      <c r="M99" s="19"/>
      <c r="N99" s="19"/>
      <c r="O99" s="19"/>
      <c r="P99" s="19"/>
      <c r="Q99" s="18"/>
      <c r="R99" s="79"/>
      <c r="S99" s="18"/>
      <c r="T99" s="19"/>
      <c r="U99" s="19"/>
      <c r="V99" s="19"/>
      <c r="W99" s="19"/>
      <c r="X99" s="19"/>
      <c r="Y99" s="19"/>
    </row>
    <row r="100" spans="1:25" ht="13.2">
      <c r="A100" s="73">
        <v>2</v>
      </c>
      <c r="B100" s="74" t="s">
        <v>1221</v>
      </c>
      <c r="C100" s="18">
        <v>100</v>
      </c>
      <c r="D100" s="75">
        <v>7</v>
      </c>
      <c r="E100" s="76">
        <v>43522</v>
      </c>
      <c r="F100" s="20" t="str">
        <f>HYPERLINK("http://www.tribunnews.com/seleb/2019/02/26/hamil-anak-pertama-adik-ipar-ayu-azhari-sampai-harus-pakai-kursi-roda ","sumber")</f>
        <v>sumber</v>
      </c>
      <c r="G100" s="18" t="s">
        <v>1</v>
      </c>
      <c r="H100" s="75">
        <v>116</v>
      </c>
      <c r="I100" s="77"/>
      <c r="J100" s="18">
        <v>2</v>
      </c>
      <c r="K100" s="78"/>
      <c r="L100" s="19"/>
      <c r="M100" s="19"/>
      <c r="N100" s="19"/>
      <c r="O100" s="19"/>
      <c r="P100" s="19"/>
      <c r="Q100" s="18"/>
      <c r="R100" s="79"/>
      <c r="S100" s="18"/>
      <c r="T100" s="19"/>
      <c r="U100" s="19"/>
      <c r="V100" s="19"/>
      <c r="W100" s="19"/>
      <c r="X100" s="19"/>
      <c r="Y100" s="19"/>
    </row>
    <row r="101" spans="1:25" ht="39.6">
      <c r="A101" s="69">
        <v>1</v>
      </c>
      <c r="B101" s="64" t="s">
        <v>1222</v>
      </c>
      <c r="C101" s="11">
        <v>101</v>
      </c>
      <c r="D101" s="65">
        <v>4</v>
      </c>
      <c r="E101" s="66">
        <v>43524</v>
      </c>
      <c r="F101" s="13" t="str">
        <f>HYPERLINK("https://www.liputan6.com/news/read/3906036/anies-resmikan-3-jembatan-penyeberangan-orang-di-jalan-jenderal-sudirman ","sumber")</f>
        <v>sumber</v>
      </c>
      <c r="G101" s="13" t="str">
        <f t="shared" ref="G101:G102" si="9">HYPERLINK("https://drive.google.com/open?id=15K5sriRJOw0JTPqD9yRZzl0fwZcfdV8X","lokasi")</f>
        <v>lokasi</v>
      </c>
      <c r="H101" s="65">
        <v>255</v>
      </c>
      <c r="I101" s="67">
        <v>4</v>
      </c>
      <c r="J101" s="11">
        <v>2</v>
      </c>
      <c r="K101" s="70" t="s">
        <v>1223</v>
      </c>
      <c r="L101" s="11">
        <v>0</v>
      </c>
      <c r="M101" s="11">
        <v>0</v>
      </c>
      <c r="N101" s="15">
        <v>0</v>
      </c>
      <c r="O101" s="11">
        <v>0</v>
      </c>
      <c r="P101" s="11">
        <v>0</v>
      </c>
      <c r="Q101" s="11" t="s">
        <v>29</v>
      </c>
      <c r="R101" s="11" t="s">
        <v>68</v>
      </c>
      <c r="S101" s="11"/>
      <c r="T101" s="11">
        <v>0</v>
      </c>
      <c r="U101" s="11">
        <v>0</v>
      </c>
      <c r="V101" s="11">
        <v>1</v>
      </c>
      <c r="W101" s="14"/>
      <c r="X101" s="14"/>
      <c r="Y101" s="14"/>
    </row>
    <row r="102" spans="1:25" ht="52.8">
      <c r="A102" s="69">
        <v>1</v>
      </c>
      <c r="B102" s="64" t="s">
        <v>1224</v>
      </c>
      <c r="C102" s="11">
        <v>102</v>
      </c>
      <c r="D102" s="65">
        <v>10</v>
      </c>
      <c r="E102" s="66">
        <v>43529</v>
      </c>
      <c r="F102" s="13" t="str">
        <f>HYPERLINK("https://sport.tempo.co/read/1182101/kisah-robert-kubica-pembalap-penyandang-disabilitas-di-formula-1 ","sumber")</f>
        <v>sumber</v>
      </c>
      <c r="G102" s="13" t="str">
        <f t="shared" si="9"/>
        <v>lokasi</v>
      </c>
      <c r="H102" s="65">
        <v>244</v>
      </c>
      <c r="I102" s="67">
        <v>2</v>
      </c>
      <c r="J102" s="11">
        <v>2</v>
      </c>
      <c r="K102" s="70" t="s">
        <v>1225</v>
      </c>
      <c r="L102" s="11">
        <v>0</v>
      </c>
      <c r="M102" s="11">
        <v>0</v>
      </c>
      <c r="N102" s="15">
        <v>0</v>
      </c>
      <c r="O102" s="11">
        <v>0</v>
      </c>
      <c r="P102" s="11">
        <v>0</v>
      </c>
      <c r="Q102" s="11" t="s">
        <v>48</v>
      </c>
      <c r="R102" s="11" t="s">
        <v>360</v>
      </c>
      <c r="S102" s="11"/>
      <c r="T102" s="11">
        <v>0</v>
      </c>
      <c r="U102" s="11">
        <v>0</v>
      </c>
      <c r="V102" s="11">
        <v>0</v>
      </c>
      <c r="W102" s="14"/>
      <c r="X102" s="14"/>
      <c r="Y102" s="14"/>
    </row>
    <row r="103" spans="1:25" ht="13.2">
      <c r="A103" s="73">
        <v>2</v>
      </c>
      <c r="B103" s="74" t="s">
        <v>1226</v>
      </c>
      <c r="C103" s="18">
        <v>103</v>
      </c>
      <c r="D103" s="75">
        <v>1</v>
      </c>
      <c r="E103" s="76">
        <v>43537</v>
      </c>
      <c r="F103" s="20" t="str">
        <f>HYPERLINK("https://news.detik.com/berita/d-4465670/kpu-temukan-ribuan-surat-suara-di-kabupaten-bekasi-rusak ","sumber")</f>
        <v>sumber</v>
      </c>
      <c r="G103" s="18" t="s">
        <v>1</v>
      </c>
      <c r="H103" s="75">
        <v>258</v>
      </c>
      <c r="I103" s="77"/>
      <c r="J103" s="18">
        <v>2</v>
      </c>
      <c r="K103" s="78"/>
      <c r="L103" s="19"/>
      <c r="M103" s="19"/>
      <c r="N103" s="19"/>
      <c r="O103" s="19"/>
      <c r="P103" s="19"/>
      <c r="Q103" s="18"/>
      <c r="R103" s="79"/>
      <c r="S103" s="18"/>
      <c r="T103" s="19"/>
      <c r="U103" s="19"/>
      <c r="V103" s="19"/>
      <c r="W103" s="19"/>
      <c r="X103" s="19"/>
      <c r="Y103" s="19"/>
    </row>
    <row r="104" spans="1:25" ht="52.8">
      <c r="A104" s="80">
        <v>1</v>
      </c>
      <c r="B104" s="93" t="s">
        <v>1227</v>
      </c>
      <c r="C104" s="82">
        <v>104</v>
      </c>
      <c r="D104" s="83">
        <v>6</v>
      </c>
      <c r="E104" s="94" t="s">
        <v>1228</v>
      </c>
      <c r="F104" s="85" t="str">
        <f>HYPERLINK("https://nasional.kompas.com/read/2019/03/21/20260691/jangan-salah-paham-tak-semua-orang-dengan-gangguan-jiwa-bisa-mencoblos ","sumber")</f>
        <v>sumber</v>
      </c>
      <c r="G104" s="85" t="str">
        <f>HYPERLINK("https://drive.google.com/open?id=15K5sriRJOw0JTPqD9yRZzl0fwZcfdV8X","lokasi")</f>
        <v>lokasi</v>
      </c>
      <c r="H104" s="83">
        <v>343</v>
      </c>
      <c r="I104" s="86">
        <v>4</v>
      </c>
      <c r="J104" s="82">
        <v>2</v>
      </c>
      <c r="K104" s="87" t="s">
        <v>1229</v>
      </c>
      <c r="L104" s="82">
        <v>0</v>
      </c>
      <c r="M104" s="82">
        <v>0</v>
      </c>
      <c r="N104" s="88">
        <v>0</v>
      </c>
      <c r="O104" s="82">
        <v>0</v>
      </c>
      <c r="P104" s="82">
        <v>0</v>
      </c>
      <c r="Q104" s="82" t="s">
        <v>29</v>
      </c>
      <c r="R104" s="89" t="s">
        <v>29</v>
      </c>
      <c r="S104" s="82" t="s">
        <v>1230</v>
      </c>
      <c r="T104" s="82">
        <v>1</v>
      </c>
      <c r="U104" s="82">
        <v>-1</v>
      </c>
      <c r="V104" s="82">
        <v>1</v>
      </c>
      <c r="W104" s="90"/>
      <c r="X104" s="90"/>
      <c r="Y104" s="90"/>
    </row>
    <row r="105" spans="1:25" ht="13.2">
      <c r="A105" s="73">
        <v>2</v>
      </c>
      <c r="B105" s="74" t="s">
        <v>1231</v>
      </c>
      <c r="C105" s="18">
        <v>105</v>
      </c>
      <c r="D105" s="75">
        <v>5</v>
      </c>
      <c r="E105" s="76">
        <v>43538</v>
      </c>
      <c r="F105" s="20" t="str">
        <f>HYPERLINK("https://tirto.id/jadwal-sholat-ashar-dan-info-masjid-di-kota-tarakan-hari-ini-djnU ","sumber")</f>
        <v>sumber</v>
      </c>
      <c r="G105" s="18" t="s">
        <v>1</v>
      </c>
      <c r="H105" s="75">
        <v>380</v>
      </c>
      <c r="I105" s="77"/>
      <c r="J105" s="18">
        <v>2</v>
      </c>
      <c r="K105" s="78"/>
      <c r="L105" s="19"/>
      <c r="M105" s="19"/>
      <c r="N105" s="19"/>
      <c r="O105" s="19"/>
      <c r="P105" s="19"/>
      <c r="Q105" s="18"/>
      <c r="R105" s="79"/>
      <c r="S105" s="18"/>
      <c r="T105" s="19"/>
      <c r="U105" s="19"/>
      <c r="V105" s="19"/>
      <c r="W105" s="19"/>
      <c r="X105" s="19"/>
      <c r="Y105" s="19"/>
    </row>
    <row r="106" spans="1:25" ht="26.4">
      <c r="A106" s="80">
        <v>1</v>
      </c>
      <c r="B106" s="81" t="s">
        <v>1232</v>
      </c>
      <c r="C106" s="82">
        <v>106</v>
      </c>
      <c r="D106" s="83">
        <v>7</v>
      </c>
      <c r="E106" s="84">
        <v>43534</v>
      </c>
      <c r="F106" s="85" t="str">
        <f>HYPERLINK("http://www.tribunnews.com/section/2019/03/10/dibuka-hingga-17-maret-simak-alur-pendaftaran-rekrutmen-bersama-bumn-2019","sumber")</f>
        <v>sumber</v>
      </c>
      <c r="G106" s="85" t="str">
        <f t="shared" ref="G106:G107" si="10">HYPERLINK("https://drive.google.com/open?id=15K5sriRJOw0JTPqD9yRZzl0fwZcfdV8X","lokasi")</f>
        <v>lokasi</v>
      </c>
      <c r="H106" s="83">
        <v>246</v>
      </c>
      <c r="I106" s="86">
        <v>2</v>
      </c>
      <c r="J106" s="82">
        <v>2</v>
      </c>
      <c r="K106" s="87" t="s">
        <v>1233</v>
      </c>
      <c r="L106" s="82">
        <v>0</v>
      </c>
      <c r="M106" s="82">
        <v>0</v>
      </c>
      <c r="N106" s="88">
        <v>0</v>
      </c>
      <c r="O106" s="82">
        <v>0</v>
      </c>
      <c r="P106" s="82">
        <v>0</v>
      </c>
      <c r="Q106" s="82">
        <v>0</v>
      </c>
      <c r="R106" s="89">
        <v>0</v>
      </c>
      <c r="S106" s="82"/>
      <c r="T106" s="82">
        <v>0</v>
      </c>
      <c r="U106" s="82">
        <v>0</v>
      </c>
      <c r="V106" s="82">
        <v>1</v>
      </c>
      <c r="W106" s="90"/>
      <c r="X106" s="90"/>
      <c r="Y106" s="90"/>
    </row>
    <row r="107" spans="1:25" ht="79.2">
      <c r="A107" s="80">
        <v>1</v>
      </c>
      <c r="B107" s="81" t="s">
        <v>1234</v>
      </c>
      <c r="C107" s="82">
        <v>107</v>
      </c>
      <c r="D107" s="83">
        <v>1</v>
      </c>
      <c r="E107" s="84">
        <v>43536</v>
      </c>
      <c r="F107" s="85" t="str">
        <f>HYPERLINK("https://news.detik.com/berita-jawa-timur/d-4464399/kaget-pria-berbaju-lusuh-ini-bawa-satu-karung-uang-koin","sumber")</f>
        <v>sumber</v>
      </c>
      <c r="G107" s="85" t="str">
        <f t="shared" si="10"/>
        <v>lokasi</v>
      </c>
      <c r="H107" s="83">
        <v>440</v>
      </c>
      <c r="I107" s="86">
        <v>2</v>
      </c>
      <c r="J107" s="82">
        <v>2</v>
      </c>
      <c r="K107" s="87" t="s">
        <v>1235</v>
      </c>
      <c r="L107" s="82">
        <v>0</v>
      </c>
      <c r="M107" s="82">
        <v>0</v>
      </c>
      <c r="N107" s="88">
        <v>0</v>
      </c>
      <c r="O107" s="82">
        <v>0</v>
      </c>
      <c r="P107" s="82">
        <v>0</v>
      </c>
      <c r="Q107" s="82" t="s">
        <v>29</v>
      </c>
      <c r="R107" s="89" t="s">
        <v>53</v>
      </c>
      <c r="S107" s="82"/>
      <c r="T107" s="82">
        <v>0</v>
      </c>
      <c r="U107" s="82">
        <v>-1</v>
      </c>
      <c r="V107" s="82">
        <v>1</v>
      </c>
      <c r="W107" s="90"/>
      <c r="X107" s="90"/>
      <c r="Y107" s="90"/>
    </row>
    <row r="108" spans="1:25" ht="13.2">
      <c r="A108" s="73">
        <v>2</v>
      </c>
      <c r="B108" s="74" t="s">
        <v>1236</v>
      </c>
      <c r="C108" s="18">
        <v>108</v>
      </c>
      <c r="D108" s="75">
        <v>9</v>
      </c>
      <c r="E108" s="76">
        <v>43544</v>
      </c>
      <c r="F108" s="20" t="str">
        <f>HYPERLINK("https://nasional.republika.co.id/berita/nasional/politik/pon6e9428/kpu-hindari-politik-uang-agar-tak-stres-jika-gagal ","sumber")</f>
        <v>sumber</v>
      </c>
      <c r="G108" s="18" t="s">
        <v>1</v>
      </c>
      <c r="H108" s="75">
        <v>271</v>
      </c>
      <c r="I108" s="77"/>
      <c r="J108" s="18">
        <v>2</v>
      </c>
      <c r="K108" s="78"/>
      <c r="L108" s="19"/>
      <c r="M108" s="19"/>
      <c r="N108" s="19"/>
      <c r="O108" s="19"/>
      <c r="P108" s="19"/>
      <c r="Q108" s="18"/>
      <c r="R108" s="79"/>
      <c r="S108" s="18"/>
      <c r="T108" s="19"/>
      <c r="U108" s="19"/>
      <c r="V108" s="19"/>
      <c r="W108" s="19"/>
      <c r="X108" s="19"/>
      <c r="Y108" s="19"/>
    </row>
    <row r="109" spans="1:25" ht="79.2">
      <c r="A109" s="80">
        <v>1</v>
      </c>
      <c r="B109" s="93" t="s">
        <v>1237</v>
      </c>
      <c r="C109" s="82">
        <v>109</v>
      </c>
      <c r="D109" s="83">
        <v>5</v>
      </c>
      <c r="E109" s="94" t="s">
        <v>1238</v>
      </c>
      <c r="F109" s="85" t="str">
        <f>HYPERLINK("https://tirto.id/kuhap-jadi-sumber-masalah-di-balik-sidang-wendra-purnama-dkmu ","sumber")</f>
        <v>sumber</v>
      </c>
      <c r="G109" s="85" t="str">
        <f t="shared" ref="G109:G112" si="11">HYPERLINK("https://drive.google.com/open?id=15K5sriRJOw0JTPqD9yRZzl0fwZcfdV8X","lokasi")</f>
        <v>lokasi</v>
      </c>
      <c r="H109" s="83">
        <v>700</v>
      </c>
      <c r="I109" s="86">
        <v>1</v>
      </c>
      <c r="J109" s="82">
        <v>2</v>
      </c>
      <c r="K109" s="87" t="s">
        <v>1239</v>
      </c>
      <c r="L109" s="82">
        <v>0</v>
      </c>
      <c r="M109" s="82">
        <v>1</v>
      </c>
      <c r="N109" s="88">
        <v>0</v>
      </c>
      <c r="O109" s="82">
        <v>0</v>
      </c>
      <c r="P109" s="82">
        <v>0</v>
      </c>
      <c r="Q109" s="82" t="s">
        <v>21</v>
      </c>
      <c r="R109" s="89" t="s">
        <v>360</v>
      </c>
      <c r="S109" s="82"/>
      <c r="T109" s="82">
        <v>0</v>
      </c>
      <c r="U109" s="82">
        <v>0</v>
      </c>
      <c r="V109" s="82">
        <v>1</v>
      </c>
      <c r="W109" s="90"/>
      <c r="X109" s="90"/>
      <c r="Y109" s="90"/>
    </row>
    <row r="110" spans="1:25" ht="79.2">
      <c r="A110" s="80">
        <v>1</v>
      </c>
      <c r="B110" s="81" t="s">
        <v>1240</v>
      </c>
      <c r="C110" s="82">
        <v>110</v>
      </c>
      <c r="D110" s="83">
        <v>3</v>
      </c>
      <c r="E110" s="84">
        <v>43542</v>
      </c>
      <c r="F110" s="85" t="str">
        <f>HYPERLINK("https://news.okezone.com/read/2019/03/18/65/2031561/13-anak-didik-disabilitas-ikuti-usbn","sumber")</f>
        <v>sumber</v>
      </c>
      <c r="G110" s="85" t="str">
        <f t="shared" si="11"/>
        <v>lokasi</v>
      </c>
      <c r="H110" s="83">
        <v>280</v>
      </c>
      <c r="I110" s="86">
        <v>2</v>
      </c>
      <c r="J110" s="82">
        <v>2</v>
      </c>
      <c r="K110" s="87" t="s">
        <v>1241</v>
      </c>
      <c r="L110" s="82">
        <v>0</v>
      </c>
      <c r="M110" s="82">
        <v>0</v>
      </c>
      <c r="N110" s="88">
        <v>0</v>
      </c>
      <c r="O110" s="82">
        <v>0</v>
      </c>
      <c r="P110" s="82">
        <v>0</v>
      </c>
      <c r="Q110" s="82" t="s">
        <v>29</v>
      </c>
      <c r="R110" s="89" t="s">
        <v>29</v>
      </c>
      <c r="S110" s="82"/>
      <c r="T110" s="82">
        <v>0</v>
      </c>
      <c r="U110" s="82">
        <v>0</v>
      </c>
      <c r="V110" s="82">
        <v>1</v>
      </c>
      <c r="W110" s="90"/>
      <c r="X110" s="90"/>
      <c r="Y110" s="90"/>
    </row>
    <row r="111" spans="1:25" ht="26.4">
      <c r="A111" s="80">
        <v>1</v>
      </c>
      <c r="B111" s="81" t="s">
        <v>1242</v>
      </c>
      <c r="C111" s="82">
        <v>111</v>
      </c>
      <c r="D111" s="83">
        <v>8</v>
      </c>
      <c r="E111" s="84">
        <v>43539</v>
      </c>
      <c r="F111" s="85" t="str">
        <f>HYPERLINK("https://banten.suara.com/read/2019/03/15/135237/kisah-keluarga-bocah-terpasung-ibunya-penyakitan-sang-ayah-doyan-ngutang","sumber")</f>
        <v>sumber</v>
      </c>
      <c r="G111" s="85" t="str">
        <f t="shared" si="11"/>
        <v>lokasi</v>
      </c>
      <c r="H111" s="83">
        <v>520</v>
      </c>
      <c r="I111" s="86">
        <v>2</v>
      </c>
      <c r="J111" s="82">
        <v>2</v>
      </c>
      <c r="K111" s="87" t="s">
        <v>1243</v>
      </c>
      <c r="L111" s="82">
        <v>0</v>
      </c>
      <c r="M111" s="82">
        <v>0</v>
      </c>
      <c r="N111" s="88">
        <v>0</v>
      </c>
      <c r="O111" s="82">
        <v>0</v>
      </c>
      <c r="P111" s="82">
        <v>0</v>
      </c>
      <c r="Q111" s="82" t="s">
        <v>21</v>
      </c>
      <c r="R111" s="89" t="s">
        <v>21</v>
      </c>
      <c r="S111" s="82" t="s">
        <v>1244</v>
      </c>
      <c r="T111" s="82">
        <v>1</v>
      </c>
      <c r="U111" s="82">
        <v>-1</v>
      </c>
      <c r="V111" s="82">
        <v>0</v>
      </c>
      <c r="W111" s="90"/>
      <c r="X111" s="90"/>
      <c r="Y111" s="90"/>
    </row>
    <row r="112" spans="1:25" ht="26.4">
      <c r="A112" s="69">
        <v>1</v>
      </c>
      <c r="B112" s="64" t="s">
        <v>1245</v>
      </c>
      <c r="C112" s="11">
        <v>112</v>
      </c>
      <c r="D112" s="65">
        <v>7</v>
      </c>
      <c r="E112" s="66">
        <v>43550</v>
      </c>
      <c r="F112" s="13" t="str">
        <f>HYPERLINK("http://www.tribunnews.com/regional/2019/03/26/mayat-tak-utuh-lagi-ditemukan-di-kawasan-hutan-kali-lunyu-lamongan ","sumber")</f>
        <v>sumber</v>
      </c>
      <c r="G112" s="13" t="str">
        <f t="shared" si="11"/>
        <v>lokasi</v>
      </c>
      <c r="H112" s="65">
        <v>234</v>
      </c>
      <c r="I112" s="67">
        <v>1</v>
      </c>
      <c r="J112" s="11">
        <v>2</v>
      </c>
      <c r="K112" s="70" t="s">
        <v>1246</v>
      </c>
      <c r="L112" s="11">
        <v>0</v>
      </c>
      <c r="M112" s="28">
        <v>0</v>
      </c>
      <c r="N112" s="15">
        <v>0</v>
      </c>
      <c r="O112" s="11">
        <v>0</v>
      </c>
      <c r="P112" s="11">
        <v>-1</v>
      </c>
      <c r="Q112" s="11">
        <v>0</v>
      </c>
      <c r="R112" s="11">
        <v>-1</v>
      </c>
      <c r="S112" s="11" t="s">
        <v>1247</v>
      </c>
      <c r="T112" s="11">
        <v>1</v>
      </c>
      <c r="U112" s="11">
        <v>0</v>
      </c>
      <c r="V112" s="11">
        <v>1</v>
      </c>
      <c r="W112" s="14"/>
      <c r="X112" s="14"/>
      <c r="Y112" s="14"/>
    </row>
    <row r="113" spans="1:25" ht="13.2">
      <c r="A113" s="73">
        <v>2</v>
      </c>
      <c r="B113" s="74" t="s">
        <v>501</v>
      </c>
      <c r="C113" s="18">
        <v>113</v>
      </c>
      <c r="D113" s="75">
        <v>4</v>
      </c>
      <c r="E113" s="76">
        <v>43552</v>
      </c>
      <c r="F113" s="20" t="str">
        <f>HYPERLINK("https://www.liputan6.com/news/read/3927592/acungan-jempol-hercules-usai-vonis-8-bulan-bui ","sumber")</f>
        <v>sumber</v>
      </c>
      <c r="G113" s="18" t="s">
        <v>1</v>
      </c>
      <c r="H113" s="75">
        <v>998</v>
      </c>
      <c r="I113" s="77"/>
      <c r="J113" s="18">
        <v>2</v>
      </c>
      <c r="K113" s="78"/>
      <c r="L113" s="19"/>
      <c r="M113" s="19"/>
      <c r="N113" s="19"/>
      <c r="O113" s="19"/>
      <c r="P113" s="19"/>
      <c r="Q113" s="18"/>
      <c r="R113" s="79"/>
      <c r="S113" s="18"/>
      <c r="T113" s="19"/>
      <c r="U113" s="19"/>
      <c r="V113" s="19"/>
      <c r="W113" s="19"/>
      <c r="X113" s="19"/>
      <c r="Y113" s="19"/>
    </row>
    <row r="114" spans="1:25" ht="13.2">
      <c r="A114" s="80">
        <v>1</v>
      </c>
      <c r="B114" s="93" t="s">
        <v>1248</v>
      </c>
      <c r="C114" s="82">
        <v>114</v>
      </c>
      <c r="D114" s="83">
        <v>1</v>
      </c>
      <c r="E114" s="94" t="s">
        <v>1249</v>
      </c>
      <c r="F114" s="85" t="str">
        <f>HYPERLINK("https://health.detik.com/diet/d-4514761/suara-pengidap-gangguan-jiwa-menangkan-jokowi-maruf-di-tps-ini ","sumber")</f>
        <v>sumber</v>
      </c>
      <c r="G114" s="85" t="str">
        <f t="shared" ref="G114:G115" si="12">HYPERLINK("https://drive.google.com/open?id=15K5sriRJOw0JTPqD9yRZzl0fwZcfdV8X","lokasi")</f>
        <v>lokasi</v>
      </c>
      <c r="H114" s="83">
        <v>197</v>
      </c>
      <c r="I114" s="86">
        <v>2</v>
      </c>
      <c r="J114" s="82">
        <v>2</v>
      </c>
      <c r="K114" s="87"/>
      <c r="L114" s="82">
        <v>0</v>
      </c>
      <c r="M114" s="82">
        <v>0</v>
      </c>
      <c r="N114" s="88">
        <v>0</v>
      </c>
      <c r="O114" s="82">
        <v>0</v>
      </c>
      <c r="P114" s="82">
        <v>0</v>
      </c>
      <c r="Q114" s="82"/>
      <c r="R114" s="89"/>
      <c r="S114" s="82"/>
      <c r="T114" s="82">
        <v>0</v>
      </c>
      <c r="U114" s="82">
        <v>0</v>
      </c>
      <c r="V114" s="82">
        <v>1</v>
      </c>
      <c r="W114" s="90"/>
      <c r="X114" s="90"/>
      <c r="Y114" s="90"/>
    </row>
    <row r="115" spans="1:25" ht="26.4">
      <c r="A115" s="69">
        <v>1</v>
      </c>
      <c r="B115" s="64" t="s">
        <v>1250</v>
      </c>
      <c r="C115" s="11">
        <v>115</v>
      </c>
      <c r="D115" s="65">
        <v>10</v>
      </c>
      <c r="E115" s="66">
        <v>43560</v>
      </c>
      <c r="F115" s="13" t="str">
        <f>HYPERLINK("https://difabel.tempo.co/read/1192635/ini-cara-canggih-disabilitas-ganda-buta-tuli-berkomunikasi ","sumber")</f>
        <v>sumber</v>
      </c>
      <c r="G115" s="13" t="str">
        <f t="shared" si="12"/>
        <v>lokasi</v>
      </c>
      <c r="H115" s="65">
        <v>288</v>
      </c>
      <c r="I115" s="67">
        <v>2</v>
      </c>
      <c r="J115" s="11">
        <v>2</v>
      </c>
      <c r="K115" s="70" t="s">
        <v>1251</v>
      </c>
      <c r="L115" s="11">
        <v>0</v>
      </c>
      <c r="M115" s="11">
        <v>0</v>
      </c>
      <c r="N115" s="15">
        <v>0</v>
      </c>
      <c r="O115" s="11">
        <v>0</v>
      </c>
      <c r="P115" s="11">
        <v>0</v>
      </c>
      <c r="Q115" s="11">
        <v>2</v>
      </c>
      <c r="R115" s="11">
        <v>1</v>
      </c>
      <c r="S115" s="11"/>
      <c r="T115" s="11">
        <v>0</v>
      </c>
      <c r="U115" s="11">
        <v>0</v>
      </c>
      <c r="V115" s="11">
        <v>1</v>
      </c>
      <c r="W115" s="14"/>
      <c r="X115" s="14"/>
      <c r="Y115" s="14"/>
    </row>
    <row r="116" spans="1:25" ht="13.2">
      <c r="A116" s="73">
        <v>2</v>
      </c>
      <c r="B116" s="74" t="s">
        <v>1252</v>
      </c>
      <c r="C116" s="18">
        <v>116</v>
      </c>
      <c r="D116" s="75">
        <v>9</v>
      </c>
      <c r="E116" s="76">
        <v>43561</v>
      </c>
      <c r="F116" s="20" t="str">
        <f>HYPERLINK("https://bola.republika.co.id/berita/sepakbola/liga-inggris/ppiivd438/klopp-liverpool-tak-perlu-bermain-seperti-manchester-city ","sumber")</f>
        <v>sumber</v>
      </c>
      <c r="G116" s="18" t="s">
        <v>1</v>
      </c>
      <c r="H116" s="75">
        <v>259</v>
      </c>
      <c r="I116" s="77"/>
      <c r="J116" s="18">
        <v>2</v>
      </c>
      <c r="K116" s="78"/>
      <c r="L116" s="19"/>
      <c r="M116" s="19"/>
      <c r="N116" s="19"/>
      <c r="O116" s="19"/>
      <c r="P116" s="19"/>
      <c r="Q116" s="18"/>
      <c r="R116" s="79"/>
      <c r="S116" s="18"/>
      <c r="T116" s="19"/>
      <c r="U116" s="19"/>
      <c r="V116" s="19"/>
      <c r="W116" s="19"/>
      <c r="X116" s="19"/>
      <c r="Y116" s="19"/>
    </row>
    <row r="117" spans="1:25" ht="26.4">
      <c r="A117" s="69">
        <v>1</v>
      </c>
      <c r="B117" s="64" t="s">
        <v>507</v>
      </c>
      <c r="C117" s="11">
        <v>117</v>
      </c>
      <c r="D117" s="65">
        <v>8</v>
      </c>
      <c r="E117" s="66">
        <v>43561</v>
      </c>
      <c r="F117" s="13" t="str">
        <f>HYPERLINK("https://www.suara.com/lifestyle/2019/04/06/080500/bikin-haru-bocah-ini-menggendong-teman-sekolahnya-setiap-hari ","sumber")</f>
        <v>sumber</v>
      </c>
      <c r="G117" s="13" t="str">
        <f t="shared" ref="G117:G119" si="13">HYPERLINK("https://drive.google.com/open?id=15K5sriRJOw0JTPqD9yRZzl0fwZcfdV8X","lokasi")</f>
        <v>lokasi</v>
      </c>
      <c r="H117" s="65">
        <v>235</v>
      </c>
      <c r="I117" s="67">
        <v>2</v>
      </c>
      <c r="J117" s="11">
        <v>2</v>
      </c>
      <c r="K117" s="70" t="s">
        <v>1253</v>
      </c>
      <c r="L117" s="11">
        <v>0</v>
      </c>
      <c r="M117" s="11">
        <v>0</v>
      </c>
      <c r="N117" s="15">
        <v>0</v>
      </c>
      <c r="O117" s="11">
        <v>0</v>
      </c>
      <c r="P117" s="11">
        <v>-1</v>
      </c>
      <c r="Q117" s="11">
        <v>2</v>
      </c>
      <c r="R117" s="11">
        <v>1</v>
      </c>
      <c r="S117" s="11" t="s">
        <v>1254</v>
      </c>
      <c r="T117" s="11">
        <v>1</v>
      </c>
      <c r="U117" s="11">
        <v>0</v>
      </c>
      <c r="V117" s="11">
        <v>0</v>
      </c>
      <c r="W117" s="14"/>
      <c r="X117" s="14"/>
      <c r="Y117" s="14"/>
    </row>
    <row r="118" spans="1:25" ht="26.4">
      <c r="A118" s="80">
        <v>1</v>
      </c>
      <c r="B118" s="93" t="s">
        <v>1255</v>
      </c>
      <c r="C118" s="82">
        <v>118</v>
      </c>
      <c r="D118" s="83">
        <v>9</v>
      </c>
      <c r="E118" s="84">
        <v>43563</v>
      </c>
      <c r="F118" s="85" t="str">
        <f>HYPERLINK("https://gayahidup.republika.co.id/berita/gaya-hidup/info-sehat/ppm9h7328/odgj-dipastikan-miliki-kesempatan-memilih-yang-sama ","sumber")</f>
        <v>sumber</v>
      </c>
      <c r="G118" s="85" t="str">
        <f t="shared" si="13"/>
        <v>lokasi</v>
      </c>
      <c r="H118" s="83">
        <v>466</v>
      </c>
      <c r="I118" s="86">
        <v>4</v>
      </c>
      <c r="J118" s="82">
        <v>2</v>
      </c>
      <c r="K118" s="87" t="s">
        <v>1256</v>
      </c>
      <c r="L118" s="82">
        <v>0</v>
      </c>
      <c r="M118" s="82">
        <v>0</v>
      </c>
      <c r="N118" s="88">
        <v>0</v>
      </c>
      <c r="O118" s="82">
        <v>0</v>
      </c>
      <c r="P118" s="82">
        <v>0</v>
      </c>
      <c r="Q118" s="82">
        <v>0</v>
      </c>
      <c r="R118" s="89">
        <v>1</v>
      </c>
      <c r="S118" s="82"/>
      <c r="T118" s="82">
        <v>0</v>
      </c>
      <c r="U118" s="82">
        <v>0</v>
      </c>
      <c r="V118" s="82">
        <v>1</v>
      </c>
      <c r="W118" s="90"/>
      <c r="X118" s="90"/>
      <c r="Y118" s="90"/>
    </row>
    <row r="119" spans="1:25" ht="39.6">
      <c r="A119" s="80">
        <v>1</v>
      </c>
      <c r="B119" s="81" t="s">
        <v>1257</v>
      </c>
      <c r="C119" s="82">
        <v>119</v>
      </c>
      <c r="D119" s="83">
        <v>4</v>
      </c>
      <c r="E119" s="84">
        <v>43564</v>
      </c>
      <c r="F119" s="85" t="str">
        <f>HYPERLINK("https://hot.liputan6.com/read/3937756/kisah-pilu-bayi-hasil-sewa-rahim-dibuang-karena-alami-kondisi-ini","sumber")</f>
        <v>sumber</v>
      </c>
      <c r="G119" s="85" t="str">
        <f t="shared" si="13"/>
        <v>lokasi</v>
      </c>
      <c r="H119" s="83">
        <v>518</v>
      </c>
      <c r="I119" s="86">
        <v>2</v>
      </c>
      <c r="J119" s="82">
        <v>2</v>
      </c>
      <c r="K119" s="87" t="s">
        <v>1258</v>
      </c>
      <c r="L119" s="82">
        <v>0</v>
      </c>
      <c r="M119" s="82">
        <v>0</v>
      </c>
      <c r="N119" s="88">
        <v>0</v>
      </c>
      <c r="O119" s="82">
        <v>0</v>
      </c>
      <c r="P119" s="82">
        <v>0</v>
      </c>
      <c r="Q119" s="82" t="s">
        <v>29</v>
      </c>
      <c r="R119" s="89" t="s">
        <v>748</v>
      </c>
      <c r="S119" s="82"/>
      <c r="T119" s="82">
        <v>0</v>
      </c>
      <c r="U119" s="82">
        <v>0</v>
      </c>
      <c r="V119" s="82">
        <v>1</v>
      </c>
      <c r="W119" s="90"/>
      <c r="X119" s="90"/>
      <c r="Y119" s="90"/>
    </row>
    <row r="120" spans="1:25" ht="13.2">
      <c r="A120" s="73">
        <v>2</v>
      </c>
      <c r="B120" s="74" t="s">
        <v>1259</v>
      </c>
      <c r="C120" s="18">
        <v>120</v>
      </c>
      <c r="D120" s="75">
        <v>9</v>
      </c>
      <c r="E120" s="76">
        <v>43567</v>
      </c>
      <c r="F120" s="20" t="str">
        <f>HYPERLINK("https://gayahidup.republika.co.id/berita/gaya-hidup/info-sehat/ppugh9423/ltemgtwinning-meal-projectltemgt-cara-ajinomoto-dongkrak-prestasi-atlet ","sumber")</f>
        <v>sumber</v>
      </c>
      <c r="G120" s="18" t="s">
        <v>1</v>
      </c>
      <c r="H120" s="75">
        <v>232</v>
      </c>
      <c r="I120" s="77"/>
      <c r="J120" s="18">
        <v>2</v>
      </c>
      <c r="K120" s="78"/>
      <c r="L120" s="19"/>
      <c r="M120" s="19"/>
      <c r="N120" s="19"/>
      <c r="O120" s="19"/>
      <c r="P120" s="19"/>
      <c r="Q120" s="18"/>
      <c r="R120" s="79"/>
      <c r="S120" s="18"/>
      <c r="T120" s="19"/>
      <c r="U120" s="19"/>
      <c r="V120" s="19"/>
      <c r="W120" s="19"/>
      <c r="X120" s="19"/>
      <c r="Y120" s="19"/>
    </row>
    <row r="121" spans="1:25" ht="13.2">
      <c r="A121" s="69">
        <v>1</v>
      </c>
      <c r="B121" s="64" t="s">
        <v>1260</v>
      </c>
      <c r="C121" s="11">
        <v>121</v>
      </c>
      <c r="D121" s="65">
        <v>5</v>
      </c>
      <c r="E121" s="66">
        <v>43571</v>
      </c>
      <c r="F121" s="13" t="str">
        <f>HYPERLINK("https://tirto.id/iklan-televisi-parpol-perindo-juara-psi-kedua-gerindra-terhemat-dmdw ","sumber")</f>
        <v>sumber</v>
      </c>
      <c r="G121" s="13" t="str">
        <f t="shared" ref="G121:G124" si="14">HYPERLINK("https://drive.google.com/open?id=15K5sriRJOw0JTPqD9yRZzl0fwZcfdV8X","lokasi")</f>
        <v>lokasi</v>
      </c>
      <c r="H121" s="65">
        <v>693</v>
      </c>
      <c r="I121" s="67">
        <v>4</v>
      </c>
      <c r="J121" s="11">
        <v>2</v>
      </c>
      <c r="K121" s="11"/>
      <c r="L121" s="11">
        <v>0</v>
      </c>
      <c r="M121" s="11">
        <v>0</v>
      </c>
      <c r="N121" s="15">
        <v>0</v>
      </c>
      <c r="O121" s="11">
        <v>0</v>
      </c>
      <c r="P121" s="11">
        <v>0</v>
      </c>
      <c r="Q121" s="11"/>
      <c r="R121" s="11"/>
      <c r="S121" s="11"/>
      <c r="T121" s="11">
        <v>0</v>
      </c>
      <c r="U121" s="11">
        <v>0</v>
      </c>
      <c r="V121" s="11">
        <v>1</v>
      </c>
      <c r="W121" s="14"/>
      <c r="X121" s="14"/>
      <c r="Y121" s="14"/>
    </row>
    <row r="122" spans="1:25" ht="184.8">
      <c r="A122" s="80">
        <v>1</v>
      </c>
      <c r="B122" s="81" t="s">
        <v>1261</v>
      </c>
      <c r="C122" s="82">
        <v>122</v>
      </c>
      <c r="D122" s="83">
        <v>4</v>
      </c>
      <c r="E122" s="84">
        <v>43582</v>
      </c>
      <c r="F122" s="85" t="str">
        <f>HYPERLINK("https://www.liputan6.com/news/read/3951152/headline-kisah-caleg-gagal-di-pemilu-2019-siap-menang-tapi-tak-siap-kalah","sumber")</f>
        <v>sumber</v>
      </c>
      <c r="G122" s="85" t="str">
        <f t="shared" si="14"/>
        <v>lokasi</v>
      </c>
      <c r="H122" s="83">
        <v>1537</v>
      </c>
      <c r="I122" s="86">
        <v>2</v>
      </c>
      <c r="J122" s="82">
        <v>2</v>
      </c>
      <c r="K122" s="87" t="s">
        <v>1262</v>
      </c>
      <c r="L122" s="82">
        <v>0</v>
      </c>
      <c r="M122" s="82">
        <v>0</v>
      </c>
      <c r="N122" s="88">
        <v>0</v>
      </c>
      <c r="O122" s="82">
        <v>0</v>
      </c>
      <c r="P122" s="82">
        <v>0</v>
      </c>
      <c r="Q122" s="82" t="s">
        <v>112</v>
      </c>
      <c r="R122" s="82" t="s">
        <v>112</v>
      </c>
      <c r="S122" s="82"/>
      <c r="T122" s="82">
        <v>0</v>
      </c>
      <c r="U122" s="82">
        <v>0</v>
      </c>
      <c r="V122" s="82">
        <v>1</v>
      </c>
      <c r="W122" s="90"/>
      <c r="X122" s="90"/>
      <c r="Y122" s="90"/>
    </row>
    <row r="123" spans="1:25" ht="13.2">
      <c r="A123" s="80">
        <v>1</v>
      </c>
      <c r="B123" s="81" t="s">
        <v>1263</v>
      </c>
      <c r="C123" s="82">
        <v>123</v>
      </c>
      <c r="D123" s="83">
        <v>2</v>
      </c>
      <c r="E123" s="84">
        <v>43563</v>
      </c>
      <c r="F123" s="85" t="str">
        <f>HYPERLINK("https://www.cnnindonesia.com/nasional/20190408090548-32-384176/dokter-jiwa-hak-pilih-bagi-gangguan-jiwa-sudah-sejak-95","sumber")</f>
        <v>sumber</v>
      </c>
      <c r="G123" s="85" t="str">
        <f t="shared" si="14"/>
        <v>lokasi</v>
      </c>
      <c r="H123" s="83">
        <v>451</v>
      </c>
      <c r="I123" s="86">
        <v>4</v>
      </c>
      <c r="J123" s="82">
        <v>2</v>
      </c>
      <c r="K123" s="87" t="s">
        <v>1264</v>
      </c>
      <c r="L123" s="82">
        <v>0</v>
      </c>
      <c r="M123" s="82">
        <v>0</v>
      </c>
      <c r="N123" s="88">
        <v>0</v>
      </c>
      <c r="O123" s="82">
        <v>0</v>
      </c>
      <c r="P123" s="82">
        <v>0</v>
      </c>
      <c r="Q123" s="82">
        <v>0</v>
      </c>
      <c r="R123" s="89">
        <v>1</v>
      </c>
      <c r="S123" s="82"/>
      <c r="T123" s="82">
        <v>0</v>
      </c>
      <c r="U123" s="82">
        <v>0</v>
      </c>
      <c r="V123" s="82">
        <v>1</v>
      </c>
      <c r="W123" s="90"/>
      <c r="X123" s="90"/>
      <c r="Y123" s="90"/>
    </row>
    <row r="124" spans="1:25" ht="79.2">
      <c r="A124" s="69">
        <v>1</v>
      </c>
      <c r="B124" s="64" t="s">
        <v>1265</v>
      </c>
      <c r="C124" s="11">
        <v>124</v>
      </c>
      <c r="D124" s="65">
        <v>1</v>
      </c>
      <c r="E124" s="66">
        <v>43578</v>
      </c>
      <c r="F124" s="13" t="str">
        <f>HYPERLINK("https://news.detik.com/berita-jawa-timur/d-4521059/rs-jiwa-penyuntikan-obat-apapun-harus-dilakukan-petugas-medis ","sumber")</f>
        <v>sumber</v>
      </c>
      <c r="G124" s="13" t="str">
        <f t="shared" si="14"/>
        <v>lokasi</v>
      </c>
      <c r="H124" s="65">
        <v>263</v>
      </c>
      <c r="I124" s="67">
        <v>1</v>
      </c>
      <c r="J124" s="11">
        <v>2</v>
      </c>
      <c r="K124" s="70" t="s">
        <v>1266</v>
      </c>
      <c r="L124" s="11">
        <v>0</v>
      </c>
      <c r="M124" s="28">
        <v>0</v>
      </c>
      <c r="N124" s="15">
        <v>0</v>
      </c>
      <c r="O124" s="11">
        <v>0</v>
      </c>
      <c r="P124" s="11">
        <v>0</v>
      </c>
      <c r="Q124" s="11" t="s">
        <v>29</v>
      </c>
      <c r="R124" s="11" t="s">
        <v>182</v>
      </c>
      <c r="S124" s="11"/>
      <c r="T124" s="11">
        <v>0</v>
      </c>
      <c r="U124" s="11">
        <v>0</v>
      </c>
      <c r="V124" s="11">
        <v>1</v>
      </c>
      <c r="W124" s="14"/>
      <c r="X124" s="14"/>
      <c r="Y124" s="14"/>
    </row>
    <row r="125" spans="1:25" ht="13.2">
      <c r="A125" s="73">
        <v>2</v>
      </c>
      <c r="B125" s="74" t="s">
        <v>1267</v>
      </c>
      <c r="C125" s="18">
        <v>125</v>
      </c>
      <c r="D125" s="75">
        <v>6</v>
      </c>
      <c r="E125" s="76">
        <v>43580</v>
      </c>
      <c r="F125" s="20" t="str">
        <f>HYPERLINK("https://entertainment.kompas.com/read/2019/04/25/164739610/banyak-permintaan-yura-yunita-bikin-merakit-konser-di-jakarta ","sumber")</f>
        <v>sumber</v>
      </c>
      <c r="G125" s="18" t="s">
        <v>1</v>
      </c>
      <c r="H125" s="75">
        <v>222</v>
      </c>
      <c r="I125" s="77"/>
      <c r="J125" s="18">
        <v>2</v>
      </c>
      <c r="K125" s="78"/>
      <c r="L125" s="19"/>
      <c r="M125" s="19"/>
      <c r="N125" s="19"/>
      <c r="O125" s="19"/>
      <c r="P125" s="19"/>
      <c r="Q125" s="18"/>
      <c r="R125" s="79"/>
      <c r="S125" s="18"/>
      <c r="T125" s="19"/>
      <c r="U125" s="19"/>
      <c r="V125" s="19"/>
      <c r="W125" s="19"/>
      <c r="X125" s="19"/>
      <c r="Y125" s="19"/>
    </row>
    <row r="126" spans="1:25" ht="79.2">
      <c r="A126" s="80">
        <v>1</v>
      </c>
      <c r="B126" s="93" t="s">
        <v>1268</v>
      </c>
      <c r="C126" s="82">
        <v>126</v>
      </c>
      <c r="D126" s="83">
        <v>5</v>
      </c>
      <c r="E126" s="94" t="s">
        <v>1269</v>
      </c>
      <c r="F126" s="85" t="str">
        <f>HYPERLINK("https://tirto.id/kampanye-pks-singgung-disabilitas-aliansi-kok-dijadikan-lelucon-dlgw ","sumber")</f>
        <v>sumber</v>
      </c>
      <c r="G126" s="85" t="str">
        <f t="shared" ref="G126:G132" si="15">HYPERLINK("https://drive.google.com/open?id=15K5sriRJOw0JTPqD9yRZzl0fwZcfdV8X","lokasi")</f>
        <v>lokasi</v>
      </c>
      <c r="H126" s="83">
        <v>786</v>
      </c>
      <c r="I126" s="86">
        <v>2</v>
      </c>
      <c r="J126" s="82">
        <v>2</v>
      </c>
      <c r="K126" s="87" t="s">
        <v>1270</v>
      </c>
      <c r="L126" s="82">
        <v>0</v>
      </c>
      <c r="M126" s="82">
        <v>0</v>
      </c>
      <c r="N126" s="88">
        <v>0</v>
      </c>
      <c r="O126" s="82">
        <v>0</v>
      </c>
      <c r="P126" s="82">
        <v>0</v>
      </c>
      <c r="Q126" s="82" t="s">
        <v>185</v>
      </c>
      <c r="R126" s="89" t="s">
        <v>1271</v>
      </c>
      <c r="S126" s="82"/>
      <c r="T126" s="82">
        <v>0</v>
      </c>
      <c r="U126" s="82">
        <v>0</v>
      </c>
      <c r="V126" s="82">
        <v>1</v>
      </c>
      <c r="W126" s="90"/>
      <c r="X126" s="90"/>
      <c r="Y126" s="90"/>
    </row>
    <row r="127" spans="1:25" ht="39.6">
      <c r="A127" s="69">
        <v>1</v>
      </c>
      <c r="B127" s="64" t="s">
        <v>1272</v>
      </c>
      <c r="C127" s="11">
        <v>127</v>
      </c>
      <c r="D127" s="65">
        <v>7</v>
      </c>
      <c r="E127" s="66">
        <v>43582</v>
      </c>
      <c r="F127" s="13" t="str">
        <f>HYPERLINK("http://www.tribunnews.com/kesehatan/2019/04/27/hilangkan-citra-buruk-gangguan-jiwa-sejumlah-dokter-resmikan-komunitas-sahitya ","sumber")</f>
        <v>sumber</v>
      </c>
      <c r="G127" s="13" t="str">
        <f t="shared" si="15"/>
        <v>lokasi</v>
      </c>
      <c r="H127" s="65">
        <v>477</v>
      </c>
      <c r="I127" s="67">
        <v>2</v>
      </c>
      <c r="J127" s="11">
        <v>2</v>
      </c>
      <c r="K127" s="70" t="s">
        <v>1273</v>
      </c>
      <c r="L127" s="11">
        <v>0</v>
      </c>
      <c r="M127" s="11">
        <v>0</v>
      </c>
      <c r="N127" s="15">
        <v>0</v>
      </c>
      <c r="O127" s="11">
        <v>0</v>
      </c>
      <c r="P127" s="11">
        <v>0</v>
      </c>
      <c r="Q127" s="11" t="s">
        <v>29</v>
      </c>
      <c r="R127" s="11" t="s">
        <v>160</v>
      </c>
      <c r="S127" s="11"/>
      <c r="T127" s="11">
        <v>0</v>
      </c>
      <c r="U127" s="11">
        <v>0</v>
      </c>
      <c r="V127" s="11">
        <v>1</v>
      </c>
      <c r="W127" s="14"/>
      <c r="X127" s="14"/>
      <c r="Y127" s="14"/>
    </row>
    <row r="128" spans="1:25" ht="92.4">
      <c r="A128" s="69">
        <v>1</v>
      </c>
      <c r="B128" s="64" t="s">
        <v>1274</v>
      </c>
      <c r="C128" s="11">
        <v>128</v>
      </c>
      <c r="D128" s="65">
        <v>10</v>
      </c>
      <c r="E128" s="66">
        <v>43588</v>
      </c>
      <c r="F128" s="13" t="str">
        <f>HYPERLINK("https://difabel.tempo.co/read/1201719/bantu-difabel-tuli-petugas-lrt-jakarta-kuasai-bahasa-isyarat ","sumber")</f>
        <v>sumber</v>
      </c>
      <c r="G128" s="13" t="str">
        <f t="shared" si="15"/>
        <v>lokasi</v>
      </c>
      <c r="H128" s="65">
        <v>249</v>
      </c>
      <c r="I128" s="67">
        <v>2</v>
      </c>
      <c r="J128" s="11">
        <v>2</v>
      </c>
      <c r="K128" s="70" t="s">
        <v>1275</v>
      </c>
      <c r="L128" s="11">
        <v>0</v>
      </c>
      <c r="M128" s="11">
        <v>0</v>
      </c>
      <c r="N128" s="15">
        <v>0</v>
      </c>
      <c r="O128" s="11">
        <v>0</v>
      </c>
      <c r="P128" s="11">
        <v>0</v>
      </c>
      <c r="Q128" s="11" t="s">
        <v>21</v>
      </c>
      <c r="R128" s="11" t="s">
        <v>1046</v>
      </c>
      <c r="S128" s="11"/>
      <c r="T128" s="11">
        <v>0</v>
      </c>
      <c r="U128" s="11">
        <v>0</v>
      </c>
      <c r="V128" s="11">
        <v>1</v>
      </c>
      <c r="W128" s="14"/>
      <c r="X128" s="14"/>
      <c r="Y128" s="14"/>
    </row>
    <row r="129" spans="1:25" ht="26.4">
      <c r="A129" s="69">
        <v>1</v>
      </c>
      <c r="B129" s="64" t="s">
        <v>1276</v>
      </c>
      <c r="C129" s="11">
        <v>129</v>
      </c>
      <c r="D129" s="65">
        <v>1</v>
      </c>
      <c r="E129" s="66">
        <v>43593</v>
      </c>
      <c r="F129" s="13" t="str">
        <f>HYPERLINK("https://news.detik.com/berita/d-4541291/terima-wapres-argentina-mensos-bicara-sukses-ri-gelar-asian-para-games ","sumber")</f>
        <v>sumber</v>
      </c>
      <c r="G129" s="13" t="str">
        <f t="shared" si="15"/>
        <v>lokasi</v>
      </c>
      <c r="H129" s="65">
        <v>505</v>
      </c>
      <c r="I129" s="67">
        <v>4</v>
      </c>
      <c r="J129" s="11">
        <v>2</v>
      </c>
      <c r="K129" s="70" t="s">
        <v>1277</v>
      </c>
      <c r="L129" s="11">
        <v>0</v>
      </c>
      <c r="M129" s="11">
        <v>0</v>
      </c>
      <c r="N129" s="15">
        <v>0</v>
      </c>
      <c r="O129" s="11">
        <v>0</v>
      </c>
      <c r="P129" s="11">
        <v>0</v>
      </c>
      <c r="Q129" s="11">
        <v>0</v>
      </c>
      <c r="R129" s="11">
        <v>0</v>
      </c>
      <c r="S129" s="11"/>
      <c r="T129" s="11">
        <v>0</v>
      </c>
      <c r="U129" s="11">
        <v>0</v>
      </c>
      <c r="V129" s="11">
        <v>1</v>
      </c>
      <c r="W129" s="14"/>
      <c r="X129" s="14"/>
      <c r="Y129" s="14"/>
    </row>
    <row r="130" spans="1:25" ht="26.4">
      <c r="A130" s="80">
        <v>1</v>
      </c>
      <c r="B130" s="93" t="s">
        <v>1278</v>
      </c>
      <c r="C130" s="82">
        <v>130</v>
      </c>
      <c r="D130" s="83">
        <v>3</v>
      </c>
      <c r="E130" s="94" t="s">
        <v>1279</v>
      </c>
      <c r="F130" s="85" t="str">
        <f>HYPERLINK("https://news.okezone.com/read/2019/05/16/519/2056327/pelaku-mutilasi-malang-diduga-alami-gangguan-jiwa-polisi-sulit-ungkap-identitas-korban ","sumber")</f>
        <v>sumber</v>
      </c>
      <c r="G130" s="85" t="str">
        <f t="shared" si="15"/>
        <v>lokasi</v>
      </c>
      <c r="H130" s="83">
        <v>401</v>
      </c>
      <c r="I130" s="86">
        <v>1</v>
      </c>
      <c r="J130" s="82">
        <v>2</v>
      </c>
      <c r="K130" s="87" t="s">
        <v>1280</v>
      </c>
      <c r="L130" s="82">
        <v>0</v>
      </c>
      <c r="M130" s="82">
        <v>-1</v>
      </c>
      <c r="N130" s="88">
        <v>0</v>
      </c>
      <c r="O130" s="82">
        <v>0</v>
      </c>
      <c r="P130" s="82">
        <v>0</v>
      </c>
      <c r="Q130" s="82">
        <v>0</v>
      </c>
      <c r="R130" s="89">
        <v>0</v>
      </c>
      <c r="S130" s="82" t="s">
        <v>1281</v>
      </c>
      <c r="T130" s="82">
        <v>1</v>
      </c>
      <c r="U130" s="82">
        <v>-1</v>
      </c>
      <c r="V130" s="82">
        <v>1</v>
      </c>
      <c r="W130" s="90"/>
      <c r="X130" s="90"/>
      <c r="Y130" s="90"/>
    </row>
    <row r="131" spans="1:25" ht="39.6">
      <c r="A131" s="80">
        <v>1</v>
      </c>
      <c r="B131" s="93" t="s">
        <v>1282</v>
      </c>
      <c r="C131" s="82">
        <v>131</v>
      </c>
      <c r="D131" s="83">
        <v>7</v>
      </c>
      <c r="E131" s="94" t="s">
        <v>1283</v>
      </c>
      <c r="F131" s="85" t="str">
        <f>HYPERLINK("http://www.tribunnews.com/regional/2019/05/06/mayat-gelandangan-yang-diduga-gila-ditemukan-tergeletak-di-jalan-gus-dur-jombang ","sumber")</f>
        <v>sumber</v>
      </c>
      <c r="G131" s="85" t="str">
        <f t="shared" si="15"/>
        <v>lokasi</v>
      </c>
      <c r="H131" s="83">
        <v>259</v>
      </c>
      <c r="I131" s="86">
        <v>1</v>
      </c>
      <c r="J131" s="82">
        <v>2</v>
      </c>
      <c r="K131" s="87" t="s">
        <v>1284</v>
      </c>
      <c r="L131" s="82">
        <v>0</v>
      </c>
      <c r="M131" s="28">
        <v>0</v>
      </c>
      <c r="N131" s="88">
        <v>0</v>
      </c>
      <c r="O131" s="82">
        <v>0</v>
      </c>
      <c r="P131" s="82">
        <v>0</v>
      </c>
      <c r="Q131" s="82" t="s">
        <v>29</v>
      </c>
      <c r="R131" s="89" t="s">
        <v>29</v>
      </c>
      <c r="S131" s="82"/>
      <c r="T131" s="82">
        <v>0</v>
      </c>
      <c r="U131" s="82">
        <v>0</v>
      </c>
      <c r="V131" s="82">
        <v>1</v>
      </c>
      <c r="W131" s="90"/>
      <c r="X131" s="90"/>
      <c r="Y131" s="90"/>
    </row>
    <row r="132" spans="1:25" ht="39.6">
      <c r="A132" s="80">
        <v>1</v>
      </c>
      <c r="B132" s="93" t="s">
        <v>1285</v>
      </c>
      <c r="C132" s="82">
        <v>132</v>
      </c>
      <c r="D132" s="83">
        <v>1</v>
      </c>
      <c r="E132" s="94" t="s">
        <v>1286</v>
      </c>
      <c r="F132" s="85" t="str">
        <f>HYPERLINK("https://news.detik.com/berita-jawa-barat/d-4547181/pria-diduga-odgj-alami-koma-setelah-jadi-korban-tabrak-lari ","sumber")</f>
        <v>sumber</v>
      </c>
      <c r="G132" s="85" t="str">
        <f t="shared" si="15"/>
        <v>lokasi</v>
      </c>
      <c r="H132" s="83">
        <v>222</v>
      </c>
      <c r="I132" s="86">
        <v>1</v>
      </c>
      <c r="J132" s="82">
        <v>2</v>
      </c>
      <c r="K132" s="87" t="s">
        <v>1287</v>
      </c>
      <c r="L132" s="82">
        <v>0</v>
      </c>
      <c r="M132" s="28">
        <v>0</v>
      </c>
      <c r="N132" s="88">
        <v>0</v>
      </c>
      <c r="O132" s="82">
        <v>0</v>
      </c>
      <c r="P132" s="82">
        <v>0</v>
      </c>
      <c r="Q132" s="82" t="s">
        <v>29</v>
      </c>
      <c r="R132" s="89" t="s">
        <v>29</v>
      </c>
      <c r="S132" s="82"/>
      <c r="T132" s="82">
        <v>0</v>
      </c>
      <c r="U132" s="82">
        <v>-1</v>
      </c>
      <c r="V132" s="82">
        <v>1</v>
      </c>
      <c r="W132" s="90"/>
      <c r="X132" s="90"/>
      <c r="Y132" s="90"/>
    </row>
    <row r="133" spans="1:25" ht="13.2">
      <c r="A133" s="73">
        <v>2</v>
      </c>
      <c r="B133" s="74" t="s">
        <v>1288</v>
      </c>
      <c r="C133" s="18">
        <v>133</v>
      </c>
      <c r="D133" s="75">
        <v>2</v>
      </c>
      <c r="E133" s="76">
        <v>43611</v>
      </c>
      <c r="F133" s="20" t="str">
        <f>HYPERLINK("https://www.cnnindonesia.com/hiburan/20190526053434-220-398432/parasite-berjaya-di-cannes-banderas-dan-beecham-terbaik ","sumber")</f>
        <v>sumber</v>
      </c>
      <c r="G133" s="18" t="s">
        <v>1</v>
      </c>
      <c r="H133" s="75">
        <v>711</v>
      </c>
      <c r="I133" s="77"/>
      <c r="J133" s="18">
        <v>2</v>
      </c>
      <c r="K133" s="78"/>
      <c r="L133" s="19"/>
      <c r="M133" s="19"/>
      <c r="N133" s="19"/>
      <c r="O133" s="19"/>
      <c r="P133" s="19"/>
      <c r="Q133" s="18"/>
      <c r="R133" s="79"/>
      <c r="S133" s="18"/>
      <c r="T133" s="19"/>
      <c r="U133" s="19"/>
      <c r="V133" s="19"/>
      <c r="W133" s="19"/>
      <c r="X133" s="19"/>
      <c r="Y133" s="19"/>
    </row>
    <row r="134" spans="1:25" ht="13.2">
      <c r="A134" s="73">
        <v>2</v>
      </c>
      <c r="B134" s="74" t="s">
        <v>1289</v>
      </c>
      <c r="C134" s="18">
        <v>134</v>
      </c>
      <c r="D134" s="75">
        <v>8</v>
      </c>
      <c r="E134" s="76">
        <v>43611</v>
      </c>
      <c r="F134" s="20" t="str">
        <f>HYPERLINK("https://www.suara.com/news/2019/05/26/104647/ada-korban-kerusuhan-22-mei-ferdinand-presiden-lebih-peduli-tabung-gas ","sumber")</f>
        <v>sumber</v>
      </c>
      <c r="G134" s="18" t="s">
        <v>1</v>
      </c>
      <c r="H134" s="75">
        <v>230</v>
      </c>
      <c r="I134" s="77"/>
      <c r="J134" s="18">
        <v>2</v>
      </c>
      <c r="K134" s="78"/>
      <c r="L134" s="19"/>
      <c r="M134" s="19"/>
      <c r="N134" s="19"/>
      <c r="O134" s="19"/>
      <c r="P134" s="19"/>
      <c r="Q134" s="18"/>
      <c r="R134" s="79"/>
      <c r="S134" s="18"/>
      <c r="T134" s="19"/>
      <c r="U134" s="19"/>
      <c r="V134" s="19"/>
      <c r="W134" s="19"/>
      <c r="X134" s="19"/>
      <c r="Y134" s="19"/>
    </row>
    <row r="135" spans="1:25" ht="13.2">
      <c r="A135" s="80">
        <v>1</v>
      </c>
      <c r="B135" s="81" t="s">
        <v>1290</v>
      </c>
      <c r="C135" s="82">
        <v>135</v>
      </c>
      <c r="D135" s="83">
        <v>5</v>
      </c>
      <c r="E135" s="84">
        <v>43611</v>
      </c>
      <c r="F135" s="85" t="str">
        <f>HYPERLINK("https://tirto.id/down-swan-gambaran-down-syndrome-dan-empati-tanpa-konteks-d3wL ","sumber")</f>
        <v>sumber</v>
      </c>
      <c r="G135" s="85" t="str">
        <f>HYPERLINK("https://drive.google.com/open?id=15K5sriRJOw0JTPqD9yRZzl0fwZcfdV8X","lokasi")</f>
        <v>lokasi</v>
      </c>
      <c r="H135" s="83">
        <v>651</v>
      </c>
      <c r="I135" s="86">
        <v>2</v>
      </c>
      <c r="J135" s="82">
        <v>2</v>
      </c>
      <c r="K135" s="87"/>
      <c r="L135" s="82">
        <v>0</v>
      </c>
      <c r="M135" s="82">
        <v>0</v>
      </c>
      <c r="N135" s="88">
        <v>0</v>
      </c>
      <c r="O135" s="82">
        <v>0</v>
      </c>
      <c r="P135" s="82">
        <v>0</v>
      </c>
      <c r="Q135" s="82"/>
      <c r="R135" s="82"/>
      <c r="S135" s="82"/>
      <c r="T135" s="82">
        <v>0</v>
      </c>
      <c r="U135" s="82">
        <v>0</v>
      </c>
      <c r="V135" s="82">
        <v>1</v>
      </c>
      <c r="W135" s="90"/>
      <c r="X135" s="90"/>
      <c r="Y135" s="90"/>
    </row>
    <row r="136" spans="1:25" ht="13.2">
      <c r="A136" s="73">
        <v>2</v>
      </c>
      <c r="B136" s="74" t="s">
        <v>1291</v>
      </c>
      <c r="C136" s="18">
        <v>136</v>
      </c>
      <c r="D136" s="75">
        <v>2</v>
      </c>
      <c r="E136" s="76">
        <v>43614</v>
      </c>
      <c r="F136" s="20" t="str">
        <f>HYPERLINK("https://www.cnnindonesia.com/internasional/20190529114654-113-399405/polisi-jepang-geledah-rumah-pelaku-penikaman-massal ","sumber")</f>
        <v>sumber</v>
      </c>
      <c r="G136" s="18" t="s">
        <v>1</v>
      </c>
      <c r="H136" s="75">
        <v>242</v>
      </c>
      <c r="I136" s="77"/>
      <c r="J136" s="18">
        <v>2</v>
      </c>
      <c r="K136" s="78"/>
      <c r="L136" s="19"/>
      <c r="M136" s="19"/>
      <c r="N136" s="19"/>
      <c r="O136" s="19"/>
      <c r="P136" s="19"/>
      <c r="Q136" s="18"/>
      <c r="R136" s="79"/>
      <c r="S136" s="18"/>
      <c r="T136" s="19"/>
      <c r="U136" s="19"/>
      <c r="V136" s="19"/>
      <c r="W136" s="19"/>
      <c r="X136" s="19"/>
      <c r="Y136" s="19"/>
    </row>
    <row r="137" spans="1:25" ht="13.2">
      <c r="A137" s="73">
        <v>2</v>
      </c>
      <c r="B137" s="74" t="s">
        <v>1292</v>
      </c>
      <c r="C137" s="18">
        <v>137</v>
      </c>
      <c r="D137" s="75">
        <v>3</v>
      </c>
      <c r="E137" s="76">
        <v>43616</v>
      </c>
      <c r="F137" s="20" t="str">
        <f>HYPERLINK("https://bola.okezone.com/read/2019/05/31/261/2062469/ambisi-vertonghen-tutup-musim-gila-tottenham-dengan-trofi-liga-champions ","sumber")</f>
        <v>sumber</v>
      </c>
      <c r="G137" s="18" t="s">
        <v>1</v>
      </c>
      <c r="H137" s="75">
        <v>298</v>
      </c>
      <c r="I137" s="77"/>
      <c r="J137" s="18">
        <v>2</v>
      </c>
      <c r="K137" s="78"/>
      <c r="L137" s="19"/>
      <c r="M137" s="19"/>
      <c r="N137" s="19"/>
      <c r="O137" s="19"/>
      <c r="P137" s="19"/>
      <c r="Q137" s="18"/>
      <c r="R137" s="79"/>
      <c r="S137" s="18"/>
      <c r="T137" s="19"/>
      <c r="U137" s="19"/>
      <c r="V137" s="19"/>
      <c r="W137" s="19"/>
      <c r="X137" s="19"/>
      <c r="Y137" s="19"/>
    </row>
    <row r="138" spans="1:25" ht="52.8">
      <c r="A138" s="69">
        <v>1</v>
      </c>
      <c r="B138" s="64" t="s">
        <v>1293</v>
      </c>
      <c r="C138" s="11">
        <v>138</v>
      </c>
      <c r="D138" s="65">
        <v>9</v>
      </c>
      <c r="E138" s="66">
        <v>43617</v>
      </c>
      <c r="F138" s="13" t="str">
        <f>HYPERLINK("https://republika.co.id/berita/ramadhan/kabar-ramadhan/psexp3416/mandiri-syariah-berangkatkan-ratusan-pemudik-difabel ","sumber")</f>
        <v>sumber</v>
      </c>
      <c r="G138" s="13" t="str">
        <f>HYPERLINK("https://drive.google.com/open?id=15K5sriRJOw0JTPqD9yRZzl0fwZcfdV8X","lokasi")</f>
        <v>lokasi</v>
      </c>
      <c r="H138" s="65">
        <v>285</v>
      </c>
      <c r="I138" s="67">
        <v>2</v>
      </c>
      <c r="J138" s="11">
        <v>2</v>
      </c>
      <c r="K138" s="70" t="s">
        <v>1294</v>
      </c>
      <c r="L138" s="11">
        <v>0</v>
      </c>
      <c r="M138" s="11">
        <v>0</v>
      </c>
      <c r="N138" s="11">
        <v>-1</v>
      </c>
      <c r="O138" s="11">
        <v>0</v>
      </c>
      <c r="P138" s="11">
        <v>0</v>
      </c>
      <c r="Q138" s="11" t="s">
        <v>87</v>
      </c>
      <c r="R138" s="11" t="s">
        <v>160</v>
      </c>
      <c r="S138" s="11"/>
      <c r="T138" s="11">
        <v>0</v>
      </c>
      <c r="U138" s="11">
        <v>0</v>
      </c>
      <c r="V138" s="11">
        <v>1</v>
      </c>
      <c r="W138" s="14"/>
      <c r="X138" s="14"/>
      <c r="Y138" s="14"/>
    </row>
    <row r="139" spans="1:25" ht="13.2">
      <c r="A139" s="73">
        <v>2</v>
      </c>
      <c r="B139" s="74" t="s">
        <v>1295</v>
      </c>
      <c r="C139" s="18">
        <v>139</v>
      </c>
      <c r="D139" s="75">
        <v>3</v>
      </c>
      <c r="E139" s="76">
        <v>43628</v>
      </c>
      <c r="F139" s="20" t="str">
        <f>HYPERLINK("https://economy.okezone.com/read/2019/06/12/320/2065789/tiket-pesawat-mahal-sri-mulyani-minta-kementerian-lembaga-hemat-perjalanan-dinas ","sumber")</f>
        <v>sumber</v>
      </c>
      <c r="G139" s="18" t="s">
        <v>1</v>
      </c>
      <c r="H139" s="75">
        <v>228</v>
      </c>
      <c r="I139" s="77"/>
      <c r="J139" s="18">
        <v>2</v>
      </c>
      <c r="K139" s="78"/>
      <c r="L139" s="19"/>
      <c r="M139" s="19"/>
      <c r="N139" s="19"/>
      <c r="O139" s="19"/>
      <c r="P139" s="19"/>
      <c r="Q139" s="18"/>
      <c r="R139" s="79"/>
      <c r="S139" s="18"/>
      <c r="T139" s="19"/>
      <c r="U139" s="19"/>
      <c r="V139" s="19"/>
      <c r="W139" s="19"/>
      <c r="X139" s="19"/>
      <c r="Y139" s="19"/>
    </row>
    <row r="140" spans="1:25" ht="92.4">
      <c r="A140" s="80">
        <v>1</v>
      </c>
      <c r="B140" s="93" t="s">
        <v>1296</v>
      </c>
      <c r="C140" s="82">
        <v>140</v>
      </c>
      <c r="D140" s="83">
        <v>9</v>
      </c>
      <c r="E140" s="94" t="s">
        <v>1297</v>
      </c>
      <c r="F140" s="85" t="str">
        <f>HYPERLINK("https://nasional.republika.co.id/berita/nasional/daerah/ptchht396/pertamina-ru-vi-latih-kemandirian-siswa-disabilitas ","sumber")</f>
        <v>sumber</v>
      </c>
      <c r="G140" s="85" t="str">
        <f>HYPERLINK("https://drive.google.com/open?id=15K5sriRJOw0JTPqD9yRZzl0fwZcfdV8X","lokasi")</f>
        <v>lokasi</v>
      </c>
      <c r="H140" s="83">
        <v>282</v>
      </c>
      <c r="I140" s="86">
        <v>2</v>
      </c>
      <c r="J140" s="82">
        <v>2</v>
      </c>
      <c r="K140" s="87" t="s">
        <v>1298</v>
      </c>
      <c r="L140" s="82">
        <v>0</v>
      </c>
      <c r="M140" s="82">
        <v>0</v>
      </c>
      <c r="N140" s="88">
        <v>0</v>
      </c>
      <c r="O140" s="82">
        <v>0</v>
      </c>
      <c r="P140" s="82">
        <v>0</v>
      </c>
      <c r="Q140" s="82" t="s">
        <v>1046</v>
      </c>
      <c r="R140" s="89" t="s">
        <v>99</v>
      </c>
      <c r="S140" s="82"/>
      <c r="T140" s="82">
        <v>0</v>
      </c>
      <c r="U140" s="82">
        <v>0</v>
      </c>
      <c r="V140" s="82">
        <v>1</v>
      </c>
      <c r="W140" s="90"/>
      <c r="X140" s="90"/>
      <c r="Y140" s="90"/>
    </row>
    <row r="141" spans="1:25" ht="13.2">
      <c r="A141" s="73">
        <v>2</v>
      </c>
      <c r="B141" s="74" t="s">
        <v>1299</v>
      </c>
      <c r="C141" s="18">
        <v>141</v>
      </c>
      <c r="D141" s="75">
        <v>4</v>
      </c>
      <c r="E141" s="76">
        <v>43629</v>
      </c>
      <c r="F141" s="20" t="str">
        <f>HYPERLINK("https://www.liputan6.com/bola/read/3988802/kiper-barcelona-sebut-bursa-transfer-sekarang-gila ","sumber")</f>
        <v>sumber</v>
      </c>
      <c r="G141" s="18" t="s">
        <v>1</v>
      </c>
      <c r="H141" s="75">
        <v>258</v>
      </c>
      <c r="I141" s="77"/>
      <c r="J141" s="18">
        <v>2</v>
      </c>
      <c r="K141" s="78"/>
      <c r="L141" s="19"/>
      <c r="M141" s="19"/>
      <c r="N141" s="19"/>
      <c r="O141" s="19"/>
      <c r="P141" s="19"/>
      <c r="Q141" s="18"/>
      <c r="R141" s="79"/>
      <c r="S141" s="18"/>
      <c r="T141" s="19"/>
      <c r="U141" s="19"/>
      <c r="V141" s="19"/>
      <c r="W141" s="19"/>
      <c r="X141" s="19"/>
      <c r="Y141" s="19"/>
    </row>
    <row r="142" spans="1:25" ht="13.2">
      <c r="A142" s="80">
        <v>1</v>
      </c>
      <c r="B142" s="93" t="s">
        <v>1300</v>
      </c>
      <c r="C142" s="82">
        <v>142</v>
      </c>
      <c r="D142" s="83">
        <v>6</v>
      </c>
      <c r="E142" s="94" t="s">
        <v>1301</v>
      </c>
      <c r="F142" s="85" t="str">
        <f>HYPERLINK("https://entertainment.kompas.com/read/2019/06/17/133544610/ini-yang-akan-dilakukan-baim-wong-bila-bertemu-warganet-yang-terima ","sumber")</f>
        <v>sumber</v>
      </c>
      <c r="G142" s="85" t="str">
        <f t="shared" ref="G142:G143" si="16">HYPERLINK("https://drive.google.com/open?id=15K5sriRJOw0JTPqD9yRZzl0fwZcfdV8X","lokasi")</f>
        <v>lokasi</v>
      </c>
      <c r="H142" s="83">
        <v>196</v>
      </c>
      <c r="I142" s="86">
        <v>2</v>
      </c>
      <c r="J142" s="82">
        <v>2</v>
      </c>
      <c r="K142" s="87" t="s">
        <v>1302</v>
      </c>
      <c r="L142" s="82">
        <v>0</v>
      </c>
      <c r="M142" s="82">
        <v>0</v>
      </c>
      <c r="N142" s="88">
        <v>0</v>
      </c>
      <c r="O142" s="82">
        <v>0</v>
      </c>
      <c r="P142" s="82">
        <v>-1</v>
      </c>
      <c r="Q142" s="82">
        <v>0</v>
      </c>
      <c r="R142" s="89">
        <v>0</v>
      </c>
      <c r="S142" s="82" t="s">
        <v>1303</v>
      </c>
      <c r="T142" s="82">
        <v>1</v>
      </c>
      <c r="U142" s="82">
        <v>0</v>
      </c>
      <c r="V142" s="82">
        <v>0</v>
      </c>
      <c r="W142" s="90"/>
      <c r="X142" s="90"/>
      <c r="Y142" s="90"/>
    </row>
    <row r="143" spans="1:25" ht="39.6">
      <c r="A143" s="69">
        <v>1</v>
      </c>
      <c r="B143" s="64" t="s">
        <v>1304</v>
      </c>
      <c r="C143" s="11">
        <v>143</v>
      </c>
      <c r="D143" s="65">
        <v>1</v>
      </c>
      <c r="E143" s="66">
        <v>43634</v>
      </c>
      <c r="F143" s="13" t="str">
        <f>HYPERLINK("https://news.detik.com/berita-jawa-barat/d-4589900/pembuat-surat-sensen-presiden-republik-indonesia-akhirnya-kena-batunya ","sumber")</f>
        <v>sumber</v>
      </c>
      <c r="G143" s="13" t="str">
        <f t="shared" si="16"/>
        <v>lokasi</v>
      </c>
      <c r="H143" s="65">
        <v>417</v>
      </c>
      <c r="I143" s="67">
        <v>1</v>
      </c>
      <c r="J143" s="11">
        <v>2</v>
      </c>
      <c r="K143" s="70" t="s">
        <v>1305</v>
      </c>
      <c r="L143" s="11">
        <v>0</v>
      </c>
      <c r="M143" s="11">
        <v>-1</v>
      </c>
      <c r="N143" s="11">
        <v>-1</v>
      </c>
      <c r="O143" s="11">
        <v>0</v>
      </c>
      <c r="P143" s="11">
        <v>0</v>
      </c>
      <c r="Q143" s="11">
        <v>0</v>
      </c>
      <c r="R143" s="11">
        <v>-1</v>
      </c>
      <c r="S143" s="11"/>
      <c r="T143" s="11">
        <v>0</v>
      </c>
      <c r="U143" s="11">
        <v>-1</v>
      </c>
      <c r="V143" s="11">
        <v>1</v>
      </c>
      <c r="W143" s="14"/>
      <c r="X143" s="14"/>
      <c r="Y143" s="14"/>
    </row>
    <row r="144" spans="1:25" ht="13.2">
      <c r="A144" s="73">
        <v>2</v>
      </c>
      <c r="B144" s="74" t="s">
        <v>1306</v>
      </c>
      <c r="C144" s="18">
        <v>144</v>
      </c>
      <c r="D144" s="75">
        <v>2</v>
      </c>
      <c r="E144" s="76">
        <v>43635</v>
      </c>
      <c r="F144" s="20" t="str">
        <f>HYPERLINK("https://www.cnnindonesia.com/nasional/20190618211954-20-404427/kisruh-ppdb-2019-komisi-x-dpr-akan-panggil-mendikbud ","sumber")</f>
        <v>sumber</v>
      </c>
      <c r="G144" s="18" t="s">
        <v>1</v>
      </c>
      <c r="H144" s="75">
        <v>467</v>
      </c>
      <c r="I144" s="77"/>
      <c r="J144" s="18">
        <v>2</v>
      </c>
      <c r="K144" s="78"/>
      <c r="L144" s="19"/>
      <c r="M144" s="19"/>
      <c r="N144" s="19"/>
      <c r="O144" s="19"/>
      <c r="P144" s="19"/>
      <c r="Q144" s="18"/>
      <c r="R144" s="79"/>
      <c r="S144" s="18"/>
      <c r="T144" s="19"/>
      <c r="U144" s="19"/>
      <c r="V144" s="19"/>
      <c r="W144" s="19"/>
      <c r="X144" s="19"/>
      <c r="Y144" s="19"/>
    </row>
    <row r="145" spans="1:25" ht="39.6">
      <c r="A145" s="69">
        <v>1</v>
      </c>
      <c r="B145" s="64" t="s">
        <v>1307</v>
      </c>
      <c r="C145" s="11">
        <v>145</v>
      </c>
      <c r="D145" s="65">
        <v>2</v>
      </c>
      <c r="E145" s="66">
        <v>43636</v>
      </c>
      <c r="F145" s="13" t="str">
        <f>HYPERLINK("https://www.cnnindonesia.com/hiburan/20190620194330-227-405099/we-the-fest-2019-rangkul-kaum-difabel ","sumber")</f>
        <v>sumber</v>
      </c>
      <c r="G145" s="13" t="str">
        <f t="shared" ref="G145:G146" si="17">HYPERLINK("https://drive.google.com/open?id=15K5sriRJOw0JTPqD9yRZzl0fwZcfdV8X","lokasi")</f>
        <v>lokasi</v>
      </c>
      <c r="H145" s="65">
        <v>414</v>
      </c>
      <c r="I145" s="67">
        <v>2</v>
      </c>
      <c r="J145" s="11">
        <v>2</v>
      </c>
      <c r="K145" s="70" t="s">
        <v>1308</v>
      </c>
      <c r="L145" s="11">
        <v>0</v>
      </c>
      <c r="M145" s="11">
        <v>0</v>
      </c>
      <c r="N145" s="15">
        <v>0</v>
      </c>
      <c r="O145" s="11">
        <v>0</v>
      </c>
      <c r="P145" s="11">
        <v>0</v>
      </c>
      <c r="Q145" s="11" t="s">
        <v>29</v>
      </c>
      <c r="R145" s="11" t="s">
        <v>68</v>
      </c>
      <c r="S145" s="11"/>
      <c r="T145" s="11">
        <v>0</v>
      </c>
      <c r="U145" s="11">
        <v>0</v>
      </c>
      <c r="V145" s="11">
        <v>1</v>
      </c>
      <c r="W145" s="14"/>
      <c r="X145" s="14"/>
      <c r="Y145" s="14"/>
    </row>
    <row r="146" spans="1:25" ht="26.4">
      <c r="A146" s="69">
        <v>1</v>
      </c>
      <c r="B146" s="64" t="s">
        <v>1309</v>
      </c>
      <c r="C146" s="11">
        <v>146</v>
      </c>
      <c r="D146" s="65">
        <v>8</v>
      </c>
      <c r="E146" s="66">
        <v>43637</v>
      </c>
      <c r="F146" s="13" t="str">
        <f>HYPERLINK("https://www.suara.com/health/2019/06/21/155626/studi-anak-dengan-cacat-lahir-12-kali-berisiko-menderita-kanker ","sumber")</f>
        <v>sumber</v>
      </c>
      <c r="G146" s="13" t="str">
        <f t="shared" si="17"/>
        <v>lokasi</v>
      </c>
      <c r="H146" s="65">
        <v>374</v>
      </c>
      <c r="I146" s="67">
        <v>2</v>
      </c>
      <c r="J146" s="11">
        <v>2</v>
      </c>
      <c r="K146" s="70" t="s">
        <v>1310</v>
      </c>
      <c r="L146" s="11">
        <v>0</v>
      </c>
      <c r="M146" s="11">
        <v>0</v>
      </c>
      <c r="N146" s="15">
        <v>0</v>
      </c>
      <c r="O146" s="11">
        <v>0</v>
      </c>
      <c r="P146" s="11">
        <v>0</v>
      </c>
      <c r="Q146" s="11">
        <v>0</v>
      </c>
      <c r="R146" s="11">
        <v>0</v>
      </c>
      <c r="S146" s="11" t="s">
        <v>1311</v>
      </c>
      <c r="T146" s="11">
        <v>1</v>
      </c>
      <c r="U146" s="11">
        <v>0</v>
      </c>
      <c r="V146" s="11">
        <v>1</v>
      </c>
      <c r="W146" s="14"/>
      <c r="X146" s="14"/>
      <c r="Y146" s="14"/>
    </row>
    <row r="147" spans="1:25" ht="13.2">
      <c r="A147" s="73">
        <v>2</v>
      </c>
      <c r="B147" s="74" t="s">
        <v>1312</v>
      </c>
      <c r="C147" s="18">
        <v>147</v>
      </c>
      <c r="D147" s="75">
        <v>2</v>
      </c>
      <c r="E147" s="76">
        <v>43639</v>
      </c>
      <c r="F147" s="20" t="str">
        <f>HYPERLINK("https://www.cnnindonesia.com/olahraga/20190621192002-142-405416/liga-1-ipo-arema-persija-menyusul-persib-belum-tertarik ","sumber")</f>
        <v>sumber</v>
      </c>
      <c r="G147" s="18" t="s">
        <v>1</v>
      </c>
      <c r="H147" s="75">
        <v>913</v>
      </c>
      <c r="I147" s="77"/>
      <c r="J147" s="18">
        <v>2</v>
      </c>
      <c r="K147" s="78"/>
      <c r="L147" s="19"/>
      <c r="M147" s="19"/>
      <c r="N147" s="19"/>
      <c r="O147" s="19"/>
      <c r="P147" s="19"/>
      <c r="Q147" s="18"/>
      <c r="R147" s="79"/>
      <c r="S147" s="18"/>
      <c r="T147" s="19"/>
      <c r="U147" s="19"/>
      <c r="V147" s="19"/>
      <c r="W147" s="19"/>
      <c r="X147" s="19"/>
      <c r="Y147" s="19"/>
    </row>
    <row r="148" spans="1:25" ht="39.6">
      <c r="A148" s="80">
        <v>1</v>
      </c>
      <c r="B148" s="93" t="s">
        <v>1313</v>
      </c>
      <c r="C148" s="82">
        <v>148</v>
      </c>
      <c r="D148" s="83">
        <v>1</v>
      </c>
      <c r="E148" s="94" t="s">
        <v>1314</v>
      </c>
      <c r="F148" s="85" t="str">
        <f>HYPERLINK("https://news.detik.com/berita/d-4598497/di-tempat-ini-disabilitas-diajari-kerajinan-yang-asah-kreativitas ","sumber")</f>
        <v>sumber</v>
      </c>
      <c r="G148" s="85" t="str">
        <f>HYPERLINK("https://drive.google.com/open?id=15K5sriRJOw0JTPqD9yRZzl0fwZcfdV8X","lokasi")</f>
        <v>lokasi</v>
      </c>
      <c r="H148" s="83">
        <v>349</v>
      </c>
      <c r="I148" s="86">
        <v>2</v>
      </c>
      <c r="J148" s="82">
        <v>2</v>
      </c>
      <c r="K148" s="87" t="s">
        <v>1315</v>
      </c>
      <c r="L148" s="82">
        <v>0</v>
      </c>
      <c r="M148" s="82">
        <v>0</v>
      </c>
      <c r="N148" s="88">
        <v>0</v>
      </c>
      <c r="O148" s="82">
        <v>0</v>
      </c>
      <c r="P148" s="82">
        <v>0</v>
      </c>
      <c r="Q148" s="82" t="s">
        <v>619</v>
      </c>
      <c r="R148" s="89" t="s">
        <v>182</v>
      </c>
      <c r="S148" s="82"/>
      <c r="T148" s="82">
        <v>0</v>
      </c>
      <c r="U148" s="82">
        <v>0</v>
      </c>
      <c r="V148" s="82">
        <v>1</v>
      </c>
      <c r="W148" s="90"/>
      <c r="X148" s="90"/>
      <c r="Y148" s="90"/>
    </row>
    <row r="149" spans="1:25" ht="13.2">
      <c r="A149" s="73">
        <v>2</v>
      </c>
      <c r="B149" s="74" t="s">
        <v>1316</v>
      </c>
      <c r="C149" s="18">
        <v>149</v>
      </c>
      <c r="D149" s="75">
        <v>1</v>
      </c>
      <c r="E149" s="76">
        <v>43644</v>
      </c>
      <c r="F149" s="20" t="str">
        <f>HYPERLINK("https://finance.detik.com/bursa-dan-valas/d-4603666/terbukti-cacat-status-laporan-keuangan-garuda-rugi ","sumber")</f>
        <v>sumber</v>
      </c>
      <c r="G149" s="18" t="s">
        <v>1</v>
      </c>
      <c r="H149" s="75">
        <v>441</v>
      </c>
      <c r="I149" s="77"/>
      <c r="J149" s="18">
        <v>2</v>
      </c>
      <c r="K149" s="78"/>
      <c r="L149" s="19"/>
      <c r="M149" s="19"/>
      <c r="N149" s="19"/>
      <c r="O149" s="19"/>
      <c r="P149" s="19"/>
      <c r="Q149" s="18"/>
      <c r="R149" s="79"/>
      <c r="S149" s="18"/>
      <c r="T149" s="19"/>
      <c r="U149" s="19"/>
      <c r="V149" s="19"/>
      <c r="W149" s="19"/>
      <c r="X149" s="19"/>
      <c r="Y149" s="19"/>
    </row>
    <row r="150" spans="1:25" ht="39.6">
      <c r="A150" s="80">
        <v>1</v>
      </c>
      <c r="B150" s="93" t="s">
        <v>1317</v>
      </c>
      <c r="C150" s="82">
        <v>150</v>
      </c>
      <c r="D150" s="83">
        <v>8</v>
      </c>
      <c r="E150" s="94" t="s">
        <v>1318</v>
      </c>
      <c r="F150" s="85" t="str">
        <f>HYPERLINK("https://www.suara.com/health/2019/07/01/180000/pentingnya-ikut-kelas-zumba-bagi-anak-dengan-gangguan-spektrum-autisme ","sumber")</f>
        <v>sumber</v>
      </c>
      <c r="G150" s="85" t="str">
        <f t="shared" ref="G150:G151" si="18">HYPERLINK("https://drive.google.com/open?id=15K5sriRJOw0JTPqD9yRZzl0fwZcfdV8X","lokasi")</f>
        <v>lokasi</v>
      </c>
      <c r="H150" s="83">
        <v>427</v>
      </c>
      <c r="I150" s="86">
        <v>2</v>
      </c>
      <c r="J150" s="82">
        <v>2</v>
      </c>
      <c r="K150" s="87" t="s">
        <v>1319</v>
      </c>
      <c r="L150" s="82">
        <v>0</v>
      </c>
      <c r="M150" s="82">
        <v>0</v>
      </c>
      <c r="N150" s="88">
        <v>0</v>
      </c>
      <c r="O150" s="82">
        <v>0</v>
      </c>
      <c r="P150" s="82">
        <v>0</v>
      </c>
      <c r="Q150" s="82" t="s">
        <v>29</v>
      </c>
      <c r="R150" s="89" t="s">
        <v>160</v>
      </c>
      <c r="S150" s="82"/>
      <c r="T150" s="82">
        <v>0</v>
      </c>
      <c r="U150" s="82">
        <v>0</v>
      </c>
      <c r="V150" s="82">
        <v>1</v>
      </c>
      <c r="W150" s="90"/>
      <c r="X150" s="90"/>
      <c r="Y150" s="90"/>
    </row>
    <row r="151" spans="1:25" ht="26.4">
      <c r="A151" s="69">
        <v>1</v>
      </c>
      <c r="B151" s="64" t="s">
        <v>1320</v>
      </c>
      <c r="C151" s="11">
        <v>151</v>
      </c>
      <c r="D151" s="65">
        <v>3</v>
      </c>
      <c r="E151" s="66">
        <v>43648</v>
      </c>
      <c r="F151" s="13" t="str">
        <f>HYPERLINK("https://lifestyle.okezone.com/read/2019/07/02/194/2073666/aaron-philip-transgender-kulit-hitam-dan-difabel-pertama-yang-sukses-jadi-model-cover-majalah ","sumber")</f>
        <v>sumber</v>
      </c>
      <c r="G151" s="13" t="str">
        <f t="shared" si="18"/>
        <v>lokasi</v>
      </c>
      <c r="H151" s="65">
        <v>295</v>
      </c>
      <c r="I151" s="67">
        <v>2</v>
      </c>
      <c r="J151" s="11">
        <v>2</v>
      </c>
      <c r="K151" s="70" t="s">
        <v>1321</v>
      </c>
      <c r="L151" s="11">
        <v>0</v>
      </c>
      <c r="M151" s="11">
        <v>0</v>
      </c>
      <c r="N151" s="15">
        <v>0</v>
      </c>
      <c r="O151" s="11">
        <v>0</v>
      </c>
      <c r="P151" s="11">
        <v>0</v>
      </c>
      <c r="Q151" s="11">
        <v>2</v>
      </c>
      <c r="R151" s="11">
        <v>1</v>
      </c>
      <c r="S151" s="11"/>
      <c r="T151" s="11">
        <v>0</v>
      </c>
      <c r="U151" s="11">
        <v>0</v>
      </c>
      <c r="V151" s="11">
        <v>1</v>
      </c>
      <c r="W151" s="14"/>
      <c r="X151" s="14"/>
      <c r="Y151" s="14"/>
    </row>
    <row r="152" spans="1:25" ht="13.2">
      <c r="A152" s="73">
        <v>2</v>
      </c>
      <c r="B152" s="74" t="s">
        <v>1322</v>
      </c>
      <c r="C152" s="18">
        <v>152</v>
      </c>
      <c r="D152" s="75">
        <v>6</v>
      </c>
      <c r="E152" s="76">
        <v>43652</v>
      </c>
      <c r="F152" s="20" t="str">
        <f>HYPERLINK("https://megapolitan.kompas.com/read/2019/07/06/08475931/tiga-fakta-menarik-pemilik-jayabaya-burung-elite-seharga-rp-1-miliar ","sumber")</f>
        <v>sumber</v>
      </c>
      <c r="G152" s="18" t="s">
        <v>1</v>
      </c>
      <c r="H152" s="75">
        <v>219</v>
      </c>
      <c r="I152" s="77"/>
      <c r="J152" s="18">
        <v>2</v>
      </c>
      <c r="K152" s="78"/>
      <c r="L152" s="19"/>
      <c r="M152" s="19"/>
      <c r="N152" s="19"/>
      <c r="O152" s="19"/>
      <c r="P152" s="19"/>
      <c r="Q152" s="18"/>
      <c r="R152" s="79"/>
      <c r="S152" s="18"/>
      <c r="T152" s="19"/>
      <c r="U152" s="19"/>
      <c r="V152" s="19"/>
      <c r="W152" s="19"/>
      <c r="X152" s="19"/>
      <c r="Y152" s="19"/>
    </row>
    <row r="153" spans="1:25" ht="13.2">
      <c r="A153" s="73">
        <v>2</v>
      </c>
      <c r="B153" s="74" t="s">
        <v>1323</v>
      </c>
      <c r="C153" s="18">
        <v>153</v>
      </c>
      <c r="D153" s="75">
        <v>10</v>
      </c>
      <c r="E153" s="76">
        <v>43653</v>
      </c>
      <c r="F153" s="20" t="str">
        <f>HYPERLINK("https://sport.tempo.co/read/1221891/dikabarkan-bakal-jadi-menteri-begini-jawaban-ketua-kpsn ","sumber")</f>
        <v>sumber</v>
      </c>
      <c r="G153" s="18" t="s">
        <v>1</v>
      </c>
      <c r="H153" s="75">
        <v>151</v>
      </c>
      <c r="I153" s="77"/>
      <c r="J153" s="18">
        <v>2</v>
      </c>
      <c r="K153" s="78"/>
      <c r="L153" s="19"/>
      <c r="M153" s="19"/>
      <c r="N153" s="19"/>
      <c r="O153" s="19"/>
      <c r="P153" s="19"/>
      <c r="Q153" s="18"/>
      <c r="R153" s="79"/>
      <c r="S153" s="18"/>
      <c r="T153" s="19"/>
      <c r="U153" s="19"/>
      <c r="V153" s="19"/>
      <c r="W153" s="19"/>
      <c r="X153" s="19"/>
      <c r="Y153" s="19"/>
    </row>
    <row r="154" spans="1:25" ht="13.2">
      <c r="A154" s="73">
        <v>2</v>
      </c>
      <c r="B154" s="74" t="s">
        <v>1324</v>
      </c>
      <c r="C154" s="18">
        <v>154</v>
      </c>
      <c r="D154" s="75">
        <v>7</v>
      </c>
      <c r="E154" s="76">
        <v>43657</v>
      </c>
      <c r="F154" s="20" t="str">
        <f>HYPERLINK("https://www.tribunnews.com/nasional/2019/07/11/kpu-wacanakan-pakai-situng-jadi-hasil-resmi-bawaslu-tak-pernah-diajak-diskusi ","sumber")</f>
        <v>sumber</v>
      </c>
      <c r="G154" s="18" t="s">
        <v>1</v>
      </c>
      <c r="H154" s="75">
        <v>198</v>
      </c>
      <c r="I154" s="77"/>
      <c r="J154" s="18">
        <v>2</v>
      </c>
      <c r="K154" s="78"/>
      <c r="L154" s="19"/>
      <c r="M154" s="19"/>
      <c r="N154" s="19"/>
      <c r="O154" s="19"/>
      <c r="P154" s="19"/>
      <c r="Q154" s="18"/>
      <c r="R154" s="79"/>
      <c r="S154" s="18"/>
      <c r="T154" s="19"/>
      <c r="U154" s="19"/>
      <c r="V154" s="19"/>
      <c r="W154" s="19"/>
      <c r="X154" s="19"/>
      <c r="Y154" s="19"/>
    </row>
    <row r="155" spans="1:25" ht="13.2">
      <c r="A155" s="73">
        <v>2</v>
      </c>
      <c r="B155" s="74" t="s">
        <v>1325</v>
      </c>
      <c r="C155" s="18">
        <v>155</v>
      </c>
      <c r="D155" s="75">
        <v>2</v>
      </c>
      <c r="E155" s="76">
        <v>43663</v>
      </c>
      <c r="F155" s="20" t="str">
        <f>HYPERLINK("https://www.cnnindonesia.com/teknologi/20190716201155-384-412729/booking-service-sebelum-ke-bengkel-untuk-urus-rush-cacat ","sumber")</f>
        <v>sumber</v>
      </c>
      <c r="G155" s="18" t="s">
        <v>1</v>
      </c>
      <c r="H155" s="75">
        <v>257</v>
      </c>
      <c r="I155" s="77"/>
      <c r="J155" s="18">
        <v>2</v>
      </c>
      <c r="K155" s="78"/>
      <c r="L155" s="19"/>
      <c r="M155" s="19"/>
      <c r="N155" s="19"/>
      <c r="O155" s="19"/>
      <c r="P155" s="19"/>
      <c r="Q155" s="18"/>
      <c r="R155" s="79"/>
      <c r="S155" s="18"/>
      <c r="T155" s="19"/>
      <c r="U155" s="19"/>
      <c r="V155" s="19"/>
      <c r="W155" s="19"/>
      <c r="X155" s="19"/>
      <c r="Y155" s="19"/>
    </row>
    <row r="156" spans="1:25" ht="92.4">
      <c r="A156" s="80">
        <v>1</v>
      </c>
      <c r="B156" s="93" t="s">
        <v>1326</v>
      </c>
      <c r="C156" s="82">
        <v>156</v>
      </c>
      <c r="D156" s="83">
        <v>9</v>
      </c>
      <c r="E156" s="94" t="s">
        <v>1327</v>
      </c>
      <c r="F156" s="85" t="str">
        <f>HYPERLINK("https://gayahidup.republika.co.id/berita/pv7b71459/sulit-konsentrasi-bisa-jadi-tanda-disabilitas-psikososial ","sumber")</f>
        <v>sumber</v>
      </c>
      <c r="G156" s="85" t="str">
        <f t="shared" ref="G156:G158" si="19">HYPERLINK("https://drive.google.com/open?id=15K5sriRJOw0JTPqD9yRZzl0fwZcfdV8X","lokasi")</f>
        <v>lokasi</v>
      </c>
      <c r="H156" s="83">
        <v>37</v>
      </c>
      <c r="I156" s="86">
        <v>2</v>
      </c>
      <c r="J156" s="82">
        <v>2</v>
      </c>
      <c r="K156" s="87" t="s">
        <v>1328</v>
      </c>
      <c r="L156" s="82">
        <v>0</v>
      </c>
      <c r="M156" s="82">
        <v>0</v>
      </c>
      <c r="N156" s="88">
        <v>0</v>
      </c>
      <c r="O156" s="82">
        <v>0</v>
      </c>
      <c r="P156" s="82">
        <v>0</v>
      </c>
      <c r="Q156" s="82" t="s">
        <v>68</v>
      </c>
      <c r="R156" s="89" t="s">
        <v>160</v>
      </c>
      <c r="S156" s="82"/>
      <c r="T156" s="82">
        <v>0</v>
      </c>
      <c r="U156" s="82">
        <v>0</v>
      </c>
      <c r="V156" s="82">
        <v>1</v>
      </c>
      <c r="W156" s="90"/>
      <c r="X156" s="90"/>
      <c r="Y156" s="90"/>
    </row>
    <row r="157" spans="1:25" ht="52.8">
      <c r="A157" s="80">
        <v>1</v>
      </c>
      <c r="B157" s="93" t="s">
        <v>1329</v>
      </c>
      <c r="C157" s="82">
        <v>157</v>
      </c>
      <c r="D157" s="83">
        <v>8</v>
      </c>
      <c r="E157" s="94" t="s">
        <v>1330</v>
      </c>
      <c r="F157" s="85" t="str">
        <f>HYPERLINK("https://jatim.suara.com/read/2019/07/27/162418/jomblo-akut-terapis-perkosa-gadis-penyandang-disabilitas ","sumber")</f>
        <v>sumber</v>
      </c>
      <c r="G157" s="85" t="str">
        <f t="shared" si="19"/>
        <v>lokasi</v>
      </c>
      <c r="H157" s="83">
        <v>282</v>
      </c>
      <c r="I157" s="86">
        <v>1</v>
      </c>
      <c r="J157" s="82">
        <v>2</v>
      </c>
      <c r="K157" s="87" t="s">
        <v>1331</v>
      </c>
      <c r="L157" s="82">
        <v>0</v>
      </c>
      <c r="M157" s="82">
        <v>-1</v>
      </c>
      <c r="N157" s="88">
        <v>0</v>
      </c>
      <c r="O157" s="82">
        <v>-1</v>
      </c>
      <c r="P157" s="82">
        <v>-1</v>
      </c>
      <c r="Q157" s="82">
        <v>0</v>
      </c>
      <c r="R157" s="89">
        <v>-1</v>
      </c>
      <c r="S157" s="82" t="s">
        <v>1332</v>
      </c>
      <c r="T157" s="82">
        <v>2</v>
      </c>
      <c r="U157" s="82">
        <v>-1</v>
      </c>
      <c r="V157" s="82">
        <v>0</v>
      </c>
      <c r="W157" s="90"/>
      <c r="X157" s="90"/>
      <c r="Y157" s="90"/>
    </row>
    <row r="158" spans="1:25" ht="52.8">
      <c r="A158" s="80">
        <v>1</v>
      </c>
      <c r="B158" s="93" t="s">
        <v>1333</v>
      </c>
      <c r="C158" s="82">
        <v>158</v>
      </c>
      <c r="D158" s="83">
        <v>2</v>
      </c>
      <c r="E158" s="84">
        <v>43660</v>
      </c>
      <c r="F158" s="85" t="str">
        <f>HYPERLINK("https://www.cnnindonesia.com/nasional/20190714135854-12-411964/oknum-anggota-tni-diduga-curi-kotak-amal-masjid-di-palembang ","sumber")</f>
        <v>sumber</v>
      </c>
      <c r="G158" s="85" t="str">
        <f t="shared" si="19"/>
        <v>lokasi</v>
      </c>
      <c r="H158" s="83">
        <v>244</v>
      </c>
      <c r="I158" s="86">
        <v>1</v>
      </c>
      <c r="J158" s="82">
        <v>2</v>
      </c>
      <c r="K158" s="87" t="s">
        <v>1334</v>
      </c>
      <c r="L158" s="82">
        <v>0</v>
      </c>
      <c r="M158" s="28">
        <v>0</v>
      </c>
      <c r="N158" s="88">
        <v>0</v>
      </c>
      <c r="O158" s="82">
        <v>0</v>
      </c>
      <c r="P158" s="82">
        <v>0</v>
      </c>
      <c r="Q158" s="82">
        <v>0</v>
      </c>
      <c r="R158" s="89">
        <v>0</v>
      </c>
      <c r="S158" s="82"/>
      <c r="T158" s="82">
        <v>0</v>
      </c>
      <c r="U158" s="82">
        <v>0</v>
      </c>
      <c r="V158" s="82">
        <v>1</v>
      </c>
      <c r="W158" s="90"/>
      <c r="X158" s="90"/>
      <c r="Y158" s="90"/>
    </row>
    <row r="159" spans="1:25" ht="13.2">
      <c r="A159" s="73">
        <v>2</v>
      </c>
      <c r="B159" s="74" t="s">
        <v>1335</v>
      </c>
      <c r="C159" s="18">
        <v>159</v>
      </c>
      <c r="D159" s="75">
        <v>6</v>
      </c>
      <c r="E159" s="76">
        <v>43674</v>
      </c>
      <c r="F159" s="20" t="str">
        <f>HYPERLINK("https://regional.kompas.com/read/2019/07/28/14020001/jalan-panjang-konflik-tni-dan-kkb-di-papua-sita-ratusan-amunisi-hingga ","sumber")</f>
        <v>sumber</v>
      </c>
      <c r="G159" s="18" t="s">
        <v>1</v>
      </c>
      <c r="H159" s="75">
        <v>256</v>
      </c>
      <c r="I159" s="77"/>
      <c r="J159" s="18">
        <v>2</v>
      </c>
      <c r="K159" s="78"/>
      <c r="L159" s="19"/>
      <c r="M159" s="19"/>
      <c r="N159" s="19"/>
      <c r="O159" s="19"/>
      <c r="P159" s="19"/>
      <c r="Q159" s="18"/>
      <c r="R159" s="79"/>
      <c r="S159" s="18"/>
      <c r="T159" s="19"/>
      <c r="U159" s="19"/>
      <c r="V159" s="19"/>
      <c r="W159" s="19"/>
      <c r="X159" s="19"/>
      <c r="Y159" s="19"/>
    </row>
    <row r="160" spans="1:25" ht="13.2">
      <c r="A160" s="73">
        <v>2</v>
      </c>
      <c r="B160" s="74" t="s">
        <v>1336</v>
      </c>
      <c r="C160" s="18">
        <v>160</v>
      </c>
      <c r="D160" s="75">
        <v>5</v>
      </c>
      <c r="E160" s="76">
        <v>43674</v>
      </c>
      <c r="F160" s="20" t="str">
        <f>HYPERLINK("https://tirto.id/gereja-jangan-selalu-bicara-dosa-pribadi-tapi-melupakan-dosa-sosial-eeZo ","sumber")</f>
        <v>sumber</v>
      </c>
      <c r="G160" s="18" t="s">
        <v>1</v>
      </c>
      <c r="H160" s="75">
        <v>2343</v>
      </c>
      <c r="I160" s="77"/>
      <c r="J160" s="18">
        <v>2</v>
      </c>
      <c r="K160" s="78"/>
      <c r="L160" s="19"/>
      <c r="M160" s="19"/>
      <c r="N160" s="19"/>
      <c r="O160" s="19"/>
      <c r="P160" s="19"/>
      <c r="Q160" s="18"/>
      <c r="R160" s="79"/>
      <c r="S160" s="18"/>
      <c r="T160" s="19"/>
      <c r="U160" s="19"/>
      <c r="V160" s="19"/>
      <c r="W160" s="19"/>
      <c r="X160" s="19"/>
      <c r="Y160" s="19"/>
    </row>
    <row r="161" spans="1:25" ht="13.2">
      <c r="A161" s="69">
        <v>1</v>
      </c>
      <c r="B161" s="64" t="s">
        <v>1337</v>
      </c>
      <c r="C161" s="11">
        <v>161</v>
      </c>
      <c r="D161" s="65">
        <v>5</v>
      </c>
      <c r="E161" s="66">
        <v>43676</v>
      </c>
      <c r="F161" s="13" t="str">
        <f>HYPERLINK("https://tirto.id/menpan-rb-peringatkan-pemkab-solok-soal-pembatalan-cpns-drg-romi-efiH ","sumber")</f>
        <v>sumber</v>
      </c>
      <c r="G161" s="13" t="str">
        <f t="shared" ref="G161:G162" si="20">HYPERLINK("https://drive.google.com/open?id=15K5sriRJOw0JTPqD9yRZzl0fwZcfdV8X","lokasi")</f>
        <v>lokasi</v>
      </c>
      <c r="H161" s="65">
        <v>306</v>
      </c>
      <c r="I161" s="67">
        <v>4</v>
      </c>
      <c r="J161" s="11">
        <v>2</v>
      </c>
      <c r="K161" s="70" t="s">
        <v>1338</v>
      </c>
      <c r="L161" s="11">
        <v>0</v>
      </c>
      <c r="M161" s="11">
        <v>0</v>
      </c>
      <c r="N161" s="15">
        <v>0</v>
      </c>
      <c r="O161" s="11">
        <v>0</v>
      </c>
      <c r="P161" s="11">
        <v>0</v>
      </c>
      <c r="Q161" s="11">
        <v>0</v>
      </c>
      <c r="R161" s="11">
        <v>1</v>
      </c>
      <c r="S161" s="11"/>
      <c r="T161" s="11">
        <v>0</v>
      </c>
      <c r="U161" s="11">
        <v>0</v>
      </c>
      <c r="V161" s="11">
        <v>1</v>
      </c>
      <c r="W161" s="14"/>
      <c r="X161" s="14"/>
      <c r="Y161" s="14"/>
    </row>
    <row r="162" spans="1:25" ht="26.4">
      <c r="A162" s="80">
        <v>1</v>
      </c>
      <c r="B162" s="93" t="s">
        <v>1339</v>
      </c>
      <c r="C162" s="82">
        <v>162</v>
      </c>
      <c r="D162" s="83">
        <v>6</v>
      </c>
      <c r="E162" s="84">
        <v>43683</v>
      </c>
      <c r="F162" s="85" t="str">
        <f>HYPERLINK("https://regional.kompas.com/read/2019/08/06/14400361/hak-dikembalikan-pemprov-sumbar-sebut-kasus-dokter-romi-ditutup ","sumber")</f>
        <v>sumber</v>
      </c>
      <c r="G162" s="85" t="str">
        <f t="shared" si="20"/>
        <v>lokasi</v>
      </c>
      <c r="H162" s="83">
        <v>218</v>
      </c>
      <c r="I162" s="86">
        <v>1</v>
      </c>
      <c r="J162" s="82">
        <v>2</v>
      </c>
      <c r="K162" s="87" t="s">
        <v>1340</v>
      </c>
      <c r="L162" s="82">
        <v>0</v>
      </c>
      <c r="M162" s="28">
        <v>0</v>
      </c>
      <c r="N162" s="88">
        <v>0</v>
      </c>
      <c r="O162" s="82">
        <v>0</v>
      </c>
      <c r="P162" s="82">
        <v>0</v>
      </c>
      <c r="Q162" s="82">
        <v>0</v>
      </c>
      <c r="R162" s="89">
        <v>0</v>
      </c>
      <c r="S162" s="82"/>
      <c r="T162" s="82">
        <v>0</v>
      </c>
      <c r="U162" s="82">
        <v>0</v>
      </c>
      <c r="V162" s="82">
        <v>1</v>
      </c>
      <c r="W162" s="90"/>
      <c r="X162" s="90"/>
      <c r="Y162" s="90"/>
    </row>
    <row r="163" spans="1:25" ht="13.2">
      <c r="A163" s="73">
        <v>2</v>
      </c>
      <c r="B163" s="74" t="s">
        <v>1341</v>
      </c>
      <c r="C163" s="18">
        <v>163</v>
      </c>
      <c r="D163" s="75">
        <v>10</v>
      </c>
      <c r="E163" s="76">
        <v>43686</v>
      </c>
      <c r="F163" s="20" t="str">
        <f>HYPERLINK("https://bisnis.tempo.co/read/1234077/idul-adha-jokowi-sumbang-2-ekor-sapi-kurban-di-yogya ","sumber")</f>
        <v>sumber</v>
      </c>
      <c r="G163" s="18" t="s">
        <v>1</v>
      </c>
      <c r="H163" s="75">
        <v>374</v>
      </c>
      <c r="I163" s="77"/>
      <c r="J163" s="18">
        <v>2</v>
      </c>
      <c r="K163" s="78"/>
      <c r="L163" s="19"/>
      <c r="M163" s="19"/>
      <c r="N163" s="19"/>
      <c r="O163" s="19"/>
      <c r="P163" s="19"/>
      <c r="Q163" s="18"/>
      <c r="R163" s="79"/>
      <c r="S163" s="18"/>
      <c r="T163" s="19"/>
      <c r="U163" s="19"/>
      <c r="V163" s="19"/>
      <c r="W163" s="19"/>
      <c r="X163" s="19"/>
      <c r="Y163" s="19"/>
    </row>
    <row r="164" spans="1:25" ht="13.2">
      <c r="A164" s="73">
        <v>2</v>
      </c>
      <c r="B164" s="74" t="s">
        <v>1342</v>
      </c>
      <c r="C164" s="18">
        <v>164</v>
      </c>
      <c r="D164" s="75">
        <v>5</v>
      </c>
      <c r="E164" s="76">
        <v>43693</v>
      </c>
      <c r="F164" s="20" t="str">
        <f>HYPERLINK("https://tirto.id/daftar-makanan-yang-dilarang-untuk-ibu-hamil-daging-mentah-alkohol-egoV ","sumber")</f>
        <v>sumber</v>
      </c>
      <c r="G164" s="18" t="s">
        <v>1</v>
      </c>
      <c r="H164" s="75">
        <v>842</v>
      </c>
      <c r="I164" s="77"/>
      <c r="J164" s="18">
        <v>2</v>
      </c>
      <c r="K164" s="78"/>
      <c r="L164" s="19"/>
      <c r="M164" s="19"/>
      <c r="N164" s="19"/>
      <c r="O164" s="19"/>
      <c r="P164" s="19"/>
      <c r="Q164" s="18"/>
      <c r="R164" s="79"/>
      <c r="S164" s="18"/>
      <c r="T164" s="19"/>
      <c r="U164" s="19"/>
      <c r="V164" s="19"/>
      <c r="W164" s="19"/>
      <c r="X164" s="19"/>
      <c r="Y164" s="19"/>
    </row>
    <row r="165" spans="1:25" ht="26.4">
      <c r="A165" s="69">
        <v>1</v>
      </c>
      <c r="B165" s="64" t="s">
        <v>1343</v>
      </c>
      <c r="C165" s="11">
        <v>165</v>
      </c>
      <c r="D165" s="65">
        <v>2</v>
      </c>
      <c r="E165" s="66">
        <v>43695</v>
      </c>
      <c r="F165" s="13" t="str">
        <f>HYPERLINK("https://www.cnnindonesia.com/nasional/20190818094104-12-422377/warga-pengibar-bendera-pki-disebut-gangguan-jiwa ","sumber")</f>
        <v>sumber</v>
      </c>
      <c r="G165" s="13" t="str">
        <f t="shared" ref="G165:G166" si="21">HYPERLINK("https://drive.google.com/open?id=15K5sriRJOw0JTPqD9yRZzl0fwZcfdV8X","lokasi")</f>
        <v>lokasi</v>
      </c>
      <c r="H165" s="65">
        <v>314</v>
      </c>
      <c r="I165" s="67">
        <v>1</v>
      </c>
      <c r="J165" s="11">
        <v>2</v>
      </c>
      <c r="K165" s="70" t="s">
        <v>1344</v>
      </c>
      <c r="L165" s="11">
        <v>0</v>
      </c>
      <c r="M165" s="11">
        <v>-1</v>
      </c>
      <c r="N165" s="15">
        <v>0</v>
      </c>
      <c r="O165" s="11">
        <v>0</v>
      </c>
      <c r="P165" s="11">
        <v>0</v>
      </c>
      <c r="Q165" s="11">
        <v>0</v>
      </c>
      <c r="R165" s="11">
        <v>-1</v>
      </c>
      <c r="S165" s="11"/>
      <c r="T165" s="11">
        <v>0</v>
      </c>
      <c r="U165" s="11">
        <v>-1</v>
      </c>
      <c r="V165" s="11">
        <v>1</v>
      </c>
      <c r="W165" s="14"/>
      <c r="X165" s="14"/>
      <c r="Y165" s="14"/>
    </row>
    <row r="166" spans="1:25" ht="39.6">
      <c r="A166" s="80">
        <v>1</v>
      </c>
      <c r="B166" s="93" t="s">
        <v>1345</v>
      </c>
      <c r="C166" s="82">
        <v>166</v>
      </c>
      <c r="D166" s="83">
        <v>7</v>
      </c>
      <c r="E166" s="94" t="s">
        <v>1346</v>
      </c>
      <c r="F166" s="85" t="str">
        <f>HYPERLINK("https://www.tribunnews.com/regional/2019/08/22/pelatihan-kepemimpinan-bagi-siswa-disabilitas ","sumber")</f>
        <v>sumber</v>
      </c>
      <c r="G166" s="85" t="str">
        <f t="shared" si="21"/>
        <v>lokasi</v>
      </c>
      <c r="H166" s="83">
        <v>233</v>
      </c>
      <c r="I166" s="86">
        <v>2</v>
      </c>
      <c r="J166" s="82">
        <v>2</v>
      </c>
      <c r="K166" s="87" t="s">
        <v>1347</v>
      </c>
      <c r="L166" s="82">
        <v>0</v>
      </c>
      <c r="M166" s="82">
        <v>0</v>
      </c>
      <c r="N166" s="88">
        <v>0</v>
      </c>
      <c r="O166" s="82">
        <v>0</v>
      </c>
      <c r="P166" s="82">
        <v>0</v>
      </c>
      <c r="Q166" s="82">
        <v>0</v>
      </c>
      <c r="R166" s="89">
        <v>1</v>
      </c>
      <c r="S166" s="82"/>
      <c r="T166" s="82">
        <v>0</v>
      </c>
      <c r="U166" s="82">
        <v>0</v>
      </c>
      <c r="V166" s="82">
        <v>1</v>
      </c>
      <c r="W166" s="90"/>
      <c r="X166" s="90"/>
      <c r="Y166" s="90"/>
    </row>
    <row r="167" spans="1:25" ht="13.2">
      <c r="A167" s="73">
        <v>2</v>
      </c>
      <c r="B167" s="74" t="s">
        <v>1348</v>
      </c>
      <c r="C167" s="18">
        <v>167</v>
      </c>
      <c r="D167" s="75">
        <v>4</v>
      </c>
      <c r="E167" s="76">
        <v>43700</v>
      </c>
      <c r="F167" s="20" t="str">
        <f>HYPERLINK("https://www.liputan6.com/showbiz/read/4044705/ftv-spesial-hut-sctv-senorita-buat-cucu-ke-29-tayang-jumat-pagi ","sumber")</f>
        <v>sumber</v>
      </c>
      <c r="G167" s="18" t="s">
        <v>1</v>
      </c>
      <c r="H167" s="75">
        <v>491</v>
      </c>
      <c r="I167" s="77"/>
      <c r="J167" s="18">
        <v>2</v>
      </c>
      <c r="K167" s="78"/>
      <c r="L167" s="19"/>
      <c r="M167" s="19"/>
      <c r="N167" s="19"/>
      <c r="O167" s="19"/>
      <c r="P167" s="19"/>
      <c r="Q167" s="18"/>
      <c r="R167" s="79"/>
      <c r="S167" s="18"/>
      <c r="T167" s="19"/>
      <c r="U167" s="19"/>
      <c r="V167" s="19"/>
      <c r="W167" s="19"/>
      <c r="X167" s="19"/>
      <c r="Y167" s="19"/>
    </row>
    <row r="168" spans="1:25" ht="13.2">
      <c r="A168" s="69">
        <v>1</v>
      </c>
      <c r="B168" s="64" t="s">
        <v>1349</v>
      </c>
      <c r="C168" s="11">
        <v>168</v>
      </c>
      <c r="D168" s="65">
        <v>9</v>
      </c>
      <c r="E168" s="66">
        <v>43701</v>
      </c>
      <c r="F168" s="13" t="str">
        <f>HYPERLINK("https://senggang.republika.co.id/berita/pwq45d414/dian-sastro-ungkap-putra-pertamanya-menyandang-autisme ","sumber")</f>
        <v>sumber</v>
      </c>
      <c r="G168" s="13" t="str">
        <f>HYPERLINK("https://drive.google.com/open?id=15K5sriRJOw0JTPqD9yRZzl0fwZcfdV8X","lokasi")</f>
        <v>lokasi</v>
      </c>
      <c r="H168" s="65">
        <v>35</v>
      </c>
      <c r="I168" s="67">
        <v>2</v>
      </c>
      <c r="J168" s="11">
        <v>2</v>
      </c>
      <c r="K168" s="70" t="s">
        <v>1350</v>
      </c>
      <c r="L168" s="11">
        <v>0</v>
      </c>
      <c r="M168" s="11">
        <v>0</v>
      </c>
      <c r="N168" s="15">
        <v>0</v>
      </c>
      <c r="O168" s="11">
        <v>0</v>
      </c>
      <c r="P168" s="11">
        <v>0</v>
      </c>
      <c r="Q168" s="11">
        <v>2</v>
      </c>
      <c r="R168" s="11">
        <v>1</v>
      </c>
      <c r="S168" s="11" t="s">
        <v>1351</v>
      </c>
      <c r="T168" s="11">
        <v>1</v>
      </c>
      <c r="U168" s="11">
        <v>0</v>
      </c>
      <c r="V168" s="11">
        <v>0</v>
      </c>
      <c r="W168" s="14"/>
      <c r="X168" s="14"/>
      <c r="Y168" s="14"/>
    </row>
    <row r="169" spans="1:25" ht="13.2">
      <c r="A169" s="73">
        <v>2</v>
      </c>
      <c r="B169" s="74" t="s">
        <v>1352</v>
      </c>
      <c r="C169" s="18">
        <v>169</v>
      </c>
      <c r="D169" s="75">
        <v>1</v>
      </c>
      <c r="E169" s="76">
        <v>43702</v>
      </c>
      <c r="F169" s="20" t="str">
        <f>HYPERLINK("https://hot.detik.com/celeb/d-4680178/gelar-tasyakuran-syahnaz-mohon-doa-untuk-kehamilan-anak-kembar ","sumber")</f>
        <v>sumber</v>
      </c>
      <c r="G169" s="18" t="s">
        <v>1</v>
      </c>
      <c r="H169" s="75">
        <v>1351</v>
      </c>
      <c r="I169" s="77"/>
      <c r="J169" s="18">
        <v>2</v>
      </c>
      <c r="K169" s="78"/>
      <c r="L169" s="19"/>
      <c r="M169" s="19"/>
      <c r="N169" s="19"/>
      <c r="O169" s="19"/>
      <c r="P169" s="19"/>
      <c r="Q169" s="18"/>
      <c r="R169" s="79"/>
      <c r="S169" s="18"/>
      <c r="T169" s="19"/>
      <c r="U169" s="19"/>
      <c r="V169" s="19"/>
      <c r="W169" s="19"/>
      <c r="X169" s="19"/>
      <c r="Y169" s="19"/>
    </row>
    <row r="170" spans="1:25" ht="13.2">
      <c r="A170" s="73">
        <v>2</v>
      </c>
      <c r="B170" s="74" t="s">
        <v>1353</v>
      </c>
      <c r="C170" s="18">
        <v>170</v>
      </c>
      <c r="D170" s="75">
        <v>2</v>
      </c>
      <c r="E170" s="76">
        <v>43703</v>
      </c>
      <c r="F170" s="20" t="str">
        <f>HYPERLINK("https://www.cnnindonesia.com/nasional/20190826202100-32-424814/anak-maruf-amin-jadi-pengurus-pkb-2019-2024 ","sumber")</f>
        <v>sumber</v>
      </c>
      <c r="G170" s="18" t="s">
        <v>1</v>
      </c>
      <c r="H170" s="75">
        <v>839</v>
      </c>
      <c r="I170" s="77"/>
      <c r="J170" s="18">
        <v>2</v>
      </c>
      <c r="K170" s="78"/>
      <c r="L170" s="19"/>
      <c r="M170" s="19"/>
      <c r="N170" s="19"/>
      <c r="O170" s="19"/>
      <c r="P170" s="19"/>
      <c r="Q170" s="18"/>
      <c r="R170" s="79"/>
      <c r="S170" s="18"/>
      <c r="T170" s="19"/>
      <c r="U170" s="19"/>
      <c r="V170" s="19"/>
      <c r="W170" s="19"/>
      <c r="X170" s="19"/>
      <c r="Y170" s="19"/>
    </row>
    <row r="171" spans="1:25" ht="13.2">
      <c r="A171" s="73">
        <v>2</v>
      </c>
      <c r="B171" s="74" t="s">
        <v>1354</v>
      </c>
      <c r="C171" s="18">
        <v>171</v>
      </c>
      <c r="D171" s="75">
        <v>8</v>
      </c>
      <c r="E171" s="76">
        <v>43703</v>
      </c>
      <c r="F171" s="20" t="str">
        <f>HYPERLINK("https://www.suara.com/bola/2019/08/26/215500/duh-bek-bournemouth-ini-diklaim-lebih-baik-dari-harry-maguire ","sumber")</f>
        <v>sumber</v>
      </c>
      <c r="G171" s="18" t="s">
        <v>1</v>
      </c>
      <c r="H171" s="75">
        <v>348</v>
      </c>
      <c r="I171" s="77"/>
      <c r="J171" s="18">
        <v>2</v>
      </c>
      <c r="K171" s="78"/>
      <c r="L171" s="19"/>
      <c r="M171" s="19"/>
      <c r="N171" s="19"/>
      <c r="O171" s="19"/>
      <c r="P171" s="19"/>
      <c r="Q171" s="18"/>
      <c r="R171" s="79"/>
      <c r="S171" s="18"/>
      <c r="T171" s="19"/>
      <c r="U171" s="19"/>
      <c r="V171" s="19"/>
      <c r="W171" s="19"/>
      <c r="X171" s="19"/>
      <c r="Y171" s="19"/>
    </row>
    <row r="172" spans="1:25" ht="13.2">
      <c r="A172" s="73">
        <v>2</v>
      </c>
      <c r="B172" s="74" t="s">
        <v>639</v>
      </c>
      <c r="C172" s="18">
        <v>172</v>
      </c>
      <c r="D172" s="75">
        <v>5</v>
      </c>
      <c r="E172" s="76">
        <v>43703</v>
      </c>
      <c r="F172" s="20" t="str">
        <f>HYPERLINK("https://tirto.id/pengakuan-petani-jambi-yang-disiksa-polisi-karena-konflik-lahan-eg1K ","sumber")</f>
        <v>sumber</v>
      </c>
      <c r="G172" s="18" t="s">
        <v>1</v>
      </c>
      <c r="H172" s="75">
        <v>1476</v>
      </c>
      <c r="I172" s="77"/>
      <c r="J172" s="18">
        <v>2</v>
      </c>
      <c r="K172" s="78"/>
      <c r="L172" s="19"/>
      <c r="M172" s="19"/>
      <c r="N172" s="19"/>
      <c r="O172" s="19"/>
      <c r="P172" s="19"/>
      <c r="Q172" s="18"/>
      <c r="R172" s="79"/>
      <c r="S172" s="18"/>
      <c r="T172" s="19"/>
      <c r="U172" s="19"/>
      <c r="V172" s="19"/>
      <c r="W172" s="19"/>
      <c r="X172" s="19"/>
      <c r="Y172" s="19"/>
    </row>
    <row r="173" spans="1:25" ht="66">
      <c r="A173" s="69">
        <v>1</v>
      </c>
      <c r="B173" s="64" t="s">
        <v>1355</v>
      </c>
      <c r="C173" s="11">
        <v>173</v>
      </c>
      <c r="D173" s="65">
        <v>1</v>
      </c>
      <c r="E173" s="66">
        <v>43705</v>
      </c>
      <c r="F173" s="13" t="str">
        <f>HYPERLINK("https://news.detik.com/berita/d-4684591/bpjs-tk-sebut-57-kematian-pekerja-terjadi-akibat-kecelakaan-lalin ","sumber")</f>
        <v>sumber</v>
      </c>
      <c r="G173" s="13" t="str">
        <f t="shared" ref="G173:G174" si="22">HYPERLINK("https://drive.google.com/open?id=15K5sriRJOw0JTPqD9yRZzl0fwZcfdV8X","lokasi")</f>
        <v>lokasi</v>
      </c>
      <c r="H173" s="65">
        <v>319</v>
      </c>
      <c r="I173" s="67">
        <v>4</v>
      </c>
      <c r="J173" s="11">
        <v>2</v>
      </c>
      <c r="K173" s="70" t="s">
        <v>1356</v>
      </c>
      <c r="L173" s="11">
        <v>0</v>
      </c>
      <c r="M173" s="11">
        <v>0</v>
      </c>
      <c r="N173" s="15">
        <v>0</v>
      </c>
      <c r="O173" s="11">
        <v>0</v>
      </c>
      <c r="P173" s="11">
        <v>0</v>
      </c>
      <c r="Q173" s="11" t="s">
        <v>21</v>
      </c>
      <c r="R173" s="11" t="s">
        <v>21</v>
      </c>
      <c r="S173" s="11" t="s">
        <v>1357</v>
      </c>
      <c r="T173" s="11">
        <v>1</v>
      </c>
      <c r="U173" s="11">
        <v>0</v>
      </c>
      <c r="V173" s="11">
        <v>1</v>
      </c>
      <c r="W173" s="14"/>
      <c r="X173" s="14"/>
      <c r="Y173" s="14"/>
    </row>
    <row r="174" spans="1:25" ht="26.4">
      <c r="A174" s="80">
        <v>1</v>
      </c>
      <c r="B174" s="93" t="s">
        <v>1358</v>
      </c>
      <c r="C174" s="82">
        <v>174</v>
      </c>
      <c r="D174" s="83">
        <v>4</v>
      </c>
      <c r="E174" s="84">
        <v>43709</v>
      </c>
      <c r="F174" s="85" t="str">
        <f>HYPERLINK("https://www.liputan6.com/news/read/4052161/terganggu-dengkuran-seorang-anak-di-bekasi-bunuh-ayah ","sumber")</f>
        <v>sumber</v>
      </c>
      <c r="G174" s="85" t="str">
        <f t="shared" si="22"/>
        <v>lokasi</v>
      </c>
      <c r="H174" s="83">
        <v>241</v>
      </c>
      <c r="I174" s="86">
        <v>1</v>
      </c>
      <c r="J174" s="82">
        <v>2</v>
      </c>
      <c r="K174" s="87" t="s">
        <v>1359</v>
      </c>
      <c r="L174" s="82">
        <v>0</v>
      </c>
      <c r="M174" s="28">
        <v>0</v>
      </c>
      <c r="N174" s="88">
        <v>0</v>
      </c>
      <c r="O174" s="82">
        <v>0</v>
      </c>
      <c r="P174" s="82">
        <v>0</v>
      </c>
      <c r="Q174" s="82">
        <v>0</v>
      </c>
      <c r="R174" s="89">
        <v>0</v>
      </c>
      <c r="S174" s="82"/>
      <c r="T174" s="82">
        <v>0</v>
      </c>
      <c r="U174" s="82">
        <v>-1</v>
      </c>
      <c r="V174" s="82">
        <v>0</v>
      </c>
      <c r="W174" s="90"/>
      <c r="X174" s="90"/>
      <c r="Y174" s="90"/>
    </row>
    <row r="175" spans="1:25" ht="13.2">
      <c r="A175" s="73">
        <v>2</v>
      </c>
      <c r="B175" s="74" t="s">
        <v>1360</v>
      </c>
      <c r="C175" s="18">
        <v>175</v>
      </c>
      <c r="D175" s="75">
        <v>4</v>
      </c>
      <c r="E175" s="76">
        <v>43710</v>
      </c>
      <c r="F175" s="20" t="str">
        <f>HYPERLINK("https://www.liputan6.com/news/read/4052311/menanti-10-nama-capim-kpk-pilihan-pansel ","sumber")</f>
        <v>sumber</v>
      </c>
      <c r="G175" s="18" t="s">
        <v>1</v>
      </c>
      <c r="H175" s="75">
        <v>970</v>
      </c>
      <c r="I175" s="77"/>
      <c r="J175" s="18">
        <v>2</v>
      </c>
      <c r="K175" s="78"/>
      <c r="L175" s="19"/>
      <c r="M175" s="19"/>
      <c r="N175" s="19"/>
      <c r="O175" s="19"/>
      <c r="P175" s="19"/>
      <c r="Q175" s="18"/>
      <c r="R175" s="79"/>
      <c r="S175" s="18"/>
      <c r="T175" s="19"/>
      <c r="U175" s="19"/>
      <c r="V175" s="19"/>
      <c r="W175" s="19"/>
      <c r="X175" s="19"/>
      <c r="Y175" s="19"/>
    </row>
    <row r="176" spans="1:25" ht="52.8">
      <c r="A176" s="69">
        <v>1</v>
      </c>
      <c r="B176" s="64" t="s">
        <v>1361</v>
      </c>
      <c r="C176" s="11">
        <v>176</v>
      </c>
      <c r="D176" s="65">
        <v>10</v>
      </c>
      <c r="E176" s="66">
        <v>43710</v>
      </c>
      <c r="F176" s="13" t="str">
        <f>HYPERLINK("https://difabel.tempo.co/read/1242783/pahami-beda-tantrum-anak-berkebutuhan-khusus-anak-non-difabel ","sumber")</f>
        <v>sumber</v>
      </c>
      <c r="G176" s="13" t="str">
        <f t="shared" ref="G176:G177" si="23">HYPERLINK("https://drive.google.com/open?id=15K5sriRJOw0JTPqD9yRZzl0fwZcfdV8X","lokasi")</f>
        <v>lokasi</v>
      </c>
      <c r="H176" s="65">
        <v>239</v>
      </c>
      <c r="I176" s="67">
        <v>2</v>
      </c>
      <c r="J176" s="11">
        <v>2</v>
      </c>
      <c r="K176" s="70" t="s">
        <v>1362</v>
      </c>
      <c r="L176" s="11">
        <v>0</v>
      </c>
      <c r="M176" s="11">
        <v>0</v>
      </c>
      <c r="N176" s="15">
        <v>0</v>
      </c>
      <c r="O176" s="11">
        <v>0</v>
      </c>
      <c r="P176" s="11">
        <v>0</v>
      </c>
      <c r="Q176" s="11">
        <v>0</v>
      </c>
      <c r="R176" s="11">
        <v>1</v>
      </c>
      <c r="S176" s="11" t="s">
        <v>1363</v>
      </c>
      <c r="T176" s="11">
        <v>1</v>
      </c>
      <c r="U176" s="11">
        <v>0</v>
      </c>
      <c r="V176" s="11">
        <v>1</v>
      </c>
      <c r="W176" s="14"/>
      <c r="X176" s="14"/>
      <c r="Y176" s="14"/>
    </row>
    <row r="177" spans="1:25" ht="79.2">
      <c r="A177" s="80">
        <v>1</v>
      </c>
      <c r="B177" s="93" t="s">
        <v>1364</v>
      </c>
      <c r="C177" s="82">
        <v>177</v>
      </c>
      <c r="D177" s="83">
        <v>6</v>
      </c>
      <c r="E177" s="94" t="s">
        <v>1365</v>
      </c>
      <c r="F177" s="85" t="str">
        <f>HYPERLINK("https://edukasi.kompas.com/read/2019/08/07/16435791/penyandang-disabilitas-punya-kesempatan-raih-pendidikan-tinggi ","sumber")</f>
        <v>sumber</v>
      </c>
      <c r="G177" s="85" t="str">
        <f t="shared" si="23"/>
        <v>lokasi</v>
      </c>
      <c r="H177" s="83">
        <v>294</v>
      </c>
      <c r="I177" s="86">
        <v>2</v>
      </c>
      <c r="J177" s="82">
        <v>2</v>
      </c>
      <c r="K177" s="87" t="s">
        <v>1366</v>
      </c>
      <c r="L177" s="82">
        <v>0</v>
      </c>
      <c r="M177" s="82">
        <v>0</v>
      </c>
      <c r="N177" s="88">
        <v>0</v>
      </c>
      <c r="O177" s="82">
        <v>0</v>
      </c>
      <c r="P177" s="82">
        <v>0</v>
      </c>
      <c r="Q177" s="82" t="s">
        <v>182</v>
      </c>
      <c r="R177" s="89" t="s">
        <v>160</v>
      </c>
      <c r="S177" s="82"/>
      <c r="T177" s="82">
        <v>0</v>
      </c>
      <c r="U177" s="82">
        <v>0</v>
      </c>
      <c r="V177" s="82">
        <v>1</v>
      </c>
      <c r="W177" s="90"/>
      <c r="X177" s="90"/>
      <c r="Y177" s="90"/>
    </row>
    <row r="178" spans="1:25" ht="13.2">
      <c r="A178" s="73">
        <v>2</v>
      </c>
      <c r="B178" s="74" t="s">
        <v>1367</v>
      </c>
      <c r="C178" s="18">
        <v>178</v>
      </c>
      <c r="D178" s="75">
        <v>2</v>
      </c>
      <c r="E178" s="76">
        <v>43712</v>
      </c>
      <c r="F178" s="20" t="str">
        <f>HYPERLINK("https://www.cnnindonesia.com/nasional/20190904073441-20-427331/benny-wenda-aktivis-papua-merdeka-di-seberang-benua ","sumber")</f>
        <v>sumber</v>
      </c>
      <c r="G178" s="18" t="s">
        <v>1</v>
      </c>
      <c r="H178" s="75">
        <v>1119</v>
      </c>
      <c r="I178" s="77"/>
      <c r="J178" s="18">
        <v>2</v>
      </c>
      <c r="K178" s="78"/>
      <c r="L178" s="19"/>
      <c r="M178" s="19"/>
      <c r="N178" s="19"/>
      <c r="O178" s="19"/>
      <c r="P178" s="19"/>
      <c r="Q178" s="18"/>
      <c r="R178" s="79"/>
      <c r="S178" s="18"/>
      <c r="T178" s="19"/>
      <c r="U178" s="19"/>
      <c r="V178" s="19"/>
      <c r="W178" s="19"/>
      <c r="X178" s="19"/>
      <c r="Y178" s="19"/>
    </row>
    <row r="179" spans="1:25" ht="13.2">
      <c r="A179" s="73">
        <v>2</v>
      </c>
      <c r="B179" s="74" t="s">
        <v>1368</v>
      </c>
      <c r="C179" s="18">
        <v>179</v>
      </c>
      <c r="D179" s="75">
        <v>4</v>
      </c>
      <c r="E179" s="76">
        <v>43734</v>
      </c>
      <c r="F179" s="20" t="str">
        <f>HYPERLINK("https://www.liputan6.com/lifestyle/read/4069493/6-tips-merawat-tas-kulit-agar-tahan-lama ","sumber")</f>
        <v>sumber</v>
      </c>
      <c r="G179" s="18" t="s">
        <v>1</v>
      </c>
      <c r="H179" s="75">
        <v>500</v>
      </c>
      <c r="I179" s="77"/>
      <c r="J179" s="18">
        <v>2</v>
      </c>
      <c r="K179" s="78"/>
      <c r="L179" s="19"/>
      <c r="M179" s="19"/>
      <c r="N179" s="19"/>
      <c r="O179" s="19"/>
      <c r="P179" s="19"/>
      <c r="Q179" s="18"/>
      <c r="R179" s="79"/>
      <c r="S179" s="18"/>
      <c r="T179" s="19"/>
      <c r="U179" s="19"/>
      <c r="V179" s="19"/>
      <c r="W179" s="19"/>
      <c r="X179" s="19"/>
      <c r="Y179" s="19"/>
    </row>
    <row r="180" spans="1:25" ht="13.2">
      <c r="A180" s="73">
        <v>2</v>
      </c>
      <c r="B180" s="74" t="s">
        <v>1369</v>
      </c>
      <c r="C180" s="18">
        <v>180</v>
      </c>
      <c r="D180" s="75">
        <v>3</v>
      </c>
      <c r="E180" s="76">
        <v>43734</v>
      </c>
      <c r="F180" s="20" t="str">
        <f>HYPERLINK("https://celebrity.okezone.com/read/2019/09/26/33/2109600/awkarin-ajak-netizen-bersihkan-sampah-sisa-demo-tolak-ruu-kuhp ","sumber")</f>
        <v>sumber</v>
      </c>
      <c r="G180" s="18" t="s">
        <v>1</v>
      </c>
      <c r="H180" s="75">
        <v>357</v>
      </c>
      <c r="I180" s="77"/>
      <c r="J180" s="18">
        <v>2</v>
      </c>
      <c r="K180" s="78"/>
      <c r="L180" s="19"/>
      <c r="M180" s="19"/>
      <c r="N180" s="19"/>
      <c r="O180" s="19"/>
      <c r="P180" s="19"/>
      <c r="Q180" s="18"/>
      <c r="R180" s="79"/>
      <c r="S180" s="18"/>
      <c r="T180" s="19"/>
      <c r="U180" s="19"/>
      <c r="V180" s="19"/>
      <c r="W180" s="19"/>
      <c r="X180" s="19"/>
      <c r="Y180" s="19"/>
    </row>
    <row r="181" spans="1:25" ht="13.2">
      <c r="A181" s="73">
        <v>2</v>
      </c>
      <c r="B181" s="74" t="s">
        <v>1370</v>
      </c>
      <c r="C181" s="18">
        <v>181</v>
      </c>
      <c r="D181" s="75">
        <v>9</v>
      </c>
      <c r="E181" s="76">
        <v>43734</v>
      </c>
      <c r="F181" s="20" t="str">
        <f>HYPERLINK("https://nasional.republika.co.id/berita/pyfuqq430/selain-ispa-asap-karhutla-juga-sebabkan-iritasi-mata ","sumber")</f>
        <v>sumber</v>
      </c>
      <c r="G181" s="18" t="s">
        <v>1</v>
      </c>
      <c r="H181" s="75">
        <v>280</v>
      </c>
      <c r="I181" s="77"/>
      <c r="J181" s="18">
        <v>2</v>
      </c>
      <c r="K181" s="78"/>
      <c r="L181" s="19"/>
      <c r="M181" s="19"/>
      <c r="N181" s="19"/>
      <c r="O181" s="19"/>
      <c r="P181" s="19"/>
      <c r="Q181" s="18"/>
      <c r="R181" s="79"/>
      <c r="S181" s="18"/>
      <c r="T181" s="19"/>
      <c r="U181" s="19"/>
      <c r="V181" s="19"/>
      <c r="W181" s="19"/>
      <c r="X181" s="19"/>
      <c r="Y181" s="19"/>
    </row>
    <row r="182" spans="1:25" ht="13.2">
      <c r="A182" s="73">
        <v>2</v>
      </c>
      <c r="B182" s="74" t="s">
        <v>1371</v>
      </c>
      <c r="C182" s="18">
        <v>182</v>
      </c>
      <c r="D182" s="75">
        <v>8</v>
      </c>
      <c r="E182" s="76">
        <v>43734</v>
      </c>
      <c r="F182" s="20" t="str">
        <f>HYPERLINK("https://www.suara.com/tekno/2019/09/26/084853/xiaomi-mi-mix-alpha-dikenalkan-punya-desain-gila ","sumber")</f>
        <v>sumber</v>
      </c>
      <c r="G182" s="18" t="s">
        <v>1</v>
      </c>
      <c r="H182" s="75">
        <v>182</v>
      </c>
      <c r="I182" s="77"/>
      <c r="J182" s="18">
        <v>2</v>
      </c>
      <c r="K182" s="78"/>
      <c r="L182" s="19"/>
      <c r="M182" s="19"/>
      <c r="N182" s="19"/>
      <c r="O182" s="19"/>
      <c r="P182" s="19"/>
      <c r="Q182" s="18"/>
      <c r="R182" s="79"/>
      <c r="S182" s="18"/>
      <c r="T182" s="19"/>
      <c r="U182" s="19"/>
      <c r="V182" s="19"/>
      <c r="W182" s="19"/>
      <c r="X182" s="19"/>
      <c r="Y182" s="19"/>
    </row>
    <row r="183" spans="1:25" ht="13.2">
      <c r="A183" s="73">
        <v>2</v>
      </c>
      <c r="B183" s="74" t="s">
        <v>1372</v>
      </c>
      <c r="C183" s="18">
        <v>183</v>
      </c>
      <c r="D183" s="75">
        <v>8</v>
      </c>
      <c r="E183" s="76">
        <v>43735</v>
      </c>
      <c r="F183" s="20" t="str">
        <f>HYPERLINK("https://www.suara.com/health/2019/09/27/172000/niat-cantik-dengan-filler-hidung-gadis-ini-malah-buta-sebelah ","sumber")</f>
        <v>sumber</v>
      </c>
      <c r="G183" s="18" t="s">
        <v>1</v>
      </c>
      <c r="H183" s="75">
        <v>212</v>
      </c>
      <c r="I183" s="77"/>
      <c r="J183" s="18">
        <v>2</v>
      </c>
      <c r="K183" s="78"/>
      <c r="L183" s="19"/>
      <c r="M183" s="19"/>
      <c r="N183" s="19"/>
      <c r="O183" s="19"/>
      <c r="P183" s="19"/>
      <c r="Q183" s="18"/>
      <c r="R183" s="79"/>
      <c r="S183" s="18"/>
      <c r="T183" s="19"/>
      <c r="U183" s="19"/>
      <c r="V183" s="19"/>
      <c r="W183" s="19"/>
      <c r="X183" s="19"/>
      <c r="Y183" s="19"/>
    </row>
    <row r="184" spans="1:25" ht="13.2">
      <c r="A184" s="80">
        <v>1</v>
      </c>
      <c r="B184" s="93" t="s">
        <v>1373</v>
      </c>
      <c r="C184" s="82">
        <v>184</v>
      </c>
      <c r="D184" s="83">
        <v>8</v>
      </c>
      <c r="E184" s="84">
        <v>43736</v>
      </c>
      <c r="F184" s="85" t="str">
        <f>HYPERLINK("https://www.suara.com/health/2019/09/28/202123/kekurangan-oksigen-pada-bayi-baru-lahir-berisiko-alami-cacat-jangka-panjang ","sumber")</f>
        <v>sumber</v>
      </c>
      <c r="G184" s="85" t="str">
        <f t="shared" ref="G184:G187" si="24">HYPERLINK("https://drive.google.com/open?id=15K5sriRJOw0JTPqD9yRZzl0fwZcfdV8X","lokasi")</f>
        <v>lokasi</v>
      </c>
      <c r="H184" s="83">
        <v>207</v>
      </c>
      <c r="I184" s="86">
        <v>2</v>
      </c>
      <c r="J184" s="82">
        <v>2</v>
      </c>
      <c r="K184" s="87"/>
      <c r="L184" s="82">
        <v>0</v>
      </c>
      <c r="M184" s="82">
        <v>0</v>
      </c>
      <c r="N184" s="88">
        <v>0</v>
      </c>
      <c r="O184" s="82">
        <v>0</v>
      </c>
      <c r="P184" s="82">
        <v>0</v>
      </c>
      <c r="Q184" s="82"/>
      <c r="R184" s="89"/>
      <c r="S184" s="82" t="s">
        <v>1357</v>
      </c>
      <c r="T184" s="82">
        <v>1</v>
      </c>
      <c r="U184" s="82">
        <v>0</v>
      </c>
      <c r="V184" s="82">
        <v>1</v>
      </c>
      <c r="W184" s="90"/>
      <c r="X184" s="90"/>
      <c r="Y184" s="90"/>
    </row>
    <row r="185" spans="1:25" ht="39.6">
      <c r="A185" s="80">
        <v>1</v>
      </c>
      <c r="B185" s="93" t="s">
        <v>1374</v>
      </c>
      <c r="C185" s="82">
        <v>185</v>
      </c>
      <c r="D185" s="83">
        <v>3</v>
      </c>
      <c r="E185" s="84">
        <v>43709</v>
      </c>
      <c r="F185" s="85" t="str">
        <f>HYPERLINK("https://lifestyle.okezone.com/read/2019/09/01/194/2099263/daisy-may-model-disabilitas-cilik-pertama-yang-tampil-di-new-york-fashion-week ","sumber")</f>
        <v>sumber</v>
      </c>
      <c r="G185" s="85" t="str">
        <f t="shared" si="24"/>
        <v>lokasi</v>
      </c>
      <c r="H185" s="83">
        <v>388</v>
      </c>
      <c r="I185" s="86">
        <v>2</v>
      </c>
      <c r="J185" s="82">
        <v>2</v>
      </c>
      <c r="K185" s="87" t="s">
        <v>1375</v>
      </c>
      <c r="L185" s="82">
        <v>0</v>
      </c>
      <c r="M185" s="82">
        <v>0</v>
      </c>
      <c r="N185" s="88">
        <v>0</v>
      </c>
      <c r="O185" s="82">
        <v>0</v>
      </c>
      <c r="P185" s="82">
        <v>0</v>
      </c>
      <c r="Q185" s="82" t="s">
        <v>87</v>
      </c>
      <c r="R185" s="89" t="s">
        <v>160</v>
      </c>
      <c r="S185" s="82"/>
      <c r="T185" s="82">
        <v>0</v>
      </c>
      <c r="U185" s="82">
        <v>0</v>
      </c>
      <c r="V185" s="82">
        <v>1</v>
      </c>
      <c r="W185" s="90"/>
      <c r="X185" s="90"/>
      <c r="Y185" s="90"/>
    </row>
    <row r="186" spans="1:25" ht="26.4">
      <c r="A186" s="69">
        <v>1</v>
      </c>
      <c r="B186" s="64" t="s">
        <v>1376</v>
      </c>
      <c r="C186" s="11">
        <v>186</v>
      </c>
      <c r="D186" s="65">
        <v>4</v>
      </c>
      <c r="E186" s="66">
        <v>43472</v>
      </c>
      <c r="F186" s="13" t="str">
        <f>HYPERLINK("https://www.liputan6.com/global/read/3864241/pengadilan-federal-as-dukung-pembatasan-peran-transgender-di-militer ","sumber")</f>
        <v>sumber</v>
      </c>
      <c r="G186" s="13" t="str">
        <f t="shared" si="24"/>
        <v>lokasi</v>
      </c>
      <c r="H186" s="65">
        <v>279</v>
      </c>
      <c r="I186" s="67">
        <v>4</v>
      </c>
      <c r="J186" s="11">
        <v>3</v>
      </c>
      <c r="K186" s="70" t="s">
        <v>1377</v>
      </c>
      <c r="L186" s="11">
        <v>0</v>
      </c>
      <c r="M186" s="11">
        <v>0</v>
      </c>
      <c r="N186" s="15">
        <v>0</v>
      </c>
      <c r="O186" s="11">
        <v>0</v>
      </c>
      <c r="P186" s="11">
        <v>0</v>
      </c>
      <c r="Q186" s="11">
        <v>0</v>
      </c>
      <c r="R186" s="11">
        <v>-1</v>
      </c>
      <c r="S186" s="11" t="s">
        <v>1378</v>
      </c>
      <c r="T186" s="11">
        <v>1</v>
      </c>
      <c r="U186" s="11">
        <v>0</v>
      </c>
      <c r="V186" s="11">
        <v>1</v>
      </c>
      <c r="W186" s="14"/>
      <c r="X186" s="14"/>
      <c r="Y186" s="14"/>
    </row>
    <row r="187" spans="1:25" ht="13.2">
      <c r="A187" s="69">
        <v>1</v>
      </c>
      <c r="B187" s="64" t="s">
        <v>1379</v>
      </c>
      <c r="C187" s="11">
        <v>187</v>
      </c>
      <c r="D187" s="65">
        <v>2</v>
      </c>
      <c r="E187" s="66">
        <v>43475</v>
      </c>
      <c r="F187" s="13" t="str">
        <f>HYPERLINK("https://www.cnnindonesia.com/hiburan/20190110130206-220-359862/oscar-2019-dikabarkan-tak-pakai-pemandu-acara ","sumber")</f>
        <v>sumber</v>
      </c>
      <c r="G187" s="13" t="str">
        <f t="shared" si="24"/>
        <v>lokasi</v>
      </c>
      <c r="H187" s="65">
        <v>211</v>
      </c>
      <c r="I187" s="67">
        <v>4</v>
      </c>
      <c r="J187" s="11">
        <v>3</v>
      </c>
      <c r="K187" s="11"/>
      <c r="L187" s="11">
        <v>0</v>
      </c>
      <c r="M187" s="11">
        <v>0</v>
      </c>
      <c r="N187" s="15">
        <v>0</v>
      </c>
      <c r="O187" s="11">
        <v>0</v>
      </c>
      <c r="P187" s="11">
        <v>0</v>
      </c>
      <c r="Q187" s="11"/>
      <c r="R187" s="11"/>
      <c r="S187" s="11"/>
      <c r="T187" s="11">
        <v>0</v>
      </c>
      <c r="U187" s="11">
        <v>0</v>
      </c>
      <c r="V187" s="11">
        <v>1</v>
      </c>
      <c r="W187" s="14"/>
      <c r="X187" s="14"/>
      <c r="Y187" s="14"/>
    </row>
    <row r="188" spans="1:25" ht="13.2">
      <c r="A188" s="73">
        <v>2</v>
      </c>
      <c r="B188" s="74" t="s">
        <v>1380</v>
      </c>
      <c r="C188" s="18">
        <v>188</v>
      </c>
      <c r="D188" s="75">
        <v>3</v>
      </c>
      <c r="E188" s="76">
        <v>43476</v>
      </c>
      <c r="F188" s="20" t="str">
        <f>HYPERLINK("https://celebrity.okezone.com/read/2019/01/11/33/2003293/dinar-candy-bantah-sindir-vanessa-angel-lewat-unggahan-menjemput-rezeki ","sumber")</f>
        <v>sumber</v>
      </c>
      <c r="G188" s="18" t="s">
        <v>1</v>
      </c>
      <c r="H188" s="75">
        <v>348</v>
      </c>
      <c r="I188" s="77"/>
      <c r="J188" s="18">
        <v>3</v>
      </c>
      <c r="K188" s="78"/>
      <c r="L188" s="19"/>
      <c r="M188" s="19"/>
      <c r="N188" s="19"/>
      <c r="O188" s="19"/>
      <c r="P188" s="19"/>
      <c r="Q188" s="18"/>
      <c r="R188" s="79"/>
      <c r="S188" s="18"/>
      <c r="T188" s="19"/>
      <c r="U188" s="19"/>
      <c r="V188" s="19"/>
      <c r="W188" s="19"/>
      <c r="X188" s="19"/>
      <c r="Y188" s="19"/>
    </row>
    <row r="189" spans="1:25" ht="26.4">
      <c r="A189" s="69">
        <v>1</v>
      </c>
      <c r="B189" s="64" t="s">
        <v>1381</v>
      </c>
      <c r="C189" s="11">
        <v>189</v>
      </c>
      <c r="D189" s="65">
        <v>6</v>
      </c>
      <c r="E189" s="66">
        <v>43479</v>
      </c>
      <c r="F189" s="13" t="str">
        <f>HYPERLINK("https://internasional.kompas.com/read/2019/01/14/22070201/wali-kota-polandia-yang-ditikam-di-acara-amal-tewas-usai-dirawat ","sumber")</f>
        <v>sumber</v>
      </c>
      <c r="G189" s="13" t="str">
        <f t="shared" ref="G189:G202" si="25">HYPERLINK("https://drive.google.com/open?id=15K5sriRJOw0JTPqD9yRZzl0fwZcfdV8X","lokasi")</f>
        <v>lokasi</v>
      </c>
      <c r="H189" s="65">
        <v>255</v>
      </c>
      <c r="I189" s="67">
        <v>1</v>
      </c>
      <c r="J189" s="11">
        <v>3</v>
      </c>
      <c r="K189" s="70" t="s">
        <v>1382</v>
      </c>
      <c r="L189" s="11">
        <v>0</v>
      </c>
      <c r="M189" s="11">
        <v>0</v>
      </c>
      <c r="N189" s="15">
        <v>0</v>
      </c>
      <c r="O189" s="11">
        <v>0</v>
      </c>
      <c r="P189" s="11">
        <v>0</v>
      </c>
      <c r="Q189" s="11">
        <v>0</v>
      </c>
      <c r="R189" s="11">
        <v>0</v>
      </c>
      <c r="S189" s="11"/>
      <c r="T189" s="11">
        <v>0</v>
      </c>
      <c r="U189" s="11">
        <v>0</v>
      </c>
      <c r="V189" s="11">
        <v>1</v>
      </c>
      <c r="W189" s="14"/>
      <c r="X189" s="14"/>
      <c r="Y189" s="14"/>
    </row>
    <row r="190" spans="1:25" ht="52.8">
      <c r="A190" s="69">
        <v>1</v>
      </c>
      <c r="B190" s="64" t="s">
        <v>1383</v>
      </c>
      <c r="C190" s="11">
        <v>190</v>
      </c>
      <c r="D190" s="65">
        <v>1</v>
      </c>
      <c r="E190" s="66">
        <v>43483</v>
      </c>
      <c r="F190" s="13" t="str">
        <f>HYPERLINK("https://news.detik.com/berita/d-4390579/tokoh-adat-padang-minta-keluarga-aktif-cegah-perilaku-lgbt ","sumber")</f>
        <v>sumber</v>
      </c>
      <c r="G190" s="13" t="str">
        <f t="shared" si="25"/>
        <v>lokasi</v>
      </c>
      <c r="H190" s="65">
        <v>433</v>
      </c>
      <c r="I190" s="67">
        <v>4</v>
      </c>
      <c r="J190" s="11">
        <v>3</v>
      </c>
      <c r="K190" s="70" t="s">
        <v>1384</v>
      </c>
      <c r="L190" s="11">
        <v>0</v>
      </c>
      <c r="M190" s="11">
        <v>0</v>
      </c>
      <c r="N190" s="15">
        <v>0</v>
      </c>
      <c r="O190" s="11">
        <v>0</v>
      </c>
      <c r="P190" s="11">
        <v>0</v>
      </c>
      <c r="Q190" s="11">
        <v>0</v>
      </c>
      <c r="R190" s="11">
        <v>-1</v>
      </c>
      <c r="S190" s="11" t="s">
        <v>1385</v>
      </c>
      <c r="T190" s="11">
        <v>4</v>
      </c>
      <c r="U190" s="11">
        <v>-1</v>
      </c>
      <c r="V190" s="11">
        <v>1</v>
      </c>
      <c r="W190" s="14"/>
      <c r="X190" s="14"/>
      <c r="Y190" s="14"/>
    </row>
    <row r="191" spans="1:25" ht="26.4">
      <c r="A191" s="69">
        <v>1</v>
      </c>
      <c r="B191" s="64" t="s">
        <v>1386</v>
      </c>
      <c r="C191" s="11">
        <v>191</v>
      </c>
      <c r="D191" s="65">
        <v>7</v>
      </c>
      <c r="E191" s="66">
        <v>43483</v>
      </c>
      <c r="F191" s="13" t="str">
        <f>HYPERLINK("http://www.tribunnews.com/superskor/2019/01/18/ruben-loftus-cheek-hormat-kepada-pesepakbola-yang-mengaku-gay ","sumber")</f>
        <v>sumber</v>
      </c>
      <c r="G191" s="13" t="str">
        <f t="shared" si="25"/>
        <v>lokasi</v>
      </c>
      <c r="H191" s="65">
        <v>127</v>
      </c>
      <c r="I191" s="67">
        <v>2</v>
      </c>
      <c r="J191" s="11">
        <v>3</v>
      </c>
      <c r="K191" s="70" t="s">
        <v>1387</v>
      </c>
      <c r="L191" s="11">
        <v>0</v>
      </c>
      <c r="M191" s="11">
        <v>0</v>
      </c>
      <c r="N191" s="15">
        <v>0</v>
      </c>
      <c r="O191" s="11">
        <v>0</v>
      </c>
      <c r="P191" s="11">
        <v>0</v>
      </c>
      <c r="Q191" s="11">
        <v>0</v>
      </c>
      <c r="R191" s="11">
        <v>1</v>
      </c>
      <c r="S191" s="11"/>
      <c r="T191" s="11">
        <v>0</v>
      </c>
      <c r="U191" s="11">
        <v>0</v>
      </c>
      <c r="V191" s="11">
        <v>0</v>
      </c>
      <c r="W191" s="14"/>
      <c r="X191" s="14"/>
      <c r="Y191" s="14"/>
    </row>
    <row r="192" spans="1:25" ht="13.2">
      <c r="A192" s="69">
        <v>1</v>
      </c>
      <c r="B192" s="64" t="s">
        <v>1388</v>
      </c>
      <c r="C192" s="11">
        <v>192</v>
      </c>
      <c r="D192" s="65">
        <v>2</v>
      </c>
      <c r="E192" s="66">
        <v>43487</v>
      </c>
      <c r="F192" s="13" t="str">
        <f>HYPERLINK("https://www.cnnindonesia.com/internasional/20190122184804-127-362917/pembawa-acara-tv-mesir-dipenjara-karena-wawancara-homoseksual ","sumber")</f>
        <v>sumber</v>
      </c>
      <c r="G192" s="13" t="str">
        <f t="shared" si="25"/>
        <v>lokasi</v>
      </c>
      <c r="H192" s="65">
        <v>302</v>
      </c>
      <c r="I192" s="67">
        <v>1</v>
      </c>
      <c r="J192" s="11">
        <v>3</v>
      </c>
      <c r="K192" s="11"/>
      <c r="L192" s="11">
        <v>0</v>
      </c>
      <c r="M192" s="11">
        <v>0</v>
      </c>
      <c r="N192" s="15">
        <v>0</v>
      </c>
      <c r="O192" s="11">
        <v>0</v>
      </c>
      <c r="P192" s="11">
        <v>0</v>
      </c>
      <c r="Q192" s="11"/>
      <c r="R192" s="11"/>
      <c r="S192" s="11"/>
      <c r="T192" s="11">
        <v>0</v>
      </c>
      <c r="U192" s="11">
        <v>0</v>
      </c>
      <c r="V192" s="11">
        <v>1</v>
      </c>
      <c r="W192" s="14"/>
      <c r="X192" s="14"/>
      <c r="Y192" s="14"/>
    </row>
    <row r="193" spans="1:25" ht="13.2">
      <c r="A193" s="69">
        <v>1</v>
      </c>
      <c r="B193" s="64" t="s">
        <v>965</v>
      </c>
      <c r="C193" s="11">
        <v>193</v>
      </c>
      <c r="D193" s="65">
        <v>6</v>
      </c>
      <c r="E193" s="66">
        <v>43487</v>
      </c>
      <c r="F193" s="13" t="str">
        <f>HYPERLINK("https://internasional.kompas.com/read/2019/01/22/13291621/wawancarai-pria-gay-penyiar-tv-di-mesir-dihukum-penjara ","sumber")</f>
        <v>sumber</v>
      </c>
      <c r="G193" s="13" t="str">
        <f t="shared" si="25"/>
        <v>lokasi</v>
      </c>
      <c r="H193" s="65">
        <v>357</v>
      </c>
      <c r="I193" s="67">
        <v>1</v>
      </c>
      <c r="J193" s="11">
        <v>3</v>
      </c>
      <c r="K193" s="11"/>
      <c r="L193" s="11">
        <v>0</v>
      </c>
      <c r="M193" s="11">
        <v>0</v>
      </c>
      <c r="N193" s="15">
        <v>0</v>
      </c>
      <c r="O193" s="11">
        <v>0</v>
      </c>
      <c r="P193" s="11">
        <v>0</v>
      </c>
      <c r="Q193" s="11"/>
      <c r="R193" s="11"/>
      <c r="S193" s="11"/>
      <c r="T193" s="11">
        <v>0</v>
      </c>
      <c r="U193" s="11">
        <v>0</v>
      </c>
      <c r="V193" s="11">
        <v>1</v>
      </c>
      <c r="W193" s="14"/>
      <c r="X193" s="14"/>
      <c r="Y193" s="14"/>
    </row>
    <row r="194" spans="1:25" ht="26.4">
      <c r="A194" s="80">
        <v>1</v>
      </c>
      <c r="B194" s="93" t="s">
        <v>1389</v>
      </c>
      <c r="C194" s="82">
        <v>194</v>
      </c>
      <c r="D194" s="83">
        <v>3</v>
      </c>
      <c r="E194" s="84">
        <v>43475</v>
      </c>
      <c r="F194" s="85" t="str">
        <f>HYPERLINK("https://lifestyle.okezone.com/read/2019/01/10/196/2002429/begini-kalau-ninja-nyamar-jadi-biduan-penontonnya-pada-kabur ","sumber")</f>
        <v>sumber</v>
      </c>
      <c r="G194" s="85" t="str">
        <f t="shared" si="25"/>
        <v>lokasi</v>
      </c>
      <c r="H194" s="83">
        <v>394</v>
      </c>
      <c r="I194" s="86">
        <v>2</v>
      </c>
      <c r="J194" s="82">
        <v>3</v>
      </c>
      <c r="K194" s="87" t="s">
        <v>1390</v>
      </c>
      <c r="L194" s="82">
        <v>0</v>
      </c>
      <c r="M194" s="82">
        <v>0</v>
      </c>
      <c r="N194" s="88">
        <v>0</v>
      </c>
      <c r="O194" s="82">
        <v>0</v>
      </c>
      <c r="P194" s="82">
        <v>-1</v>
      </c>
      <c r="Q194" s="82" t="s">
        <v>686</v>
      </c>
      <c r="R194" s="89" t="s">
        <v>21</v>
      </c>
      <c r="S194" s="82" t="s">
        <v>1391</v>
      </c>
      <c r="T194" s="82">
        <v>1</v>
      </c>
      <c r="U194" s="82">
        <v>0</v>
      </c>
      <c r="V194" s="82">
        <v>1</v>
      </c>
      <c r="W194" s="90"/>
      <c r="X194" s="90"/>
      <c r="Y194" s="90"/>
    </row>
    <row r="195" spans="1:25" ht="26.4">
      <c r="A195" s="69">
        <v>1</v>
      </c>
      <c r="B195" s="64" t="s">
        <v>1392</v>
      </c>
      <c r="C195" s="11">
        <v>195</v>
      </c>
      <c r="D195" s="65">
        <v>1</v>
      </c>
      <c r="E195" s="66">
        <v>43502</v>
      </c>
      <c r="F195" s="13" t="str">
        <f>HYPERLINK("https://news.detik.com/berita/d-4415844/selebgram-reva-alexa-ditangkap-terkait-narkoba ","sumber")</f>
        <v>sumber</v>
      </c>
      <c r="G195" s="13" t="str">
        <f t="shared" si="25"/>
        <v>lokasi</v>
      </c>
      <c r="H195" s="65">
        <v>166</v>
      </c>
      <c r="I195" s="67">
        <v>1</v>
      </c>
      <c r="J195" s="11">
        <v>3</v>
      </c>
      <c r="K195" s="70" t="s">
        <v>1393</v>
      </c>
      <c r="L195" s="11">
        <v>0</v>
      </c>
      <c r="M195" s="11">
        <v>0</v>
      </c>
      <c r="N195" s="15">
        <v>0</v>
      </c>
      <c r="O195" s="11">
        <v>0</v>
      </c>
      <c r="P195" s="11">
        <v>0</v>
      </c>
      <c r="Q195" s="11">
        <v>0</v>
      </c>
      <c r="R195" s="11">
        <v>0</v>
      </c>
      <c r="S195" s="11"/>
      <c r="T195" s="11">
        <v>0</v>
      </c>
      <c r="U195" s="11">
        <v>-1</v>
      </c>
      <c r="V195" s="11">
        <v>0</v>
      </c>
      <c r="W195" s="14"/>
      <c r="X195" s="14"/>
      <c r="Y195" s="14"/>
    </row>
    <row r="196" spans="1:25" ht="13.2">
      <c r="A196" s="69">
        <v>1</v>
      </c>
      <c r="B196" s="64" t="s">
        <v>1394</v>
      </c>
      <c r="C196" s="11">
        <v>196</v>
      </c>
      <c r="D196" s="65">
        <v>1</v>
      </c>
      <c r="E196" s="66">
        <v>43506</v>
      </c>
      <c r="F196" s="13" t="str">
        <f>HYPERLINK("https://news.detik.com/berita/d-4421534/akun-ig-komik-muslim-gay-ramai-dikutuk-netizen-ri ","sumber")</f>
        <v>sumber</v>
      </c>
      <c r="G196" s="13" t="str">
        <f t="shared" si="25"/>
        <v>lokasi</v>
      </c>
      <c r="H196" s="65">
        <v>166</v>
      </c>
      <c r="I196" s="67">
        <v>2</v>
      </c>
      <c r="J196" s="11">
        <v>3</v>
      </c>
      <c r="K196" s="11"/>
      <c r="L196" s="11">
        <v>0</v>
      </c>
      <c r="M196" s="11">
        <v>0</v>
      </c>
      <c r="N196" s="15">
        <v>0</v>
      </c>
      <c r="O196" s="11">
        <v>0</v>
      </c>
      <c r="P196" s="11">
        <v>0</v>
      </c>
      <c r="Q196" s="11"/>
      <c r="R196" s="11"/>
      <c r="S196" s="11"/>
      <c r="T196" s="11">
        <v>0</v>
      </c>
      <c r="U196" s="11">
        <v>-1</v>
      </c>
      <c r="V196" s="11">
        <v>1</v>
      </c>
      <c r="W196" s="14"/>
      <c r="X196" s="14"/>
      <c r="Y196" s="14"/>
    </row>
    <row r="197" spans="1:25" ht="26.4">
      <c r="A197" s="80">
        <v>1</v>
      </c>
      <c r="B197" s="93" t="s">
        <v>1395</v>
      </c>
      <c r="C197" s="82">
        <v>197</v>
      </c>
      <c r="D197" s="83">
        <v>3</v>
      </c>
      <c r="E197" s="84">
        <v>43506</v>
      </c>
      <c r="F197" s="85" t="str">
        <f>HYPERLINK("https://news.okezone.com/read/2019/02/10/337/2015946/heboh-akun-ig-komik-gay-bertema-muslim-banjir-sumpah-serapah-netizen ","sumber")</f>
        <v>sumber</v>
      </c>
      <c r="G197" s="85" t="str">
        <f t="shared" si="25"/>
        <v>lokasi</v>
      </c>
      <c r="H197" s="83">
        <v>229</v>
      </c>
      <c r="I197" s="86">
        <v>1</v>
      </c>
      <c r="J197" s="82">
        <v>3</v>
      </c>
      <c r="K197" s="87" t="s">
        <v>1396</v>
      </c>
      <c r="L197" s="82">
        <v>0</v>
      </c>
      <c r="M197" s="82">
        <v>-1</v>
      </c>
      <c r="N197" s="88">
        <v>0</v>
      </c>
      <c r="O197" s="82">
        <v>0</v>
      </c>
      <c r="P197" s="82">
        <v>-1</v>
      </c>
      <c r="Q197" s="82" t="s">
        <v>686</v>
      </c>
      <c r="R197" s="89" t="s">
        <v>686</v>
      </c>
      <c r="S197" s="82" t="s">
        <v>1397</v>
      </c>
      <c r="T197" s="82">
        <v>1</v>
      </c>
      <c r="U197" s="82">
        <v>0</v>
      </c>
      <c r="V197" s="82">
        <v>1</v>
      </c>
      <c r="W197" s="90"/>
      <c r="X197" s="90"/>
      <c r="Y197" s="90"/>
    </row>
    <row r="198" spans="1:25" ht="26.4">
      <c r="A198" s="80">
        <v>1</v>
      </c>
      <c r="B198" s="93" t="s">
        <v>1398</v>
      </c>
      <c r="C198" s="82">
        <v>198</v>
      </c>
      <c r="D198" s="83">
        <v>1</v>
      </c>
      <c r="E198" s="84">
        <v>43507</v>
      </c>
      <c r="F198" s="85" t="str">
        <f>HYPERLINK("https://news.detik.com/berita/d-4422534/pan-desak-akun-komik-muslim-gay-segera-diblokir ","sumber")</f>
        <v>sumber</v>
      </c>
      <c r="G198" s="85" t="str">
        <f t="shared" si="25"/>
        <v>lokasi</v>
      </c>
      <c r="H198" s="83">
        <v>260</v>
      </c>
      <c r="I198" s="86">
        <v>1</v>
      </c>
      <c r="J198" s="82">
        <v>3</v>
      </c>
      <c r="K198" s="87" t="s">
        <v>1399</v>
      </c>
      <c r="L198" s="82">
        <v>0</v>
      </c>
      <c r="M198" s="82">
        <v>-1</v>
      </c>
      <c r="N198" s="88">
        <v>0</v>
      </c>
      <c r="O198" s="82">
        <v>0</v>
      </c>
      <c r="P198" s="82">
        <v>0</v>
      </c>
      <c r="Q198" s="82">
        <v>0</v>
      </c>
      <c r="R198" s="89">
        <v>-1</v>
      </c>
      <c r="S198" s="82"/>
      <c r="T198" s="82">
        <v>0</v>
      </c>
      <c r="U198" s="82">
        <v>0</v>
      </c>
      <c r="V198" s="82">
        <v>1</v>
      </c>
      <c r="W198" s="90"/>
      <c r="X198" s="90"/>
      <c r="Y198" s="90"/>
    </row>
    <row r="199" spans="1:25" ht="52.8">
      <c r="A199" s="69">
        <v>1</v>
      </c>
      <c r="B199" s="64" t="s">
        <v>1400</v>
      </c>
      <c r="C199" s="11">
        <v>199</v>
      </c>
      <c r="D199" s="65">
        <v>10</v>
      </c>
      <c r="E199" s="66">
        <v>43507</v>
      </c>
      <c r="F199" s="13" t="str">
        <f>HYPERLINK("https://nasional.tempo.co/read/1174618/ketua-dpr-targetkan-ruu-pks-disahkan-sebelum-pemilu ","sumber")</f>
        <v>sumber</v>
      </c>
      <c r="G199" s="13" t="str">
        <f t="shared" si="25"/>
        <v>lokasi</v>
      </c>
      <c r="H199" s="65">
        <v>394</v>
      </c>
      <c r="I199" s="67">
        <v>4</v>
      </c>
      <c r="J199" s="11">
        <v>3</v>
      </c>
      <c r="K199" s="70" t="s">
        <v>1401</v>
      </c>
      <c r="L199" s="11">
        <v>0</v>
      </c>
      <c r="M199" s="11">
        <v>0</v>
      </c>
      <c r="N199" s="15">
        <v>0</v>
      </c>
      <c r="O199" s="11">
        <v>0</v>
      </c>
      <c r="P199" s="11">
        <v>0</v>
      </c>
      <c r="Q199" s="11" t="s">
        <v>29</v>
      </c>
      <c r="R199" s="11" t="s">
        <v>53</v>
      </c>
      <c r="S199" s="11"/>
      <c r="T199" s="11">
        <v>0</v>
      </c>
      <c r="U199" s="11">
        <v>0</v>
      </c>
      <c r="V199" s="11">
        <v>1</v>
      </c>
      <c r="W199" s="14"/>
      <c r="X199" s="14"/>
      <c r="Y199" s="14"/>
    </row>
    <row r="200" spans="1:25" ht="26.4">
      <c r="A200" s="80">
        <v>1</v>
      </c>
      <c r="B200" s="93" t="s">
        <v>1402</v>
      </c>
      <c r="C200" s="82">
        <v>200</v>
      </c>
      <c r="D200" s="83">
        <v>8</v>
      </c>
      <c r="E200" s="94" t="s">
        <v>1403</v>
      </c>
      <c r="F200" s="85" t="str">
        <f>HYPERLINK("https://www.suara.com/news/2019/02/12/204019/heboh-komik-muslim-gay-polda-metro-jaya-bakal-selidiki ","sumber")</f>
        <v>sumber</v>
      </c>
      <c r="G200" s="85" t="str">
        <f t="shared" si="25"/>
        <v>lokasi</v>
      </c>
      <c r="H200" s="83">
        <v>127</v>
      </c>
      <c r="I200" s="86">
        <v>1</v>
      </c>
      <c r="J200" s="82">
        <v>3</v>
      </c>
      <c r="K200" s="87" t="s">
        <v>1393</v>
      </c>
      <c r="L200" s="82">
        <v>0</v>
      </c>
      <c r="M200" s="82">
        <v>-1</v>
      </c>
      <c r="N200" s="88">
        <v>0</v>
      </c>
      <c r="O200" s="82">
        <v>0</v>
      </c>
      <c r="P200" s="82">
        <v>-1</v>
      </c>
      <c r="Q200" s="82">
        <v>0</v>
      </c>
      <c r="R200" s="89">
        <v>0</v>
      </c>
      <c r="S200" s="82"/>
      <c r="T200" s="82">
        <v>0</v>
      </c>
      <c r="U200" s="82">
        <v>0</v>
      </c>
      <c r="V200" s="82">
        <v>1</v>
      </c>
      <c r="W200" s="90"/>
      <c r="X200" s="90"/>
      <c r="Y200" s="90"/>
    </row>
    <row r="201" spans="1:25" ht="26.4">
      <c r="A201" s="80">
        <v>1</v>
      </c>
      <c r="B201" s="93" t="s">
        <v>1404</v>
      </c>
      <c r="C201" s="82">
        <v>201</v>
      </c>
      <c r="D201" s="83">
        <v>5</v>
      </c>
      <c r="E201" s="94" t="s">
        <v>1405</v>
      </c>
      <c r="F201" s="85" t="str">
        <f>HYPERLINK("https://tirto.id/wakil-ketua-komisi-viii-dpr-bantah-ruu-pks-disebut-pro-zina-lgbt-dftB ","sumber")</f>
        <v>sumber</v>
      </c>
      <c r="G201" s="85" t="str">
        <f t="shared" si="25"/>
        <v>lokasi</v>
      </c>
      <c r="H201" s="83">
        <v>319</v>
      </c>
      <c r="I201" s="86">
        <v>4</v>
      </c>
      <c r="J201" s="82">
        <v>3</v>
      </c>
      <c r="K201" s="87" t="s">
        <v>1406</v>
      </c>
      <c r="L201" s="82">
        <v>0</v>
      </c>
      <c r="M201" s="82">
        <v>0</v>
      </c>
      <c r="N201" s="88">
        <v>0</v>
      </c>
      <c r="O201" s="82">
        <v>0</v>
      </c>
      <c r="P201" s="82">
        <v>0</v>
      </c>
      <c r="Q201" s="82">
        <v>0</v>
      </c>
      <c r="R201" s="89">
        <v>-1</v>
      </c>
      <c r="S201" s="82"/>
      <c r="T201" s="82">
        <v>0</v>
      </c>
      <c r="U201" s="82">
        <v>0</v>
      </c>
      <c r="V201" s="82">
        <v>1</v>
      </c>
      <c r="W201" s="90"/>
      <c r="X201" s="90"/>
      <c r="Y201" s="90"/>
    </row>
    <row r="202" spans="1:25" ht="39.6">
      <c r="A202" s="80">
        <v>1</v>
      </c>
      <c r="B202" s="93" t="s">
        <v>1407</v>
      </c>
      <c r="C202" s="82">
        <v>202</v>
      </c>
      <c r="D202" s="83">
        <v>7</v>
      </c>
      <c r="E202" s="84">
        <v>43517</v>
      </c>
      <c r="F202" s="85" t="str">
        <f>HYPERLINK("http://www.tribunnews.com/metropolitan/2019/02/07/ternyata-transgender-polisi-ungkap-nama-asli-selebgram-reva-alexa ","sumber")</f>
        <v>sumber</v>
      </c>
      <c r="G202" s="85" t="str">
        <f t="shared" si="25"/>
        <v>lokasi</v>
      </c>
      <c r="H202" s="83">
        <v>207</v>
      </c>
      <c r="I202" s="86">
        <v>1</v>
      </c>
      <c r="J202" s="82">
        <v>3</v>
      </c>
      <c r="K202" s="87" t="s">
        <v>1408</v>
      </c>
      <c r="L202" s="82">
        <v>0</v>
      </c>
      <c r="M202" s="28">
        <v>0</v>
      </c>
      <c r="N202" s="82">
        <v>-1</v>
      </c>
      <c r="O202" s="82">
        <v>0</v>
      </c>
      <c r="P202" s="82">
        <v>-1</v>
      </c>
      <c r="Q202" s="82">
        <v>0</v>
      </c>
      <c r="R202" s="89">
        <v>-1</v>
      </c>
      <c r="S202" s="82" t="s">
        <v>1409</v>
      </c>
      <c r="T202" s="82">
        <v>1</v>
      </c>
      <c r="U202" s="82">
        <v>-1</v>
      </c>
      <c r="V202" s="82">
        <v>0</v>
      </c>
      <c r="W202" s="90"/>
      <c r="X202" s="90"/>
      <c r="Y202" s="90"/>
    </row>
    <row r="203" spans="1:25" ht="13.2">
      <c r="A203" s="73">
        <v>2</v>
      </c>
      <c r="B203" s="74" t="s">
        <v>1410</v>
      </c>
      <c r="C203" s="18">
        <v>203</v>
      </c>
      <c r="D203" s="75">
        <v>5</v>
      </c>
      <c r="E203" s="76">
        <v>43521</v>
      </c>
      <c r="F203" s="20" t="str">
        <f>HYPERLINK("https://tirto.id/oscar-2019-aktris-pendukung-terbaik-regina-king-atau-emma-stone-dhGQ ","sumber")</f>
        <v>sumber</v>
      </c>
      <c r="G203" s="18" t="s">
        <v>1</v>
      </c>
      <c r="H203" s="75">
        <v>565</v>
      </c>
      <c r="I203" s="77"/>
      <c r="J203" s="18">
        <v>3</v>
      </c>
      <c r="K203" s="78"/>
      <c r="L203" s="19"/>
      <c r="M203" s="19"/>
      <c r="N203" s="19"/>
      <c r="O203" s="19"/>
      <c r="P203" s="19"/>
      <c r="Q203" s="18"/>
      <c r="R203" s="79"/>
      <c r="S203" s="18"/>
      <c r="T203" s="19"/>
      <c r="U203" s="19"/>
      <c r="V203" s="19"/>
      <c r="W203" s="19"/>
      <c r="X203" s="19"/>
      <c r="Y203" s="19"/>
    </row>
    <row r="204" spans="1:25" ht="13.2">
      <c r="A204" s="69">
        <v>1</v>
      </c>
      <c r="B204" s="64" t="s">
        <v>1411</v>
      </c>
      <c r="C204" s="11">
        <v>204</v>
      </c>
      <c r="D204" s="65">
        <v>5</v>
      </c>
      <c r="E204" s="66">
        <v>43522</v>
      </c>
      <c r="F204" s="13" t="str">
        <f>HYPERLINK("https://tirto.id/politik-merusak-oscar-academy-awards-memang-selalu-politis-dhNH ","sumber")</f>
        <v>sumber</v>
      </c>
      <c r="G204" s="13" t="str">
        <f t="shared" ref="G204:G208" si="26">HYPERLINK("https://drive.google.com/open?id=15K5sriRJOw0JTPqD9yRZzl0fwZcfdV8X","lokasi")</f>
        <v>lokasi</v>
      </c>
      <c r="H204" s="65">
        <v>1437</v>
      </c>
      <c r="I204" s="67">
        <v>3</v>
      </c>
      <c r="J204" s="11">
        <v>3</v>
      </c>
      <c r="K204" s="11"/>
      <c r="L204" s="11">
        <v>0</v>
      </c>
      <c r="M204" s="11">
        <v>0</v>
      </c>
      <c r="N204" s="15">
        <v>0</v>
      </c>
      <c r="O204" s="11">
        <v>0</v>
      </c>
      <c r="P204" s="11">
        <v>0</v>
      </c>
      <c r="Q204" s="11"/>
      <c r="R204" s="11"/>
      <c r="S204" s="11"/>
      <c r="T204" s="11">
        <v>0</v>
      </c>
      <c r="U204" s="11">
        <v>0</v>
      </c>
      <c r="V204" s="11">
        <v>1</v>
      </c>
      <c r="W204" s="14"/>
      <c r="X204" s="14"/>
      <c r="Y204" s="14"/>
    </row>
    <row r="205" spans="1:25" ht="39.6">
      <c r="A205" s="80">
        <v>1</v>
      </c>
      <c r="B205" s="93" t="s">
        <v>1412</v>
      </c>
      <c r="C205" s="82">
        <v>205</v>
      </c>
      <c r="D205" s="83">
        <v>7</v>
      </c>
      <c r="E205" s="84">
        <v>43502</v>
      </c>
      <c r="F205" s="85" t="str">
        <f>HYPERLINK("http://www.tribunnews.com/seleb/2019/02/06/ditangkap-karena-narkoba-selebgram-reva-alexa-ternyata-transgender ","sumber")</f>
        <v>sumber</v>
      </c>
      <c r="G205" s="85" t="str">
        <f t="shared" si="26"/>
        <v>lokasi</v>
      </c>
      <c r="H205" s="83">
        <v>78</v>
      </c>
      <c r="I205" s="86">
        <v>1</v>
      </c>
      <c r="J205" s="82">
        <v>3</v>
      </c>
      <c r="K205" s="87" t="s">
        <v>1408</v>
      </c>
      <c r="L205" s="82">
        <v>0</v>
      </c>
      <c r="M205" s="28">
        <v>0</v>
      </c>
      <c r="N205" s="82">
        <v>-1</v>
      </c>
      <c r="O205" s="82">
        <v>0</v>
      </c>
      <c r="P205" s="82">
        <v>-1</v>
      </c>
      <c r="Q205" s="82">
        <v>0</v>
      </c>
      <c r="R205" s="89">
        <v>-1</v>
      </c>
      <c r="S205" s="82" t="s">
        <v>1413</v>
      </c>
      <c r="T205" s="82">
        <v>1</v>
      </c>
      <c r="U205" s="82">
        <v>-1</v>
      </c>
      <c r="V205" s="82">
        <v>0</v>
      </c>
      <c r="W205" s="90"/>
      <c r="X205" s="90"/>
      <c r="Y205" s="90"/>
    </row>
    <row r="206" spans="1:25" ht="79.2">
      <c r="A206" s="69">
        <v>1</v>
      </c>
      <c r="B206" s="64" t="s">
        <v>1414</v>
      </c>
      <c r="C206" s="11">
        <v>206</v>
      </c>
      <c r="D206" s="65">
        <v>5</v>
      </c>
      <c r="E206" s="66">
        <v>43526</v>
      </c>
      <c r="F206" s="13" t="str">
        <f>HYPERLINK("https://tirto.id/masalah-kekerasan-seksual-adalah-problem-kita-semua-dieG ","sumber")</f>
        <v>sumber</v>
      </c>
      <c r="G206" s="13" t="str">
        <f t="shared" si="26"/>
        <v>lokasi</v>
      </c>
      <c r="H206" s="65">
        <v>771</v>
      </c>
      <c r="I206" s="67">
        <v>4</v>
      </c>
      <c r="J206" s="11">
        <v>4</v>
      </c>
      <c r="K206" s="70" t="s">
        <v>1415</v>
      </c>
      <c r="L206" s="11">
        <v>0</v>
      </c>
      <c r="M206" s="11">
        <v>0</v>
      </c>
      <c r="N206" s="15">
        <v>0</v>
      </c>
      <c r="O206" s="11">
        <v>0</v>
      </c>
      <c r="P206" s="11">
        <v>0</v>
      </c>
      <c r="Q206" s="11" t="s">
        <v>21</v>
      </c>
      <c r="R206" s="11" t="s">
        <v>1416</v>
      </c>
      <c r="S206" s="11"/>
      <c r="T206" s="11">
        <v>0</v>
      </c>
      <c r="U206" s="11">
        <v>0</v>
      </c>
      <c r="V206" s="11">
        <v>1</v>
      </c>
      <c r="W206" s="14"/>
      <c r="X206" s="14"/>
      <c r="Y206" s="14"/>
    </row>
    <row r="207" spans="1:25" ht="52.8">
      <c r="A207" s="69">
        <v>1</v>
      </c>
      <c r="B207" s="64" t="s">
        <v>1417</v>
      </c>
      <c r="C207" s="11">
        <v>207</v>
      </c>
      <c r="D207" s="65">
        <v>4</v>
      </c>
      <c r="E207" s="66">
        <v>43527</v>
      </c>
      <c r="F207" s="13" t="str">
        <f>HYPERLINK("https://www.liputan6.com/global/read/3908127/eks-atlet-renang-inggris-transgender-tak-boleh-ikut-berkompetisi-dengan-perempuan ","sumber")</f>
        <v>sumber</v>
      </c>
      <c r="G207" s="13" t="str">
        <f t="shared" si="26"/>
        <v>lokasi</v>
      </c>
      <c r="H207" s="65">
        <v>565</v>
      </c>
      <c r="I207" s="67">
        <v>4</v>
      </c>
      <c r="J207" s="11">
        <v>3</v>
      </c>
      <c r="K207" s="70" t="s">
        <v>1418</v>
      </c>
      <c r="L207" s="11">
        <v>0</v>
      </c>
      <c r="M207" s="11">
        <v>0</v>
      </c>
      <c r="N207" s="15">
        <v>0</v>
      </c>
      <c r="O207" s="11">
        <v>0</v>
      </c>
      <c r="P207" s="11">
        <v>0</v>
      </c>
      <c r="Q207" s="11" t="s">
        <v>87</v>
      </c>
      <c r="R207" s="11" t="s">
        <v>141</v>
      </c>
      <c r="S207" s="11"/>
      <c r="T207" s="11">
        <v>0</v>
      </c>
      <c r="U207" s="11">
        <v>0</v>
      </c>
      <c r="V207" s="11">
        <v>1</v>
      </c>
      <c r="W207" s="14"/>
      <c r="X207" s="14"/>
      <c r="Y207" s="14"/>
    </row>
    <row r="208" spans="1:25" ht="79.2">
      <c r="A208" s="69">
        <v>1</v>
      </c>
      <c r="B208" s="64" t="s">
        <v>1419</v>
      </c>
      <c r="C208" s="11">
        <v>208</v>
      </c>
      <c r="D208" s="65">
        <v>1</v>
      </c>
      <c r="E208" s="66">
        <v>43528</v>
      </c>
      <c r="F208" s="13" t="str">
        <f>HYPERLINK("https://news.detik.com/bbc-world/d-4452536/instagram-paling-banyak-dipakai-pedofil-untuk-menggoda-anak-anak ","sumber")</f>
        <v>sumber</v>
      </c>
      <c r="G208" s="13" t="str">
        <f t="shared" si="26"/>
        <v>lokasi</v>
      </c>
      <c r="H208" s="65">
        <v>796</v>
      </c>
      <c r="I208" s="67">
        <v>1</v>
      </c>
      <c r="J208" s="11">
        <v>4</v>
      </c>
      <c r="K208" s="70" t="s">
        <v>1420</v>
      </c>
      <c r="L208" s="11">
        <v>0</v>
      </c>
      <c r="M208" s="11">
        <v>1</v>
      </c>
      <c r="N208" s="11">
        <v>0</v>
      </c>
      <c r="O208" s="11">
        <v>0</v>
      </c>
      <c r="P208" s="11">
        <v>0</v>
      </c>
      <c r="Q208" s="11" t="s">
        <v>1421</v>
      </c>
      <c r="R208" s="11" t="s">
        <v>1422</v>
      </c>
      <c r="S208" s="11"/>
      <c r="T208" s="11">
        <v>0</v>
      </c>
      <c r="U208" s="11">
        <v>0</v>
      </c>
      <c r="V208" s="11">
        <v>1</v>
      </c>
      <c r="W208" s="14"/>
      <c r="X208" s="14"/>
      <c r="Y208" s="14"/>
    </row>
    <row r="209" spans="1:25" ht="13.2">
      <c r="A209" s="73">
        <v>2</v>
      </c>
      <c r="B209" s="74" t="s">
        <v>1423</v>
      </c>
      <c r="C209" s="18">
        <v>209</v>
      </c>
      <c r="D209" s="75">
        <v>8</v>
      </c>
      <c r="E209" s="76">
        <v>43535</v>
      </c>
      <c r="F209" s="20" t="str">
        <f>HYPERLINK("https://www.suara.com/news/2019/03/11/063500/tkn-yakin-kampanye-kondom-jokowi-maruf-tak-pengaruhi-elektabilitas ","sumber")</f>
        <v>sumber</v>
      </c>
      <c r="G209" s="18" t="s">
        <v>1</v>
      </c>
      <c r="H209" s="75">
        <v>273</v>
      </c>
      <c r="I209" s="77"/>
      <c r="J209" s="18">
        <v>3</v>
      </c>
      <c r="K209" s="78"/>
      <c r="L209" s="19"/>
      <c r="M209" s="19"/>
      <c r="N209" s="19"/>
      <c r="O209" s="19"/>
      <c r="P209" s="19"/>
      <c r="Q209" s="18"/>
      <c r="R209" s="79"/>
      <c r="S209" s="18"/>
      <c r="T209" s="19"/>
      <c r="U209" s="19"/>
      <c r="V209" s="19"/>
      <c r="W209" s="19"/>
      <c r="X209" s="19"/>
      <c r="Y209" s="19"/>
    </row>
    <row r="210" spans="1:25" ht="13.2">
      <c r="A210" s="73">
        <v>2</v>
      </c>
      <c r="B210" s="74" t="s">
        <v>1424</v>
      </c>
      <c r="C210" s="18">
        <v>210</v>
      </c>
      <c r="D210" s="75">
        <v>9</v>
      </c>
      <c r="E210" s="76">
        <v>43540</v>
      </c>
      <c r="F210" s="20" t="str">
        <f>HYPERLINK("https://nasional.republika.co.id/berita/nasional/umum/pog5rd423/prihatin-kondisi-bangsa-gerakan-nusantara-bertauhid-hadir ","sumber")</f>
        <v>sumber</v>
      </c>
      <c r="G210" s="18" t="s">
        <v>1</v>
      </c>
      <c r="H210" s="75">
        <v>434</v>
      </c>
      <c r="I210" s="77"/>
      <c r="J210" s="18">
        <v>3</v>
      </c>
      <c r="K210" s="78"/>
      <c r="L210" s="19"/>
      <c r="M210" s="19"/>
      <c r="N210" s="19"/>
      <c r="O210" s="19"/>
      <c r="P210" s="19"/>
      <c r="Q210" s="18"/>
      <c r="R210" s="79"/>
      <c r="S210" s="18"/>
      <c r="T210" s="19"/>
      <c r="U210" s="19"/>
      <c r="V210" s="19"/>
      <c r="W210" s="19"/>
      <c r="X210" s="19"/>
      <c r="Y210" s="19"/>
    </row>
    <row r="211" spans="1:25" ht="26.4">
      <c r="A211" s="69">
        <v>1</v>
      </c>
      <c r="B211" s="64" t="s">
        <v>1425</v>
      </c>
      <c r="C211" s="11">
        <v>211</v>
      </c>
      <c r="D211" s="65">
        <v>10</v>
      </c>
      <c r="E211" s="66">
        <v>43541</v>
      </c>
      <c r="F211" s="13" t="str">
        <f>HYPERLINK("https://pilpres.tempo.co/read/1186197/tiga-isu-ini-diharapkan-dibahas-dalam-debat-cawapres-nanti-malam ","sumber")</f>
        <v>sumber</v>
      </c>
      <c r="G211" s="13" t="str">
        <f t="shared" ref="G211:G239" si="27">HYPERLINK("https://drive.google.com/open?id=15K5sriRJOw0JTPqD9yRZzl0fwZcfdV8X","lokasi")</f>
        <v>lokasi</v>
      </c>
      <c r="H211" s="65">
        <v>346</v>
      </c>
      <c r="I211" s="67">
        <v>4</v>
      </c>
      <c r="J211" s="11">
        <v>3</v>
      </c>
      <c r="K211" s="70" t="s">
        <v>1426</v>
      </c>
      <c r="L211" s="11">
        <v>0</v>
      </c>
      <c r="M211" s="11">
        <v>0</v>
      </c>
      <c r="N211" s="15">
        <v>0</v>
      </c>
      <c r="O211" s="11">
        <v>0</v>
      </c>
      <c r="P211" s="11">
        <v>0</v>
      </c>
      <c r="Q211" s="11">
        <v>0</v>
      </c>
      <c r="R211" s="11">
        <v>0</v>
      </c>
      <c r="S211" s="11"/>
      <c r="T211" s="11">
        <v>0</v>
      </c>
      <c r="U211" s="11">
        <v>0</v>
      </c>
      <c r="V211" s="11">
        <v>1</v>
      </c>
      <c r="W211" s="14"/>
      <c r="X211" s="14"/>
      <c r="Y211" s="14"/>
    </row>
    <row r="212" spans="1:25" ht="13.2">
      <c r="A212" s="69">
        <v>1</v>
      </c>
      <c r="B212" s="64" t="s">
        <v>1427</v>
      </c>
      <c r="C212" s="11">
        <v>212</v>
      </c>
      <c r="D212" s="65">
        <v>4</v>
      </c>
      <c r="E212" s="66">
        <v>43542</v>
      </c>
      <c r="F212" s="13" t="str">
        <f>HYPERLINK("https://www.liputan6.com/showbiz/read/3919359/lucinta-luna-akui-punya-ilmu-rahasia-untuk-gaet-aktor-tampan ","sumber")</f>
        <v>sumber</v>
      </c>
      <c r="G212" s="13" t="str">
        <f t="shared" si="27"/>
        <v>lokasi</v>
      </c>
      <c r="H212" s="65">
        <v>308</v>
      </c>
      <c r="I212" s="67">
        <v>2</v>
      </c>
      <c r="J212" s="11">
        <v>3</v>
      </c>
      <c r="K212" s="70" t="s">
        <v>1428</v>
      </c>
      <c r="L212" s="11">
        <v>0</v>
      </c>
      <c r="M212" s="11">
        <v>0</v>
      </c>
      <c r="N212" s="15">
        <v>0</v>
      </c>
      <c r="O212" s="11">
        <v>0</v>
      </c>
      <c r="P212" s="11">
        <v>0</v>
      </c>
      <c r="Q212" s="11">
        <v>0</v>
      </c>
      <c r="R212" s="11">
        <v>0</v>
      </c>
      <c r="S212" s="11"/>
      <c r="T212" s="11">
        <v>0</v>
      </c>
      <c r="U212" s="11">
        <v>-1</v>
      </c>
      <c r="V212" s="11">
        <v>0</v>
      </c>
      <c r="W212" s="14"/>
      <c r="X212" s="14"/>
      <c r="Y212" s="14"/>
    </row>
    <row r="213" spans="1:25" ht="13.2">
      <c r="A213" s="69">
        <v>1</v>
      </c>
      <c r="B213" s="64" t="s">
        <v>1429</v>
      </c>
      <c r="C213" s="11">
        <v>213</v>
      </c>
      <c r="D213" s="65">
        <v>8</v>
      </c>
      <c r="E213" s="66">
        <v>43545</v>
      </c>
      <c r="F213" s="13" t="str">
        <f>HYPERLINK("https://www.suara.com/entertainment/2019/03/21/205303/lucinta-luna-blak-blakan-soal-malam-pertama ","sumber")</f>
        <v>sumber</v>
      </c>
      <c r="G213" s="13" t="str">
        <f t="shared" si="27"/>
        <v>lokasi</v>
      </c>
      <c r="H213" s="65">
        <v>215</v>
      </c>
      <c r="I213" s="67">
        <v>2</v>
      </c>
      <c r="J213" s="11">
        <v>3</v>
      </c>
      <c r="K213" s="70" t="s">
        <v>1428</v>
      </c>
      <c r="L213" s="11">
        <v>0</v>
      </c>
      <c r="M213" s="11">
        <v>0</v>
      </c>
      <c r="N213" s="15">
        <v>0</v>
      </c>
      <c r="O213" s="11">
        <v>0</v>
      </c>
      <c r="P213" s="11">
        <v>-1</v>
      </c>
      <c r="Q213" s="11">
        <v>0</v>
      </c>
      <c r="R213" s="11">
        <v>-1</v>
      </c>
      <c r="S213" s="11"/>
      <c r="T213" s="11">
        <v>0</v>
      </c>
      <c r="U213" s="11">
        <v>-1</v>
      </c>
      <c r="V213" s="11">
        <v>0</v>
      </c>
      <c r="W213" s="14"/>
      <c r="X213" s="14"/>
      <c r="Y213" s="14"/>
    </row>
    <row r="214" spans="1:25" ht="26.4">
      <c r="A214" s="69">
        <v>1</v>
      </c>
      <c r="B214" s="64" t="s">
        <v>1430</v>
      </c>
      <c r="C214" s="11">
        <v>214</v>
      </c>
      <c r="D214" s="65">
        <v>5</v>
      </c>
      <c r="E214" s="66">
        <v>43545</v>
      </c>
      <c r="F214" s="13" t="str">
        <f>HYPERLINK("https://tirto.id/ketika-situs-persma-suara-usu-disuspensi-karena-cerpen-lgbt-djXM ","sumber")</f>
        <v>sumber</v>
      </c>
      <c r="G214" s="13" t="str">
        <f t="shared" si="27"/>
        <v>lokasi</v>
      </c>
      <c r="H214" s="65">
        <v>399</v>
      </c>
      <c r="I214" s="67">
        <v>1</v>
      </c>
      <c r="J214" s="11">
        <v>3</v>
      </c>
      <c r="K214" s="70" t="s">
        <v>1431</v>
      </c>
      <c r="L214" s="11">
        <v>0</v>
      </c>
      <c r="M214" s="11">
        <v>1</v>
      </c>
      <c r="N214" s="15">
        <v>0</v>
      </c>
      <c r="O214" s="11">
        <v>0</v>
      </c>
      <c r="P214" s="11">
        <v>0</v>
      </c>
      <c r="Q214" s="11">
        <v>0</v>
      </c>
      <c r="R214" s="11">
        <v>1</v>
      </c>
      <c r="S214" s="11"/>
      <c r="T214" s="11">
        <v>0</v>
      </c>
      <c r="U214" s="11">
        <v>0</v>
      </c>
      <c r="V214" s="11">
        <v>1</v>
      </c>
      <c r="W214" s="14"/>
      <c r="X214" s="14"/>
      <c r="Y214" s="14"/>
    </row>
    <row r="215" spans="1:25" ht="26.4">
      <c r="A215" s="69">
        <v>1</v>
      </c>
      <c r="B215" s="64" t="s">
        <v>1432</v>
      </c>
      <c r="C215" s="11">
        <v>215</v>
      </c>
      <c r="D215" s="65">
        <v>10</v>
      </c>
      <c r="E215" s="66">
        <v>43547</v>
      </c>
      <c r="F215" s="13" t="str">
        <f>HYPERLINK("https://nasional.tempo.co/read/1188334/ceramah-di-masjid-kivlan-zen-sebut-ada-capres-didukung-lgbt ","sumber")</f>
        <v>sumber</v>
      </c>
      <c r="G215" s="13" t="str">
        <f t="shared" si="27"/>
        <v>lokasi</v>
      </c>
      <c r="H215" s="65">
        <v>450</v>
      </c>
      <c r="I215" s="67">
        <v>2</v>
      </c>
      <c r="J215" s="11">
        <v>3</v>
      </c>
      <c r="K215" s="70" t="s">
        <v>1433</v>
      </c>
      <c r="L215" s="11">
        <v>0</v>
      </c>
      <c r="M215" s="11">
        <v>0</v>
      </c>
      <c r="N215" s="15">
        <v>0</v>
      </c>
      <c r="O215" s="11">
        <v>0</v>
      </c>
      <c r="P215" s="11">
        <v>0</v>
      </c>
      <c r="Q215" s="11" t="s">
        <v>29</v>
      </c>
      <c r="R215" s="11" t="s">
        <v>30</v>
      </c>
      <c r="S215" s="11"/>
      <c r="T215" s="11">
        <v>0</v>
      </c>
      <c r="U215" s="11">
        <v>0</v>
      </c>
      <c r="V215" s="11">
        <v>1</v>
      </c>
      <c r="W215" s="14"/>
      <c r="X215" s="14"/>
      <c r="Y215" s="14"/>
    </row>
    <row r="216" spans="1:25" ht="39.6">
      <c r="A216" s="69">
        <v>1</v>
      </c>
      <c r="B216" s="64" t="s">
        <v>1434</v>
      </c>
      <c r="C216" s="11">
        <v>216</v>
      </c>
      <c r="D216" s="65">
        <v>9</v>
      </c>
      <c r="E216" s="66">
        <v>43550</v>
      </c>
      <c r="F216" s="13" t="str">
        <f>HYPERLINK("https://internasional.republika.co.id/berita/internasional/abc-australia-network/poycza/brunei-akan-terapkan-hukum-syariah-bagi-lgbt ","sumber")</f>
        <v>sumber</v>
      </c>
      <c r="G216" s="13" t="str">
        <f t="shared" si="27"/>
        <v>lokasi</v>
      </c>
      <c r="H216" s="65">
        <v>256</v>
      </c>
      <c r="I216" s="67">
        <v>4</v>
      </c>
      <c r="J216" s="11">
        <v>3</v>
      </c>
      <c r="K216" s="70" t="s">
        <v>1435</v>
      </c>
      <c r="L216" s="11">
        <v>0</v>
      </c>
      <c r="M216" s="11">
        <v>0</v>
      </c>
      <c r="N216" s="15">
        <v>0</v>
      </c>
      <c r="O216" s="11">
        <v>0</v>
      </c>
      <c r="P216" s="11">
        <v>0</v>
      </c>
      <c r="Q216" s="11" t="s">
        <v>87</v>
      </c>
      <c r="R216" s="11" t="s">
        <v>160</v>
      </c>
      <c r="S216" s="11"/>
      <c r="T216" s="11">
        <v>0</v>
      </c>
      <c r="U216" s="11">
        <v>0</v>
      </c>
      <c r="V216" s="11">
        <v>1</v>
      </c>
      <c r="W216" s="14"/>
      <c r="X216" s="14"/>
      <c r="Y216" s="14"/>
    </row>
    <row r="217" spans="1:25" ht="26.4">
      <c r="A217" s="80">
        <v>1</v>
      </c>
      <c r="B217" s="93" t="s">
        <v>1436</v>
      </c>
      <c r="C217" s="82">
        <v>217</v>
      </c>
      <c r="D217" s="83">
        <v>5</v>
      </c>
      <c r="E217" s="84">
        <v>43537</v>
      </c>
      <c r="F217" s="85" t="str">
        <f>HYPERLINK("https://tirto.id/coming-out-itu-tak-mudah-ketika-anak-lgbt-terbuka-kepada-keluarga-djhl ","sumber")</f>
        <v>sumber</v>
      </c>
      <c r="G217" s="85" t="str">
        <f t="shared" si="27"/>
        <v>lokasi</v>
      </c>
      <c r="H217" s="83">
        <v>1562</v>
      </c>
      <c r="I217" s="86">
        <v>2</v>
      </c>
      <c r="J217" s="82">
        <v>3</v>
      </c>
      <c r="K217" s="87" t="s">
        <v>1437</v>
      </c>
      <c r="L217" s="82">
        <v>0</v>
      </c>
      <c r="M217" s="82">
        <v>0</v>
      </c>
      <c r="N217" s="88">
        <v>0</v>
      </c>
      <c r="O217" s="82">
        <v>0</v>
      </c>
      <c r="P217" s="82">
        <v>0</v>
      </c>
      <c r="Q217" s="82" t="s">
        <v>1438</v>
      </c>
      <c r="R217" s="89" t="s">
        <v>1439</v>
      </c>
      <c r="S217" s="82"/>
      <c r="T217" s="82">
        <v>0</v>
      </c>
      <c r="U217" s="82">
        <v>0</v>
      </c>
      <c r="V217" s="82">
        <v>1</v>
      </c>
      <c r="W217" s="90"/>
      <c r="X217" s="90"/>
      <c r="Y217" s="90"/>
    </row>
    <row r="218" spans="1:25" ht="26.4">
      <c r="A218" s="69">
        <v>1</v>
      </c>
      <c r="B218" s="64" t="s">
        <v>1440</v>
      </c>
      <c r="C218" s="11">
        <v>218</v>
      </c>
      <c r="D218" s="65">
        <v>6</v>
      </c>
      <c r="E218" s="66">
        <v>43558</v>
      </c>
      <c r="F218" s="13" t="str">
        <f>HYPERLINK("https://internasional.kompas.com/read/2019/04/03/10373861/muda-dan-gay-mengapa-pete-buttigieg-disebut-potensial-pimpin-as ","sumber")</f>
        <v>sumber</v>
      </c>
      <c r="G218" s="13" t="str">
        <f t="shared" si="27"/>
        <v>lokasi</v>
      </c>
      <c r="H218" s="65">
        <v>255</v>
      </c>
      <c r="I218" s="67">
        <v>2</v>
      </c>
      <c r="J218" s="11">
        <v>3</v>
      </c>
      <c r="K218" s="70" t="s">
        <v>1441</v>
      </c>
      <c r="L218" s="11">
        <v>0</v>
      </c>
      <c r="M218" s="11">
        <v>0</v>
      </c>
      <c r="N218" s="15">
        <v>0</v>
      </c>
      <c r="O218" s="11">
        <v>0</v>
      </c>
      <c r="P218" s="11">
        <v>0</v>
      </c>
      <c r="Q218" s="11">
        <v>0</v>
      </c>
      <c r="R218" s="11">
        <v>1</v>
      </c>
      <c r="S218" s="11"/>
      <c r="T218" s="11">
        <v>0</v>
      </c>
      <c r="U218" s="11">
        <v>-1</v>
      </c>
      <c r="V218" s="11">
        <v>1</v>
      </c>
      <c r="W218" s="14"/>
      <c r="X218" s="14"/>
      <c r="Y218" s="14"/>
    </row>
    <row r="219" spans="1:25" ht="52.8">
      <c r="A219" s="80">
        <v>1</v>
      </c>
      <c r="B219" s="93" t="s">
        <v>1442</v>
      </c>
      <c r="C219" s="82">
        <v>219</v>
      </c>
      <c r="D219" s="83">
        <v>1</v>
      </c>
      <c r="E219" s="84">
        <v>43559</v>
      </c>
      <c r="F219" s="85" t="str">
        <f>HYPERLINK("https://news.detik.com/berita/d-4496637/brunei-hukum-mati-lgbt-bagaimana-dengan-aceh ","sumber")</f>
        <v>sumber</v>
      </c>
      <c r="G219" s="85" t="str">
        <f t="shared" si="27"/>
        <v>lokasi</v>
      </c>
      <c r="H219" s="83">
        <v>396</v>
      </c>
      <c r="I219" s="86">
        <v>4</v>
      </c>
      <c r="J219" s="82">
        <v>3</v>
      </c>
      <c r="K219" s="87" t="s">
        <v>1443</v>
      </c>
      <c r="L219" s="82">
        <v>0</v>
      </c>
      <c r="M219" s="82">
        <v>0</v>
      </c>
      <c r="N219" s="88">
        <v>0</v>
      </c>
      <c r="O219" s="82">
        <v>0</v>
      </c>
      <c r="P219" s="82">
        <v>0</v>
      </c>
      <c r="Q219" s="82">
        <v>0</v>
      </c>
      <c r="R219" s="89">
        <v>-1</v>
      </c>
      <c r="S219" s="82"/>
      <c r="T219" s="82">
        <v>0</v>
      </c>
      <c r="U219" s="82">
        <v>0</v>
      </c>
      <c r="V219" s="82">
        <v>1</v>
      </c>
      <c r="W219" s="90"/>
      <c r="X219" s="90"/>
      <c r="Y219" s="90"/>
    </row>
    <row r="220" spans="1:25" ht="13.2">
      <c r="A220" s="80">
        <v>1</v>
      </c>
      <c r="B220" s="93" t="s">
        <v>1444</v>
      </c>
      <c r="C220" s="82">
        <v>220</v>
      </c>
      <c r="D220" s="83">
        <v>6</v>
      </c>
      <c r="E220" s="84">
        <v>43559</v>
      </c>
      <c r="F220" s="85" t="str">
        <f>HYPERLINK("https://internasional.kompas.com/read/2019/04/04/12461451/virgin-australia-batalkan-perjanjian-dengan-maskapai-brunei ","sumber")</f>
        <v>sumber</v>
      </c>
      <c r="G220" s="85" t="str">
        <f t="shared" si="27"/>
        <v>lokasi</v>
      </c>
      <c r="H220" s="83">
        <v>316</v>
      </c>
      <c r="I220" s="86">
        <v>2</v>
      </c>
      <c r="J220" s="82">
        <v>3</v>
      </c>
      <c r="K220" s="87"/>
      <c r="L220" s="82">
        <v>0</v>
      </c>
      <c r="M220" s="82">
        <v>0</v>
      </c>
      <c r="N220" s="88">
        <v>0</v>
      </c>
      <c r="O220" s="82">
        <v>0</v>
      </c>
      <c r="P220" s="82">
        <v>0</v>
      </c>
      <c r="Q220" s="82"/>
      <c r="R220" s="89"/>
      <c r="S220" s="82"/>
      <c r="T220" s="82">
        <v>0</v>
      </c>
      <c r="U220" s="82">
        <v>-1</v>
      </c>
      <c r="V220" s="82">
        <v>1</v>
      </c>
      <c r="W220" s="90"/>
      <c r="X220" s="90"/>
      <c r="Y220" s="90"/>
    </row>
    <row r="221" spans="1:25" ht="26.4">
      <c r="A221" s="69">
        <v>1</v>
      </c>
      <c r="B221" s="64" t="s">
        <v>1445</v>
      </c>
      <c r="C221" s="11">
        <v>221</v>
      </c>
      <c r="D221" s="65">
        <v>10</v>
      </c>
      <c r="E221" s="66">
        <v>43559</v>
      </c>
      <c r="F221" s="13" t="str">
        <f>HYPERLINK("https://seleb.tempo.co/read/1192133/millendaru-ungkap-identitas-diri-ke-hotman-paris ","sumber")</f>
        <v>sumber</v>
      </c>
      <c r="G221" s="13" t="str">
        <f t="shared" si="27"/>
        <v>lokasi</v>
      </c>
      <c r="H221" s="65">
        <v>236</v>
      </c>
      <c r="I221" s="67">
        <v>2</v>
      </c>
      <c r="J221" s="11">
        <v>3</v>
      </c>
      <c r="K221" s="70" t="s">
        <v>1446</v>
      </c>
      <c r="L221" s="11">
        <v>0</v>
      </c>
      <c r="M221" s="11">
        <v>0</v>
      </c>
      <c r="N221" s="15">
        <v>0</v>
      </c>
      <c r="O221" s="11">
        <v>0</v>
      </c>
      <c r="P221" s="11">
        <v>0</v>
      </c>
      <c r="Q221" s="11" t="s">
        <v>87</v>
      </c>
      <c r="R221" s="11" t="s">
        <v>182</v>
      </c>
      <c r="S221" s="11"/>
      <c r="T221" s="11">
        <v>0</v>
      </c>
      <c r="U221" s="11">
        <v>0</v>
      </c>
      <c r="V221" s="11">
        <v>0</v>
      </c>
      <c r="W221" s="14"/>
      <c r="X221" s="14"/>
      <c r="Y221" s="14"/>
    </row>
    <row r="222" spans="1:25" ht="66">
      <c r="A222" s="69">
        <v>1</v>
      </c>
      <c r="B222" s="64" t="s">
        <v>1447</v>
      </c>
      <c r="C222" s="11">
        <v>222</v>
      </c>
      <c r="D222" s="65">
        <v>4</v>
      </c>
      <c r="E222" s="66">
        <v>43560</v>
      </c>
      <c r="F222" s="13" t="str">
        <f>HYPERLINK("https://www.liputan6.com/global/read/3934837/dikecam-netizen-soal-uu-rajam-sejumlah-medsos-hotel-milik-brunei-non-aktif ","sumber")</f>
        <v>sumber</v>
      </c>
      <c r="G222" s="13" t="str">
        <f t="shared" si="27"/>
        <v>lokasi</v>
      </c>
      <c r="H222" s="65">
        <v>387</v>
      </c>
      <c r="I222" s="67">
        <v>4</v>
      </c>
      <c r="J222" s="11">
        <v>3</v>
      </c>
      <c r="K222" s="70" t="s">
        <v>1448</v>
      </c>
      <c r="L222" s="11">
        <v>0</v>
      </c>
      <c r="M222" s="11">
        <v>0</v>
      </c>
      <c r="N222" s="15">
        <v>0</v>
      </c>
      <c r="O222" s="11">
        <v>0</v>
      </c>
      <c r="P222" s="11">
        <v>0</v>
      </c>
      <c r="Q222" s="11" t="s">
        <v>21</v>
      </c>
      <c r="R222" s="11" t="s">
        <v>1046</v>
      </c>
      <c r="S222" s="11"/>
      <c r="T222" s="11">
        <v>0</v>
      </c>
      <c r="U222" s="11">
        <v>0</v>
      </c>
      <c r="V222" s="11">
        <v>1</v>
      </c>
      <c r="W222" s="14"/>
      <c r="X222" s="14"/>
      <c r="Y222" s="14"/>
    </row>
    <row r="223" spans="1:25" ht="52.8">
      <c r="A223" s="69">
        <v>1</v>
      </c>
      <c r="B223" s="64" t="s">
        <v>1449</v>
      </c>
      <c r="C223" s="11">
        <v>223</v>
      </c>
      <c r="D223" s="65">
        <v>1</v>
      </c>
      <c r="E223" s="66">
        <v>43561</v>
      </c>
      <c r="F223" s="13" t="str">
        <f>HYPERLINK("https://news.detik.com/berita/d-4499550/hukuman-mati-lgbt-berimbas-ke-hotel-hotel-brunei ","sumber")</f>
        <v>sumber</v>
      </c>
      <c r="G223" s="13" t="str">
        <f t="shared" si="27"/>
        <v>lokasi</v>
      </c>
      <c r="H223" s="65">
        <v>511</v>
      </c>
      <c r="I223" s="67">
        <v>4</v>
      </c>
      <c r="J223" s="11">
        <v>3</v>
      </c>
      <c r="K223" s="70" t="s">
        <v>1450</v>
      </c>
      <c r="L223" s="11">
        <v>0</v>
      </c>
      <c r="M223" s="11">
        <v>0</v>
      </c>
      <c r="N223" s="15">
        <v>0</v>
      </c>
      <c r="O223" s="11">
        <v>0</v>
      </c>
      <c r="P223" s="11">
        <v>0</v>
      </c>
      <c r="Q223" s="11" t="s">
        <v>57</v>
      </c>
      <c r="R223" s="11" t="s">
        <v>1451</v>
      </c>
      <c r="S223" s="11"/>
      <c r="T223" s="11">
        <v>0</v>
      </c>
      <c r="U223" s="11">
        <v>0</v>
      </c>
      <c r="V223" s="11">
        <v>1</v>
      </c>
      <c r="W223" s="14"/>
      <c r="X223" s="14"/>
      <c r="Y223" s="14"/>
    </row>
    <row r="224" spans="1:25" ht="13.2">
      <c r="A224" s="69">
        <v>1</v>
      </c>
      <c r="B224" s="64" t="s">
        <v>1452</v>
      </c>
      <c r="C224" s="11">
        <v>224</v>
      </c>
      <c r="D224" s="65">
        <v>3</v>
      </c>
      <c r="E224" s="66">
        <v>43562</v>
      </c>
      <c r="F224" s="13" t="str">
        <f>HYPERLINK("https://news.okezone.com/read/2019/04/07/18/2040151/terapkan-rajam-mati-untuk-lgbt-sultan-brunei-dinilai-tiru-isis ","sumber")</f>
        <v>sumber</v>
      </c>
      <c r="G224" s="13" t="str">
        <f t="shared" si="27"/>
        <v>lokasi</v>
      </c>
      <c r="H224" s="65">
        <v>245</v>
      </c>
      <c r="I224" s="67">
        <v>4</v>
      </c>
      <c r="J224" s="11">
        <v>3</v>
      </c>
      <c r="K224" s="70" t="s">
        <v>1453</v>
      </c>
      <c r="L224" s="11">
        <v>0</v>
      </c>
      <c r="M224" s="11">
        <v>0</v>
      </c>
      <c r="N224" s="15">
        <v>0</v>
      </c>
      <c r="O224" s="11">
        <v>0</v>
      </c>
      <c r="P224" s="11">
        <v>0</v>
      </c>
      <c r="Q224" s="11">
        <v>2</v>
      </c>
      <c r="R224" s="11">
        <v>1</v>
      </c>
      <c r="S224" s="11"/>
      <c r="T224" s="11">
        <v>0</v>
      </c>
      <c r="U224" s="11">
        <v>0</v>
      </c>
      <c r="V224" s="11">
        <v>1</v>
      </c>
      <c r="W224" s="14"/>
      <c r="X224" s="14"/>
      <c r="Y224" s="14"/>
    </row>
    <row r="225" spans="1:25" ht="79.2">
      <c r="A225" s="80">
        <v>1</v>
      </c>
      <c r="B225" s="93" t="s">
        <v>1454</v>
      </c>
      <c r="C225" s="82">
        <v>225</v>
      </c>
      <c r="D225" s="83">
        <v>6</v>
      </c>
      <c r="E225" s="84">
        <v>43571</v>
      </c>
      <c r="F225" s="85" t="str">
        <f>HYPERLINK("https://regional.kompas.com/read/2019/04/16/12150071/6-fakta-kasus-mayat-dalam-koper-pelaku-pinjam-koper-milik-ibu-hingga-alasan ","sumber")</f>
        <v>sumber</v>
      </c>
      <c r="G225" s="85" t="str">
        <f t="shared" si="27"/>
        <v>lokasi</v>
      </c>
      <c r="H225" s="83">
        <v>249</v>
      </c>
      <c r="I225" s="86">
        <v>1</v>
      </c>
      <c r="J225" s="82">
        <v>3</v>
      </c>
      <c r="K225" s="87" t="s">
        <v>1455</v>
      </c>
      <c r="L225" s="82">
        <v>0</v>
      </c>
      <c r="M225" s="28">
        <v>0</v>
      </c>
      <c r="N225" s="88">
        <v>0</v>
      </c>
      <c r="O225" s="82">
        <v>0</v>
      </c>
      <c r="P225" s="82">
        <v>0</v>
      </c>
      <c r="Q225" s="82" t="s">
        <v>21</v>
      </c>
      <c r="R225" s="89" t="s">
        <v>514</v>
      </c>
      <c r="S225" s="82"/>
      <c r="T225" s="82">
        <v>0</v>
      </c>
      <c r="U225" s="82">
        <v>-1</v>
      </c>
      <c r="V225" s="82">
        <v>1</v>
      </c>
      <c r="W225" s="90"/>
      <c r="X225" s="90"/>
      <c r="Y225" s="90"/>
    </row>
    <row r="226" spans="1:25" ht="52.8">
      <c r="A226" s="80">
        <v>1</v>
      </c>
      <c r="B226" s="93" t="s">
        <v>1456</v>
      </c>
      <c r="C226" s="82">
        <v>226</v>
      </c>
      <c r="D226" s="83">
        <v>1</v>
      </c>
      <c r="E226" s="84">
        <v>43560</v>
      </c>
      <c r="F226" s="85" t="str">
        <f>HYPERLINK("https://finance.detik.com/berita-ekonomi-bisnis/d-4498127/bank-jerman-setop-sewa-hotel-milik-sultan-brunei-buntut-anti-lgbt ","sumber")</f>
        <v>sumber</v>
      </c>
      <c r="G226" s="85" t="str">
        <f t="shared" si="27"/>
        <v>lokasi</v>
      </c>
      <c r="H226" s="83">
        <v>399</v>
      </c>
      <c r="I226" s="86">
        <v>4</v>
      </c>
      <c r="J226" s="82">
        <v>3</v>
      </c>
      <c r="K226" s="87" t="s">
        <v>1457</v>
      </c>
      <c r="L226" s="82">
        <v>0</v>
      </c>
      <c r="M226" s="82">
        <v>0</v>
      </c>
      <c r="N226" s="88">
        <v>0</v>
      </c>
      <c r="O226" s="82">
        <v>0</v>
      </c>
      <c r="P226" s="82">
        <v>0</v>
      </c>
      <c r="Q226" s="82" t="s">
        <v>29</v>
      </c>
      <c r="R226" s="89" t="s">
        <v>160</v>
      </c>
      <c r="S226" s="82"/>
      <c r="T226" s="82">
        <v>0</v>
      </c>
      <c r="U226" s="82">
        <v>0</v>
      </c>
      <c r="V226" s="82">
        <v>1</v>
      </c>
      <c r="W226" s="90"/>
      <c r="X226" s="90"/>
      <c r="Y226" s="90"/>
    </row>
    <row r="227" spans="1:25" ht="39.6">
      <c r="A227" s="69">
        <v>1</v>
      </c>
      <c r="B227" s="64" t="s">
        <v>1458</v>
      </c>
      <c r="C227" s="11">
        <v>227</v>
      </c>
      <c r="D227" s="65">
        <v>4</v>
      </c>
      <c r="E227" s="66">
        <v>43568</v>
      </c>
      <c r="F227" s="13" t="str">
        <f>HYPERLINK("https://www.liputan6.com/pileg/read/3940546/bawaslu-ajak-emak-emak-dan-komunitas-waria-di-kediri-tolak-money-politik ","sumber")</f>
        <v>sumber</v>
      </c>
      <c r="G227" s="13" t="str">
        <f t="shared" si="27"/>
        <v>lokasi</v>
      </c>
      <c r="H227" s="65">
        <v>348</v>
      </c>
      <c r="I227" s="67">
        <v>2</v>
      </c>
      <c r="J227" s="11">
        <v>3</v>
      </c>
      <c r="K227" s="70" t="s">
        <v>1459</v>
      </c>
      <c r="L227" s="11">
        <v>0</v>
      </c>
      <c r="M227" s="11">
        <v>0</v>
      </c>
      <c r="N227" s="15">
        <v>0</v>
      </c>
      <c r="O227" s="11">
        <v>0</v>
      </c>
      <c r="P227" s="11">
        <v>0</v>
      </c>
      <c r="Q227" s="11" t="s">
        <v>29</v>
      </c>
      <c r="R227" s="11" t="s">
        <v>653</v>
      </c>
      <c r="S227" s="11"/>
      <c r="T227" s="11">
        <v>0</v>
      </c>
      <c r="U227" s="11">
        <v>-1</v>
      </c>
      <c r="V227" s="11">
        <v>1</v>
      </c>
      <c r="W227" s="14"/>
      <c r="X227" s="14"/>
      <c r="Y227" s="14"/>
    </row>
    <row r="228" spans="1:25" ht="26.4">
      <c r="A228" s="80">
        <v>1</v>
      </c>
      <c r="B228" s="93" t="s">
        <v>1460</v>
      </c>
      <c r="C228" s="82">
        <v>228</v>
      </c>
      <c r="D228" s="83">
        <v>5</v>
      </c>
      <c r="E228" s="94" t="s">
        <v>1461</v>
      </c>
      <c r="F228" s="85" t="str">
        <f>HYPERLINK("https://tirto.id/kucumbu-tubuh-indahku-kisah-tentang-manusia-yang-kalah-dnee ","sumber")</f>
        <v>sumber</v>
      </c>
      <c r="G228" s="85" t="str">
        <f t="shared" si="27"/>
        <v>lokasi</v>
      </c>
      <c r="H228" s="95">
        <v>1084</v>
      </c>
      <c r="I228" s="86">
        <v>2</v>
      </c>
      <c r="J228" s="82">
        <v>3</v>
      </c>
      <c r="K228" s="87" t="s">
        <v>1462</v>
      </c>
      <c r="L228" s="82">
        <v>0</v>
      </c>
      <c r="M228" s="82">
        <v>0</v>
      </c>
      <c r="N228" s="88">
        <v>0</v>
      </c>
      <c r="O228" s="82">
        <v>0</v>
      </c>
      <c r="P228" s="82">
        <v>0</v>
      </c>
      <c r="Q228" s="82">
        <v>0</v>
      </c>
      <c r="R228" s="89">
        <v>-1</v>
      </c>
      <c r="S228" s="82"/>
      <c r="T228" s="82">
        <v>0</v>
      </c>
      <c r="U228" s="82">
        <v>0</v>
      </c>
      <c r="V228" s="82">
        <v>1</v>
      </c>
      <c r="W228" s="90"/>
      <c r="X228" s="90"/>
      <c r="Y228" s="90"/>
    </row>
    <row r="229" spans="1:25" ht="13.2">
      <c r="A229" s="80">
        <v>1</v>
      </c>
      <c r="B229" s="93" t="s">
        <v>1463</v>
      </c>
      <c r="C229" s="82">
        <v>229</v>
      </c>
      <c r="D229" s="83">
        <v>9</v>
      </c>
      <c r="E229" s="94" t="s">
        <v>1464</v>
      </c>
      <c r="F229" s="85" t="str">
        <f>HYPERLINK("https://republika.co.id/berita/retizen/surat-pembaca/pqq5s7349/seks-bebas-dan-menyimpang-perlu-solusi-tuntas ","sumber")</f>
        <v>sumber</v>
      </c>
      <c r="G229" s="85" t="str">
        <f t="shared" si="27"/>
        <v>lokasi</v>
      </c>
      <c r="H229" s="95">
        <v>493</v>
      </c>
      <c r="I229" s="86">
        <v>2</v>
      </c>
      <c r="J229" s="82">
        <v>3</v>
      </c>
      <c r="K229" s="87"/>
      <c r="L229" s="82">
        <v>0</v>
      </c>
      <c r="M229" s="82">
        <v>0</v>
      </c>
      <c r="N229" s="88">
        <v>0</v>
      </c>
      <c r="O229" s="82">
        <v>0</v>
      </c>
      <c r="P229" s="82">
        <v>0</v>
      </c>
      <c r="Q229" s="82"/>
      <c r="R229" s="89"/>
      <c r="S229" s="82"/>
      <c r="T229" s="82">
        <v>0</v>
      </c>
      <c r="U229" s="82">
        <v>0</v>
      </c>
      <c r="V229" s="82">
        <v>1</v>
      </c>
      <c r="W229" s="90"/>
      <c r="X229" s="90"/>
      <c r="Y229" s="90"/>
    </row>
    <row r="230" spans="1:25" ht="13.2">
      <c r="A230" s="69">
        <v>1</v>
      </c>
      <c r="B230" s="64" t="s">
        <v>1465</v>
      </c>
      <c r="C230" s="11">
        <v>230</v>
      </c>
      <c r="D230" s="65">
        <v>3</v>
      </c>
      <c r="E230" s="66">
        <v>43571</v>
      </c>
      <c r="F230" s="13" t="str">
        <f>HYPERLINK("https://celebrity.okezone.com/read/2019/04/16/33/2044034/hot-gosip-lucinta-luna-ngaku-datang-bulan-hingga-foto-bayi-wulan-guritno ","sumber")</f>
        <v>sumber</v>
      </c>
      <c r="G230" s="13" t="str">
        <f t="shared" si="27"/>
        <v>lokasi</v>
      </c>
      <c r="H230" s="65">
        <v>612</v>
      </c>
      <c r="I230" s="67">
        <v>2</v>
      </c>
      <c r="J230" s="11">
        <v>3</v>
      </c>
      <c r="K230" s="70" t="s">
        <v>1466</v>
      </c>
      <c r="L230" s="11">
        <v>0</v>
      </c>
      <c r="M230" s="11">
        <v>0</v>
      </c>
      <c r="N230" s="15">
        <v>0</v>
      </c>
      <c r="O230" s="11">
        <v>0</v>
      </c>
      <c r="P230" s="11">
        <v>-1</v>
      </c>
      <c r="Q230" s="11" t="s">
        <v>29</v>
      </c>
      <c r="R230" s="11" t="s">
        <v>30</v>
      </c>
      <c r="S230" s="11"/>
      <c r="T230" s="11">
        <v>0</v>
      </c>
      <c r="U230" s="11">
        <v>-1</v>
      </c>
      <c r="V230" s="11">
        <v>0</v>
      </c>
      <c r="W230" s="14"/>
      <c r="X230" s="14"/>
      <c r="Y230" s="14"/>
    </row>
    <row r="231" spans="1:25" ht="13.2">
      <c r="A231" s="80">
        <v>1</v>
      </c>
      <c r="B231" s="93" t="s">
        <v>1467</v>
      </c>
      <c r="C231" s="82">
        <v>231</v>
      </c>
      <c r="D231" s="83">
        <v>7</v>
      </c>
      <c r="E231" s="84">
        <v>43559</v>
      </c>
      <c r="F231" s="85" t="str">
        <f>HYPERLINK("http://www.tribunnews.com/regional/2019/04/04/5-teman-guru-honorer-korban-mutilasi-dimintai-keterangan-polisi-sebut-saksi-gemulai ","sumber")</f>
        <v>sumber</v>
      </c>
      <c r="G231" s="85" t="str">
        <f t="shared" si="27"/>
        <v>lokasi</v>
      </c>
      <c r="H231" s="83">
        <v>186</v>
      </c>
      <c r="I231" s="86">
        <v>1</v>
      </c>
      <c r="J231" s="82">
        <v>3</v>
      </c>
      <c r="K231" s="87" t="s">
        <v>1468</v>
      </c>
      <c r="L231" s="82">
        <v>0</v>
      </c>
      <c r="M231" s="82">
        <v>-1</v>
      </c>
      <c r="N231" s="88">
        <v>0</v>
      </c>
      <c r="O231" s="82">
        <v>0</v>
      </c>
      <c r="P231" s="82">
        <v>-1</v>
      </c>
      <c r="Q231" s="82">
        <v>-1</v>
      </c>
      <c r="R231" s="89">
        <v>0</v>
      </c>
      <c r="S231" s="82"/>
      <c r="T231" s="82">
        <v>0</v>
      </c>
      <c r="U231" s="82">
        <v>-1</v>
      </c>
      <c r="V231" s="82">
        <v>0</v>
      </c>
      <c r="W231" s="90"/>
      <c r="X231" s="90"/>
      <c r="Y231" s="90"/>
    </row>
    <row r="232" spans="1:25" ht="13.2">
      <c r="A232" s="69">
        <v>1</v>
      </c>
      <c r="B232" s="64" t="s">
        <v>1469</v>
      </c>
      <c r="C232" s="11">
        <v>232</v>
      </c>
      <c r="D232" s="65">
        <v>4</v>
      </c>
      <c r="E232" s="66">
        <v>43576</v>
      </c>
      <c r="F232" s="13" t="str">
        <f>HYPERLINK("https://www.liputan6.com/showbiz/read/3946605/usai-hina-capres-erin-taulany-dibilang-mirip-lucinta-luna ","sumber")</f>
        <v>sumber</v>
      </c>
      <c r="G232" s="13" t="str">
        <f t="shared" si="27"/>
        <v>lokasi</v>
      </c>
      <c r="H232" s="65">
        <v>191</v>
      </c>
      <c r="I232" s="67">
        <v>2</v>
      </c>
      <c r="J232" s="11">
        <v>3</v>
      </c>
      <c r="K232" s="11"/>
      <c r="L232" s="11">
        <v>0</v>
      </c>
      <c r="M232" s="11">
        <v>0</v>
      </c>
      <c r="N232" s="15">
        <v>0</v>
      </c>
      <c r="O232" s="11">
        <v>0</v>
      </c>
      <c r="P232" s="11">
        <v>-1</v>
      </c>
      <c r="Q232" s="11"/>
      <c r="R232" s="11"/>
      <c r="S232" s="11"/>
      <c r="T232" s="11">
        <v>0</v>
      </c>
      <c r="U232" s="11">
        <v>-1</v>
      </c>
      <c r="V232" s="11">
        <v>0</v>
      </c>
      <c r="W232" s="14"/>
      <c r="X232" s="14"/>
      <c r="Y232" s="14"/>
    </row>
    <row r="233" spans="1:25" ht="13.2">
      <c r="A233" s="69">
        <v>1</v>
      </c>
      <c r="B233" s="64" t="s">
        <v>1470</v>
      </c>
      <c r="C233" s="11">
        <v>233</v>
      </c>
      <c r="D233" s="65">
        <v>3</v>
      </c>
      <c r="E233" s="66">
        <v>43577</v>
      </c>
      <c r="F233" s="13" t="str">
        <f>HYPERLINK("https://celebrity.okezone.com/read/2019/04/22/33/2046403/deddy-corbuzier-unggah-video-minta-maaf-ke-lucinta-luna-netizen-terima-kasih-sudah-menghibur ","sumber")</f>
        <v>sumber</v>
      </c>
      <c r="G233" s="13" t="str">
        <f t="shared" si="27"/>
        <v>lokasi</v>
      </c>
      <c r="H233" s="65">
        <v>433</v>
      </c>
      <c r="I233" s="67">
        <v>1</v>
      </c>
      <c r="J233" s="11">
        <v>3</v>
      </c>
      <c r="K233" s="70" t="s">
        <v>1471</v>
      </c>
      <c r="L233" s="11">
        <v>0</v>
      </c>
      <c r="M233" s="28">
        <v>0</v>
      </c>
      <c r="N233" s="15">
        <v>0</v>
      </c>
      <c r="O233" s="11">
        <v>0</v>
      </c>
      <c r="P233" s="11">
        <v>0</v>
      </c>
      <c r="Q233" s="11">
        <v>0</v>
      </c>
      <c r="R233" s="11">
        <v>0</v>
      </c>
      <c r="S233" s="11"/>
      <c r="T233" s="11">
        <v>0</v>
      </c>
      <c r="U233" s="11">
        <v>0</v>
      </c>
      <c r="V233" s="11">
        <v>0</v>
      </c>
      <c r="W233" s="14"/>
      <c r="X233" s="14"/>
      <c r="Y233" s="14"/>
    </row>
    <row r="234" spans="1:25" ht="52.8">
      <c r="A234" s="80">
        <v>1</v>
      </c>
      <c r="B234" s="93" t="s">
        <v>1472</v>
      </c>
      <c r="C234" s="82">
        <v>234</v>
      </c>
      <c r="D234" s="83">
        <v>10</v>
      </c>
      <c r="E234" s="84">
        <v>43558</v>
      </c>
      <c r="F234" s="85" t="str">
        <f>HYPERLINK("https://dunia.tempo.co/read/1192075/brunei-darussalam-mulai-terapkan-hukum-syariah-rajam-dan-cambuk ","sumber")</f>
        <v>sumber</v>
      </c>
      <c r="G234" s="85" t="str">
        <f t="shared" si="27"/>
        <v>lokasi</v>
      </c>
      <c r="H234" s="83">
        <v>514</v>
      </c>
      <c r="I234" s="86">
        <v>4</v>
      </c>
      <c r="J234" s="82">
        <v>3</v>
      </c>
      <c r="K234" s="87" t="s">
        <v>1473</v>
      </c>
      <c r="L234" s="82">
        <v>0</v>
      </c>
      <c r="M234" s="82">
        <v>0</v>
      </c>
      <c r="N234" s="88">
        <v>0</v>
      </c>
      <c r="O234" s="82">
        <v>0</v>
      </c>
      <c r="P234" s="82">
        <v>0</v>
      </c>
      <c r="Q234" s="82" t="s">
        <v>29</v>
      </c>
      <c r="R234" s="89" t="s">
        <v>141</v>
      </c>
      <c r="S234" s="82"/>
      <c r="T234" s="82">
        <v>0</v>
      </c>
      <c r="U234" s="82">
        <v>0</v>
      </c>
      <c r="V234" s="82">
        <v>1</v>
      </c>
      <c r="W234" s="90"/>
      <c r="X234" s="90"/>
      <c r="Y234" s="90"/>
    </row>
    <row r="235" spans="1:25" ht="52.8">
      <c r="A235" s="69">
        <v>1</v>
      </c>
      <c r="B235" s="64" t="s">
        <v>1474</v>
      </c>
      <c r="C235" s="11">
        <v>235</v>
      </c>
      <c r="D235" s="65">
        <v>10</v>
      </c>
      <c r="E235" s="66">
        <v>43581</v>
      </c>
      <c r="F235" s="13" t="str">
        <f>HYPERLINK("https://seleb.tempo.co/read/1199650/film-kucumbu-tubuh-indahku-kembali-mendapat-penolakan ","sumber")</f>
        <v>sumber</v>
      </c>
      <c r="G235" s="13" t="str">
        <f t="shared" si="27"/>
        <v>lokasi</v>
      </c>
      <c r="H235" s="65">
        <v>351</v>
      </c>
      <c r="I235" s="67">
        <v>4</v>
      </c>
      <c r="J235" s="11">
        <v>3</v>
      </c>
      <c r="K235" s="70" t="s">
        <v>1475</v>
      </c>
      <c r="L235" s="11">
        <v>0</v>
      </c>
      <c r="M235" s="11">
        <v>0</v>
      </c>
      <c r="N235" s="15">
        <v>0</v>
      </c>
      <c r="O235" s="11">
        <v>0</v>
      </c>
      <c r="P235" s="11">
        <v>0</v>
      </c>
      <c r="Q235" s="11" t="s">
        <v>21</v>
      </c>
      <c r="R235" s="11" t="s">
        <v>706</v>
      </c>
      <c r="S235" s="11"/>
      <c r="T235" s="11">
        <v>0</v>
      </c>
      <c r="U235" s="11">
        <v>0</v>
      </c>
      <c r="V235" s="11">
        <v>1</v>
      </c>
      <c r="W235" s="14"/>
      <c r="X235" s="14"/>
      <c r="Y235" s="14"/>
    </row>
    <row r="236" spans="1:25" ht="52.8">
      <c r="A236" s="69">
        <v>1</v>
      </c>
      <c r="B236" s="64" t="s">
        <v>1476</v>
      </c>
      <c r="C236" s="11">
        <v>236</v>
      </c>
      <c r="D236" s="65">
        <v>5</v>
      </c>
      <c r="E236" s="66">
        <v>43582</v>
      </c>
      <c r="F236" s="13" t="str">
        <f>HYPERLINK("https://tirto.id/alasan-mui-depok-dukung-larangan-putar-film-kucumbu-tubuh-indahku-dnc6 ","sumber")</f>
        <v>sumber</v>
      </c>
      <c r="G236" s="13" t="str">
        <f t="shared" si="27"/>
        <v>lokasi</v>
      </c>
      <c r="H236" s="65">
        <v>332</v>
      </c>
      <c r="I236" s="67">
        <v>4</v>
      </c>
      <c r="J236" s="11">
        <v>3</v>
      </c>
      <c r="K236" s="70" t="s">
        <v>1477</v>
      </c>
      <c r="L236" s="11">
        <v>0</v>
      </c>
      <c r="M236" s="11">
        <v>0</v>
      </c>
      <c r="N236" s="15">
        <v>0</v>
      </c>
      <c r="O236" s="11">
        <v>0</v>
      </c>
      <c r="P236" s="11">
        <v>0</v>
      </c>
      <c r="Q236" s="11" t="s">
        <v>29</v>
      </c>
      <c r="R236" s="11" t="s">
        <v>653</v>
      </c>
      <c r="S236" s="11"/>
      <c r="T236" s="11">
        <v>0</v>
      </c>
      <c r="U236" s="11">
        <v>0</v>
      </c>
      <c r="V236" s="11">
        <v>1</v>
      </c>
      <c r="W236" s="14"/>
      <c r="X236" s="14"/>
      <c r="Y236" s="14"/>
    </row>
    <row r="237" spans="1:25" ht="52.8">
      <c r="A237" s="69">
        <v>1</v>
      </c>
      <c r="B237" s="64" t="s">
        <v>1478</v>
      </c>
      <c r="C237" s="11">
        <v>237</v>
      </c>
      <c r="D237" s="65">
        <v>7</v>
      </c>
      <c r="E237" s="66">
        <v>43585</v>
      </c>
      <c r="F237" s="13" t="str">
        <f>HYPERLINK("http://www.tribunnews.com/regional/2019/04/30/diduga-ada-tarian-lgbt-massa-bubarkan-peringatan-hari-tari-sedunia-di-taman-digulis-pontianak ","sumber")</f>
        <v>sumber</v>
      </c>
      <c r="G237" s="13" t="str">
        <f t="shared" si="27"/>
        <v>lokasi</v>
      </c>
      <c r="H237" s="65">
        <v>203</v>
      </c>
      <c r="I237" s="67">
        <v>1</v>
      </c>
      <c r="J237" s="11">
        <v>3</v>
      </c>
      <c r="K237" s="70" t="s">
        <v>1479</v>
      </c>
      <c r="L237" s="11">
        <v>0</v>
      </c>
      <c r="M237" s="11">
        <v>1</v>
      </c>
      <c r="N237" s="15">
        <v>0</v>
      </c>
      <c r="O237" s="11">
        <v>0</v>
      </c>
      <c r="P237" s="11">
        <v>0</v>
      </c>
      <c r="Q237" s="11" t="s">
        <v>29</v>
      </c>
      <c r="R237" s="11" t="s">
        <v>141</v>
      </c>
      <c r="S237" s="11"/>
      <c r="T237" s="11">
        <v>0</v>
      </c>
      <c r="U237" s="11">
        <v>-1</v>
      </c>
      <c r="V237" s="11">
        <v>1</v>
      </c>
      <c r="W237" s="14"/>
      <c r="X237" s="14"/>
      <c r="Y237" s="14"/>
    </row>
    <row r="238" spans="1:25" ht="26.4">
      <c r="A238" s="69">
        <v>1</v>
      </c>
      <c r="B238" s="64" t="s">
        <v>1480</v>
      </c>
      <c r="C238" s="11">
        <v>238</v>
      </c>
      <c r="D238" s="65">
        <v>10</v>
      </c>
      <c r="E238" s="66">
        <v>43587</v>
      </c>
      <c r="F238" s="13" t="str">
        <f>HYPERLINK("https://seleb.tempo.co/read/1201169/hari-tari-sedunia-diwarnai-tindak-kekerasan-di-pontianak ","sumber")</f>
        <v>sumber</v>
      </c>
      <c r="G238" s="13" t="str">
        <f t="shared" si="27"/>
        <v>lokasi</v>
      </c>
      <c r="H238" s="65">
        <v>353</v>
      </c>
      <c r="I238" s="67">
        <v>1</v>
      </c>
      <c r="J238" s="11">
        <v>3</v>
      </c>
      <c r="K238" s="70" t="s">
        <v>1481</v>
      </c>
      <c r="L238" s="11">
        <v>0</v>
      </c>
      <c r="M238" s="11">
        <v>-1</v>
      </c>
      <c r="N238" s="15">
        <v>0</v>
      </c>
      <c r="O238" s="11">
        <v>0</v>
      </c>
      <c r="P238" s="11">
        <v>0</v>
      </c>
      <c r="Q238" s="11" t="s">
        <v>29</v>
      </c>
      <c r="R238" s="11" t="s">
        <v>68</v>
      </c>
      <c r="S238" s="11"/>
      <c r="T238" s="11">
        <v>0</v>
      </c>
      <c r="U238" s="11">
        <v>0</v>
      </c>
      <c r="V238" s="11">
        <v>1</v>
      </c>
      <c r="W238" s="14"/>
      <c r="X238" s="14"/>
      <c r="Y238" s="14"/>
    </row>
    <row r="239" spans="1:25" ht="26.4">
      <c r="A239" s="80">
        <v>1</v>
      </c>
      <c r="B239" s="93" t="s">
        <v>1482</v>
      </c>
      <c r="C239" s="82">
        <v>239</v>
      </c>
      <c r="D239" s="83">
        <v>8</v>
      </c>
      <c r="E239" s="84">
        <v>43602</v>
      </c>
      <c r="F239" s="85" t="str">
        <f>HYPERLINK("https://jateng.suara.com/read/2019/05/17/153148/dipecat-karena-gay-pengacara-brigadir-tt-polri-diskriminasi-ke-minoritas ","sumber")</f>
        <v>sumber</v>
      </c>
      <c r="G239" s="85" t="str">
        <f t="shared" si="27"/>
        <v>lokasi</v>
      </c>
      <c r="H239" s="83">
        <v>450</v>
      </c>
      <c r="I239" s="86">
        <v>1</v>
      </c>
      <c r="J239" s="82">
        <v>3</v>
      </c>
      <c r="K239" s="87" t="s">
        <v>1483</v>
      </c>
      <c r="L239" s="82">
        <v>0</v>
      </c>
      <c r="M239" s="28">
        <v>0</v>
      </c>
      <c r="N239" s="88">
        <v>0</v>
      </c>
      <c r="O239" s="82">
        <v>0</v>
      </c>
      <c r="P239" s="82">
        <v>0</v>
      </c>
      <c r="Q239" s="82">
        <v>2</v>
      </c>
      <c r="R239" s="89">
        <v>1</v>
      </c>
      <c r="S239" s="82"/>
      <c r="T239" s="82">
        <v>0</v>
      </c>
      <c r="U239" s="82">
        <v>0</v>
      </c>
      <c r="V239" s="82">
        <v>1</v>
      </c>
      <c r="W239" s="90"/>
      <c r="X239" s="90"/>
      <c r="Y239" s="90"/>
    </row>
    <row r="240" spans="1:25" ht="13.2">
      <c r="A240" s="73">
        <v>2</v>
      </c>
      <c r="B240" s="74" t="s">
        <v>1484</v>
      </c>
      <c r="C240" s="18">
        <v>240</v>
      </c>
      <c r="D240" s="75">
        <v>3</v>
      </c>
      <c r="E240" s="76">
        <v>43592</v>
      </c>
      <c r="F240" s="20" t="str">
        <f>HYPERLINK("https://economy.okezone.com/read/2019/05/07/320/2052511/kppu-soroti-aturan-main-impor-bawang-putih ","sumber")</f>
        <v>sumber</v>
      </c>
      <c r="G240" s="18" t="s">
        <v>1</v>
      </c>
      <c r="H240" s="75">
        <v>867</v>
      </c>
      <c r="I240" s="77"/>
      <c r="J240" s="18">
        <v>3</v>
      </c>
      <c r="K240" s="78"/>
      <c r="L240" s="19"/>
      <c r="M240" s="19"/>
      <c r="N240" s="19"/>
      <c r="O240" s="19"/>
      <c r="P240" s="19"/>
      <c r="Q240" s="18"/>
      <c r="R240" s="79"/>
      <c r="S240" s="18"/>
      <c r="T240" s="19"/>
      <c r="U240" s="19"/>
      <c r="V240" s="19"/>
      <c r="W240" s="19"/>
      <c r="X240" s="19"/>
      <c r="Y240" s="19"/>
    </row>
    <row r="241" spans="1:25" ht="26.4">
      <c r="A241" s="69">
        <v>1</v>
      </c>
      <c r="B241" s="64" t="s">
        <v>758</v>
      </c>
      <c r="C241" s="11">
        <v>241</v>
      </c>
      <c r="D241" s="65">
        <v>1</v>
      </c>
      <c r="E241" s="66">
        <v>43593</v>
      </c>
      <c r="F241" s="13" t="str">
        <f>HYPERLINK("https://news.detik.com/berita-jawa-timur/d-4541167/ini-tanggapan-fpi-surabaya-soal-petisi-tolak-perpanjangan-izin-ormas ","sumber")</f>
        <v>sumber</v>
      </c>
      <c r="G241" s="13" t="str">
        <f t="shared" ref="G241:G243" si="28">HYPERLINK("https://drive.google.com/open?id=15K5sriRJOw0JTPqD9yRZzl0fwZcfdV8X","lokasi")</f>
        <v>lokasi</v>
      </c>
      <c r="H241" s="65">
        <v>392</v>
      </c>
      <c r="I241" s="67">
        <v>4</v>
      </c>
      <c r="J241" s="11">
        <v>3</v>
      </c>
      <c r="K241" s="70" t="s">
        <v>1485</v>
      </c>
      <c r="L241" s="11">
        <v>0</v>
      </c>
      <c r="M241" s="11">
        <v>0</v>
      </c>
      <c r="N241" s="15">
        <v>0</v>
      </c>
      <c r="O241" s="11">
        <v>0</v>
      </c>
      <c r="P241" s="11">
        <v>0</v>
      </c>
      <c r="Q241" s="11">
        <v>0</v>
      </c>
      <c r="R241" s="11">
        <v>-1</v>
      </c>
      <c r="S241" s="11"/>
      <c r="T241" s="11">
        <v>0</v>
      </c>
      <c r="U241" s="11">
        <v>0</v>
      </c>
      <c r="V241" s="11">
        <v>1</v>
      </c>
      <c r="W241" s="14"/>
      <c r="X241" s="14"/>
      <c r="Y241" s="14"/>
    </row>
    <row r="242" spans="1:25" ht="92.4">
      <c r="A242" s="80">
        <v>1</v>
      </c>
      <c r="B242" s="93" t="s">
        <v>1486</v>
      </c>
      <c r="C242" s="82">
        <v>242</v>
      </c>
      <c r="D242" s="83">
        <v>5</v>
      </c>
      <c r="E242" s="94" t="s">
        <v>1487</v>
      </c>
      <c r="F242" s="85" t="str">
        <f>HYPERLINK("https://tirto.id/ratusan-pasangan-sesama-jenis-daftarkan-pernikahan-di-taiwan-dZdK ","sumber")</f>
        <v>sumber</v>
      </c>
      <c r="G242" s="85" t="str">
        <f t="shared" si="28"/>
        <v>lokasi</v>
      </c>
      <c r="H242" s="83">
        <v>406</v>
      </c>
      <c r="I242" s="86">
        <v>4</v>
      </c>
      <c r="J242" s="82">
        <v>3</v>
      </c>
      <c r="K242" s="87" t="s">
        <v>1488</v>
      </c>
      <c r="L242" s="82">
        <v>0</v>
      </c>
      <c r="M242" s="82">
        <v>0</v>
      </c>
      <c r="N242" s="88">
        <v>0</v>
      </c>
      <c r="O242" s="82">
        <v>0</v>
      </c>
      <c r="P242" s="82">
        <v>0</v>
      </c>
      <c r="Q242" s="82" t="s">
        <v>48</v>
      </c>
      <c r="R242" s="89" t="s">
        <v>360</v>
      </c>
      <c r="S242" s="82"/>
      <c r="T242" s="82">
        <v>0</v>
      </c>
      <c r="U242" s="82">
        <v>0</v>
      </c>
      <c r="V242" s="82">
        <v>1</v>
      </c>
      <c r="W242" s="90"/>
      <c r="X242" s="90"/>
      <c r="Y242" s="90"/>
    </row>
    <row r="243" spans="1:25" ht="52.8">
      <c r="A243" s="80">
        <v>1</v>
      </c>
      <c r="B243" s="93" t="s">
        <v>1489</v>
      </c>
      <c r="C243" s="82">
        <v>243</v>
      </c>
      <c r="D243" s="83">
        <v>8</v>
      </c>
      <c r="E243" s="94" t="s">
        <v>1490</v>
      </c>
      <c r="F243" s="85" t="str">
        <f>HYPERLINK("https://www.suara.com/lifestyle/2019/05/18/220500/sah-akhirnya-taiwan-melegalkan-pernikahan-sesama-jenis ","sumber")</f>
        <v>sumber</v>
      </c>
      <c r="G243" s="85" t="str">
        <f t="shared" si="28"/>
        <v>lokasi</v>
      </c>
      <c r="H243" s="83">
        <v>243</v>
      </c>
      <c r="I243" s="86">
        <v>4</v>
      </c>
      <c r="J243" s="82">
        <v>3</v>
      </c>
      <c r="K243" s="87" t="s">
        <v>1491</v>
      </c>
      <c r="L243" s="82">
        <v>0</v>
      </c>
      <c r="M243" s="82">
        <v>0</v>
      </c>
      <c r="N243" s="88">
        <v>0</v>
      </c>
      <c r="O243" s="82">
        <v>0</v>
      </c>
      <c r="P243" s="82">
        <v>0</v>
      </c>
      <c r="Q243" s="82">
        <v>1</v>
      </c>
      <c r="R243" s="89">
        <v>1</v>
      </c>
      <c r="S243" s="82"/>
      <c r="T243" s="82">
        <v>0</v>
      </c>
      <c r="U243" s="82">
        <v>0</v>
      </c>
      <c r="V243" s="82">
        <v>1</v>
      </c>
      <c r="W243" s="90"/>
      <c r="X243" s="90"/>
      <c r="Y243" s="90"/>
    </row>
    <row r="244" spans="1:25" ht="13.2">
      <c r="A244" s="73">
        <v>2</v>
      </c>
      <c r="B244" s="74" t="s">
        <v>1492</v>
      </c>
      <c r="C244" s="18">
        <v>244</v>
      </c>
      <c r="D244" s="75">
        <v>10</v>
      </c>
      <c r="E244" s="76">
        <v>43597</v>
      </c>
      <c r="F244" s="20" t="str">
        <f>HYPERLINK("https://metro.tempo.co/read/1204610/wanita-muda-dibunuh-di-apartemen-habitat-ini-kata-polres-tangsel ","sumber")</f>
        <v>sumber</v>
      </c>
      <c r="G244" s="18" t="s">
        <v>1</v>
      </c>
      <c r="H244" s="75">
        <v>233</v>
      </c>
      <c r="I244" s="77"/>
      <c r="J244" s="18">
        <v>3</v>
      </c>
      <c r="K244" s="78"/>
      <c r="L244" s="19"/>
      <c r="M244" s="19"/>
      <c r="N244" s="19"/>
      <c r="O244" s="19"/>
      <c r="P244" s="19"/>
      <c r="Q244" s="18"/>
      <c r="R244" s="79"/>
      <c r="S244" s="18"/>
      <c r="T244" s="19"/>
      <c r="U244" s="19"/>
      <c r="V244" s="19"/>
      <c r="W244" s="19"/>
      <c r="X244" s="19"/>
      <c r="Y244" s="19"/>
    </row>
    <row r="245" spans="1:25" ht="13.2">
      <c r="A245" s="69">
        <v>1</v>
      </c>
      <c r="B245" s="64" t="s">
        <v>1493</v>
      </c>
      <c r="C245" s="11">
        <v>245</v>
      </c>
      <c r="D245" s="65">
        <v>1</v>
      </c>
      <c r="E245" s="66">
        <v>43601</v>
      </c>
      <c r="F245" s="13" t="str">
        <f>HYPERLINK("https://health.detik.com/berita-detikhealth/d-4552535/pertama-di-dunia-miss-v-transgender-direkonstruksi-dengan-kulit-ikan-nila ","sumber")</f>
        <v>sumber</v>
      </c>
      <c r="G245" s="13" t="str">
        <f t="shared" ref="G245:G252" si="29">HYPERLINK("https://drive.google.com/open?id=15K5sriRJOw0JTPqD9yRZzl0fwZcfdV8X","lokasi")</f>
        <v>lokasi</v>
      </c>
      <c r="H245" s="65">
        <v>371</v>
      </c>
      <c r="I245" s="67">
        <v>2</v>
      </c>
      <c r="J245" s="11">
        <v>3</v>
      </c>
      <c r="K245" s="70" t="s">
        <v>1494</v>
      </c>
      <c r="L245" s="11">
        <v>0</v>
      </c>
      <c r="M245" s="11">
        <v>0</v>
      </c>
      <c r="N245" s="15">
        <v>0</v>
      </c>
      <c r="O245" s="11">
        <v>0</v>
      </c>
      <c r="P245" s="11">
        <v>0</v>
      </c>
      <c r="Q245" s="11" t="s">
        <v>178</v>
      </c>
      <c r="R245" s="11" t="s">
        <v>29</v>
      </c>
      <c r="S245" s="11"/>
      <c r="T245" s="11">
        <v>0</v>
      </c>
      <c r="U245" s="11">
        <v>0</v>
      </c>
      <c r="V245" s="11">
        <v>1</v>
      </c>
      <c r="W245" s="14"/>
      <c r="X245" s="14"/>
      <c r="Y245" s="14"/>
    </row>
    <row r="246" spans="1:25" ht="26.4">
      <c r="A246" s="69">
        <v>1</v>
      </c>
      <c r="B246" s="64" t="s">
        <v>1495</v>
      </c>
      <c r="C246" s="11">
        <v>246</v>
      </c>
      <c r="D246" s="65">
        <v>9</v>
      </c>
      <c r="E246" s="66">
        <v>43602</v>
      </c>
      <c r="F246" s="13" t="str">
        <f>HYPERLINK("https://internasional.republika.co.id/berita/internasional/abc-australia-network/prn8xo366/taiwan-negara-asia-pertama-legalkan-pernikahan-sesama-jenis ","sumber")</f>
        <v>sumber</v>
      </c>
      <c r="G246" s="13" t="str">
        <f t="shared" si="29"/>
        <v>lokasi</v>
      </c>
      <c r="H246" s="65">
        <v>116</v>
      </c>
      <c r="I246" s="67">
        <v>4</v>
      </c>
      <c r="J246" s="11">
        <v>3</v>
      </c>
      <c r="K246" s="70" t="s">
        <v>1496</v>
      </c>
      <c r="L246" s="11">
        <v>0</v>
      </c>
      <c r="M246" s="11">
        <v>0</v>
      </c>
      <c r="N246" s="15">
        <v>0</v>
      </c>
      <c r="O246" s="11">
        <v>0</v>
      </c>
      <c r="P246" s="11">
        <v>0</v>
      </c>
      <c r="Q246" s="11" t="s">
        <v>29</v>
      </c>
      <c r="R246" s="11" t="s">
        <v>748</v>
      </c>
      <c r="S246" s="11"/>
      <c r="T246" s="11">
        <v>0</v>
      </c>
      <c r="U246" s="11">
        <v>0</v>
      </c>
      <c r="V246" s="11">
        <v>1</v>
      </c>
      <c r="W246" s="14"/>
      <c r="X246" s="14"/>
      <c r="Y246" s="14"/>
    </row>
    <row r="247" spans="1:25" ht="26.4">
      <c r="A247" s="69">
        <v>1</v>
      </c>
      <c r="B247" s="64" t="s">
        <v>1497</v>
      </c>
      <c r="C247" s="11">
        <v>247</v>
      </c>
      <c r="D247" s="65">
        <v>3</v>
      </c>
      <c r="E247" s="66">
        <v>43603</v>
      </c>
      <c r="F247" s="13" t="str">
        <f>HYPERLINK("https://news.okezone.com/read/2019/05/18/610/2057371/motif-pembunuhan-siswi-smp-karena-pelaku-kesal-diejek-banci-miskin ","sumber")</f>
        <v>sumber</v>
      </c>
      <c r="G247" s="13" t="str">
        <f t="shared" si="29"/>
        <v>lokasi</v>
      </c>
      <c r="H247" s="65">
        <v>27</v>
      </c>
      <c r="I247" s="67">
        <v>1</v>
      </c>
      <c r="J247" s="11">
        <v>3</v>
      </c>
      <c r="K247" s="70" t="s">
        <v>1498</v>
      </c>
      <c r="L247" s="11">
        <v>0</v>
      </c>
      <c r="M247" s="11">
        <v>-1</v>
      </c>
      <c r="N247" s="15">
        <v>0</v>
      </c>
      <c r="O247" s="11">
        <v>0</v>
      </c>
      <c r="P247" s="11">
        <v>0</v>
      </c>
      <c r="Q247" s="11">
        <v>0</v>
      </c>
      <c r="R247" s="11">
        <v>-1</v>
      </c>
      <c r="S247" s="11"/>
      <c r="T247" s="11">
        <v>0</v>
      </c>
      <c r="U247" s="11">
        <v>-1</v>
      </c>
      <c r="V247" s="11">
        <v>1</v>
      </c>
      <c r="W247" s="14"/>
      <c r="X247" s="14"/>
      <c r="Y247" s="14"/>
    </row>
    <row r="248" spans="1:25" ht="105.6">
      <c r="A248" s="69">
        <v>1</v>
      </c>
      <c r="B248" s="64" t="s">
        <v>1499</v>
      </c>
      <c r="C248" s="11">
        <v>248</v>
      </c>
      <c r="D248" s="65">
        <v>7</v>
      </c>
      <c r="E248" s="66">
        <v>43603</v>
      </c>
      <c r="F248" s="13" t="str">
        <f>HYPERLINK("http://www.tribunnews.com/regional/2019/05/18/pelajar-sma-bunuh-wiwik-wulandari-motifnya-dendam-karena-kerap-diejek-banci ","sumber")</f>
        <v>sumber</v>
      </c>
      <c r="G248" s="13" t="str">
        <f t="shared" si="29"/>
        <v>lokasi</v>
      </c>
      <c r="H248" s="65">
        <v>6</v>
      </c>
      <c r="I248" s="67">
        <v>1</v>
      </c>
      <c r="J248" s="11">
        <v>3</v>
      </c>
      <c r="K248" s="70" t="s">
        <v>1500</v>
      </c>
      <c r="L248" s="11">
        <v>0</v>
      </c>
      <c r="M248" s="28">
        <v>0</v>
      </c>
      <c r="N248" s="11">
        <v>-1</v>
      </c>
      <c r="O248" s="11">
        <v>0</v>
      </c>
      <c r="P248" s="11">
        <v>0</v>
      </c>
      <c r="Q248" s="11" t="s">
        <v>170</v>
      </c>
      <c r="R248" s="11" t="s">
        <v>170</v>
      </c>
      <c r="S248" s="11"/>
      <c r="T248" s="11">
        <v>0</v>
      </c>
      <c r="U248" s="11">
        <v>-1</v>
      </c>
      <c r="V248" s="11">
        <v>0</v>
      </c>
      <c r="W248" s="14"/>
      <c r="X248" s="14"/>
      <c r="Y248" s="14"/>
    </row>
    <row r="249" spans="1:25" ht="13.2">
      <c r="A249" s="69">
        <v>1</v>
      </c>
      <c r="B249" s="64" t="s">
        <v>1501</v>
      </c>
      <c r="C249" s="11">
        <v>249</v>
      </c>
      <c r="D249" s="65">
        <v>2</v>
      </c>
      <c r="E249" s="66">
        <v>43605</v>
      </c>
      <c r="F249" s="13" t="str">
        <f>HYPERLINK("https://www.cnnindonesia.com/internasional/20190520214548-113-396650/taiwan-geram-china-klaim-legalisasi-uu-nikah-sesama-jenis ","sumber")</f>
        <v>sumber</v>
      </c>
      <c r="G249" s="13" t="str">
        <f t="shared" si="29"/>
        <v>lokasi</v>
      </c>
      <c r="H249" s="65">
        <v>372</v>
      </c>
      <c r="I249" s="67">
        <v>4</v>
      </c>
      <c r="J249" s="11">
        <v>3</v>
      </c>
      <c r="K249" s="70" t="s">
        <v>1502</v>
      </c>
      <c r="L249" s="11">
        <v>0</v>
      </c>
      <c r="M249" s="11">
        <v>0</v>
      </c>
      <c r="N249" s="15">
        <v>0</v>
      </c>
      <c r="O249" s="11">
        <v>0</v>
      </c>
      <c r="P249" s="11">
        <v>0</v>
      </c>
      <c r="Q249" s="11">
        <v>0</v>
      </c>
      <c r="R249" s="11">
        <v>1</v>
      </c>
      <c r="S249" s="11"/>
      <c r="T249" s="11">
        <v>0</v>
      </c>
      <c r="U249" s="11">
        <v>0</v>
      </c>
      <c r="V249" s="11">
        <v>1</v>
      </c>
      <c r="W249" s="14"/>
      <c r="X249" s="14"/>
      <c r="Y249" s="14"/>
    </row>
    <row r="250" spans="1:25" ht="79.2">
      <c r="A250" s="69">
        <v>1</v>
      </c>
      <c r="B250" s="64" t="s">
        <v>1503</v>
      </c>
      <c r="C250" s="11">
        <v>250</v>
      </c>
      <c r="D250" s="65">
        <v>1</v>
      </c>
      <c r="E250" s="66">
        <v>43605</v>
      </c>
      <c r="F250" s="13" t="str">
        <f>HYPERLINK("https://news.detik.com/berita/d-4557060/pengacara-minta-komnas-ham-jadi-saksi-ahli-di-sidang-gugatan-tt-polisi-gay ","sumber")</f>
        <v>sumber</v>
      </c>
      <c r="G250" s="13" t="str">
        <f t="shared" si="29"/>
        <v>lokasi</v>
      </c>
      <c r="H250" s="65">
        <v>919</v>
      </c>
      <c r="I250" s="67">
        <v>1</v>
      </c>
      <c r="J250" s="11">
        <v>3</v>
      </c>
      <c r="K250" s="70" t="s">
        <v>1504</v>
      </c>
      <c r="L250" s="11">
        <v>0</v>
      </c>
      <c r="M250" s="11">
        <v>1</v>
      </c>
      <c r="N250" s="15">
        <v>0</v>
      </c>
      <c r="O250" s="11">
        <v>0</v>
      </c>
      <c r="P250" s="11">
        <v>0</v>
      </c>
      <c r="Q250" s="11" t="s">
        <v>792</v>
      </c>
      <c r="R250" s="11" t="s">
        <v>837</v>
      </c>
      <c r="S250" s="11" t="s">
        <v>1397</v>
      </c>
      <c r="T250" s="11">
        <v>1</v>
      </c>
      <c r="U250" s="11">
        <v>0</v>
      </c>
      <c r="V250" s="11">
        <v>1</v>
      </c>
      <c r="W250" s="14"/>
      <c r="X250" s="14"/>
      <c r="Y250" s="14"/>
    </row>
    <row r="251" spans="1:25" ht="26.4">
      <c r="A251" s="69">
        <v>1</v>
      </c>
      <c r="B251" s="64" t="s">
        <v>1505</v>
      </c>
      <c r="C251" s="11">
        <v>251</v>
      </c>
      <c r="D251" s="65">
        <v>7</v>
      </c>
      <c r="E251" s="66">
        <v>43608</v>
      </c>
      <c r="F251" s="13" t="str">
        <f>HYPERLINK("http://www.tribunnews.com/regional/2019/05/23/gugatan-polisi-gay-yang-dipecat-polda-jateng-ditolak-majelis-hakim-ptun-semarang ","sumber")</f>
        <v>sumber</v>
      </c>
      <c r="G251" s="13" t="str">
        <f t="shared" si="29"/>
        <v>lokasi</v>
      </c>
      <c r="H251" s="65">
        <v>277</v>
      </c>
      <c r="I251" s="67">
        <v>1</v>
      </c>
      <c r="J251" s="11">
        <v>3</v>
      </c>
      <c r="K251" s="70" t="s">
        <v>1506</v>
      </c>
      <c r="L251" s="11">
        <v>0</v>
      </c>
      <c r="M251" s="11">
        <v>-1</v>
      </c>
      <c r="N251" s="11">
        <v>-1</v>
      </c>
      <c r="O251" s="11">
        <v>0</v>
      </c>
      <c r="P251" s="11">
        <v>0</v>
      </c>
      <c r="Q251" s="11">
        <v>0</v>
      </c>
      <c r="R251" s="11">
        <v>0</v>
      </c>
      <c r="S251" s="11" t="s">
        <v>1507</v>
      </c>
      <c r="T251" s="11">
        <v>1</v>
      </c>
      <c r="U251" s="11">
        <v>0</v>
      </c>
      <c r="V251" s="11">
        <v>1</v>
      </c>
      <c r="W251" s="14"/>
      <c r="X251" s="14"/>
      <c r="Y251" s="14"/>
    </row>
    <row r="252" spans="1:25" ht="13.2">
      <c r="A252" s="80">
        <v>1</v>
      </c>
      <c r="B252" s="93" t="s">
        <v>1508</v>
      </c>
      <c r="C252" s="82">
        <v>252</v>
      </c>
      <c r="D252" s="83">
        <v>2</v>
      </c>
      <c r="E252" s="84">
        <v>43628</v>
      </c>
      <c r="F252" s="85" t="str">
        <f>HYPERLINK("https://www.cnnindonesia.com/hiburan/20190612094459-220-402595/berkonten-gay-rocketman-dilarang-tayang-di-samoa ","sumber")</f>
        <v>sumber</v>
      </c>
      <c r="G252" s="85" t="str">
        <f t="shared" si="29"/>
        <v>lokasi</v>
      </c>
      <c r="H252" s="83">
        <v>295</v>
      </c>
      <c r="I252" s="86">
        <v>2</v>
      </c>
      <c r="J252" s="82">
        <v>3</v>
      </c>
      <c r="K252" s="87" t="s">
        <v>1509</v>
      </c>
      <c r="L252" s="82">
        <v>0</v>
      </c>
      <c r="M252" s="82">
        <v>0</v>
      </c>
      <c r="N252" s="88">
        <v>0</v>
      </c>
      <c r="O252" s="82">
        <v>0</v>
      </c>
      <c r="P252" s="82">
        <v>0</v>
      </c>
      <c r="Q252" s="82">
        <v>0</v>
      </c>
      <c r="R252" s="89">
        <v>-1</v>
      </c>
      <c r="S252" s="82"/>
      <c r="T252" s="82">
        <v>0</v>
      </c>
      <c r="U252" s="82">
        <v>0</v>
      </c>
      <c r="V252" s="82">
        <v>1</v>
      </c>
      <c r="W252" s="90"/>
      <c r="X252" s="90"/>
      <c r="Y252" s="90"/>
    </row>
    <row r="253" spans="1:25" ht="13.2">
      <c r="A253" s="73">
        <v>2</v>
      </c>
      <c r="B253" s="74" t="s">
        <v>1510</v>
      </c>
      <c r="C253" s="18">
        <v>253</v>
      </c>
      <c r="D253" s="75">
        <v>10</v>
      </c>
      <c r="E253" s="76">
        <v>43618</v>
      </c>
      <c r="F253" s="20" t="str">
        <f>HYPERLINK("https://tekno.tempo.co/read/1211567/manusia-prasejarah-lukis-letusan-gunung-berapi-di-batu ","sumber")</f>
        <v>sumber</v>
      </c>
      <c r="G253" s="18" t="s">
        <v>1</v>
      </c>
      <c r="H253" s="75">
        <v>461</v>
      </c>
      <c r="I253" s="77"/>
      <c r="J253" s="18">
        <v>3</v>
      </c>
      <c r="K253" s="78"/>
      <c r="L253" s="19"/>
      <c r="M253" s="19"/>
      <c r="N253" s="19"/>
      <c r="O253" s="19"/>
      <c r="P253" s="19"/>
      <c r="Q253" s="18"/>
      <c r="R253" s="79"/>
      <c r="S253" s="18"/>
      <c r="T253" s="19"/>
      <c r="U253" s="19"/>
      <c r="V253" s="19"/>
      <c r="W253" s="19"/>
      <c r="X253" s="19"/>
      <c r="Y253" s="19"/>
    </row>
    <row r="254" spans="1:25" ht="13.2">
      <c r="A254" s="73">
        <v>2</v>
      </c>
      <c r="B254" s="74" t="s">
        <v>1511</v>
      </c>
      <c r="C254" s="18">
        <v>254</v>
      </c>
      <c r="D254" s="75">
        <v>3</v>
      </c>
      <c r="E254" s="76">
        <v>43632</v>
      </c>
      <c r="F254" s="20" t="str">
        <f>HYPERLINK("https://celebrity.okezone.com/read/2019/06/14/33/2066514/tak-hanya-elvy-sukaesih-wirdha-3-artis-pernah-berseteru-dengan-sang-ibu ","sumber")</f>
        <v>sumber</v>
      </c>
      <c r="G254" s="18" t="s">
        <v>1</v>
      </c>
      <c r="H254" s="75">
        <v>847</v>
      </c>
      <c r="I254" s="77"/>
      <c r="J254" s="18">
        <v>3</v>
      </c>
      <c r="K254" s="78"/>
      <c r="L254" s="19"/>
      <c r="M254" s="19"/>
      <c r="N254" s="19"/>
      <c r="O254" s="19"/>
      <c r="P254" s="19"/>
      <c r="Q254" s="18"/>
      <c r="R254" s="79"/>
      <c r="S254" s="18"/>
      <c r="T254" s="19"/>
      <c r="U254" s="19"/>
      <c r="V254" s="19"/>
      <c r="W254" s="19"/>
      <c r="X254" s="19"/>
      <c r="Y254" s="19"/>
    </row>
    <row r="255" spans="1:25" ht="13.2">
      <c r="A255" s="69">
        <v>1</v>
      </c>
      <c r="B255" s="64" t="s">
        <v>1512</v>
      </c>
      <c r="C255" s="11">
        <v>255</v>
      </c>
      <c r="D255" s="65">
        <v>2</v>
      </c>
      <c r="E255" s="66">
        <v>43635</v>
      </c>
      <c r="F255" s="13" t="str">
        <f>HYPERLINK("https://www.cnnindonesia.com/hiburan/20190618201106-234-404409/elton-john-akan-terima-penghargaan-dari-presiden-prancis ","sumber")</f>
        <v>sumber</v>
      </c>
      <c r="G255" s="13" t="str">
        <f t="shared" ref="G255:G268" si="30">HYPERLINK("https://drive.google.com/open?id=15K5sriRJOw0JTPqD9yRZzl0fwZcfdV8X","lokasi")</f>
        <v>lokasi</v>
      </c>
      <c r="H255" s="65">
        <v>285</v>
      </c>
      <c r="I255" s="67">
        <v>3</v>
      </c>
      <c r="J255" s="11">
        <v>3</v>
      </c>
      <c r="K255" s="70" t="s">
        <v>1513</v>
      </c>
      <c r="L255" s="11">
        <v>0</v>
      </c>
      <c r="M255" s="11">
        <v>0</v>
      </c>
      <c r="N255" s="15">
        <v>0</v>
      </c>
      <c r="O255" s="11">
        <v>0</v>
      </c>
      <c r="P255" s="11">
        <v>0</v>
      </c>
      <c r="Q255" s="11">
        <v>0</v>
      </c>
      <c r="R255" s="11">
        <v>1</v>
      </c>
      <c r="S255" s="11"/>
      <c r="T255" s="11">
        <v>0</v>
      </c>
      <c r="U255" s="11">
        <v>0</v>
      </c>
      <c r="V255" s="11">
        <v>1</v>
      </c>
      <c r="W255" s="14"/>
      <c r="X255" s="14"/>
      <c r="Y255" s="14"/>
    </row>
    <row r="256" spans="1:25" ht="13.2">
      <c r="A256" s="69">
        <v>1</v>
      </c>
      <c r="B256" s="64" t="s">
        <v>1514</v>
      </c>
      <c r="C256" s="11">
        <v>256</v>
      </c>
      <c r="D256" s="65">
        <v>9</v>
      </c>
      <c r="E256" s="66">
        <v>43635</v>
      </c>
      <c r="F256" s="13" t="str">
        <f>HYPERLINK("https://nasional.republika.co.id/berita/nasional/daerah/ptcllm335/wagub-sumbar-ingin-pelaku-maksiat-diberi-hukum-berat ","sumber")</f>
        <v>sumber</v>
      </c>
      <c r="G256" s="13" t="str">
        <f t="shared" si="30"/>
        <v>lokasi</v>
      </c>
      <c r="H256" s="65">
        <v>305</v>
      </c>
      <c r="I256" s="67">
        <v>4</v>
      </c>
      <c r="J256" s="11">
        <v>3</v>
      </c>
      <c r="K256" s="70" t="s">
        <v>1515</v>
      </c>
      <c r="L256" s="11">
        <v>0</v>
      </c>
      <c r="M256" s="11">
        <v>0</v>
      </c>
      <c r="N256" s="15">
        <v>0</v>
      </c>
      <c r="O256" s="11">
        <v>0</v>
      </c>
      <c r="P256" s="11">
        <v>0</v>
      </c>
      <c r="Q256" s="11">
        <v>0</v>
      </c>
      <c r="R256" s="11">
        <v>-1</v>
      </c>
      <c r="S256" s="11" t="s">
        <v>1516</v>
      </c>
      <c r="T256" s="11">
        <v>1</v>
      </c>
      <c r="U256" s="11">
        <v>0</v>
      </c>
      <c r="V256" s="11">
        <v>1</v>
      </c>
      <c r="W256" s="14"/>
      <c r="X256" s="14"/>
      <c r="Y256" s="14"/>
    </row>
    <row r="257" spans="1:25" ht="171.6">
      <c r="A257" s="80">
        <v>1</v>
      </c>
      <c r="B257" s="93" t="s">
        <v>1517</v>
      </c>
      <c r="C257" s="82">
        <v>257</v>
      </c>
      <c r="D257" s="83">
        <v>5</v>
      </c>
      <c r="E257" s="84">
        <v>43629</v>
      </c>
      <c r="F257" s="85" t="str">
        <f>HYPERLINK("https://tirto.id/macet-semrawut-korupsi-solusi-pemkot-depok-jadi-kota-religius-ecj4 ","sumber")</f>
        <v>sumber</v>
      </c>
      <c r="G257" s="85" t="str">
        <f t="shared" si="30"/>
        <v>lokasi</v>
      </c>
      <c r="H257" s="83">
        <v>1018</v>
      </c>
      <c r="I257" s="86">
        <v>4</v>
      </c>
      <c r="J257" s="82">
        <v>3</v>
      </c>
      <c r="K257" s="87" t="s">
        <v>1518</v>
      </c>
      <c r="L257" s="82">
        <v>0</v>
      </c>
      <c r="M257" s="82">
        <v>0</v>
      </c>
      <c r="N257" s="88">
        <v>0</v>
      </c>
      <c r="O257" s="82">
        <v>0</v>
      </c>
      <c r="P257" s="82">
        <v>0</v>
      </c>
      <c r="Q257" s="82" t="s">
        <v>72</v>
      </c>
      <c r="R257" s="96" t="s">
        <v>1519</v>
      </c>
      <c r="S257" s="82"/>
      <c r="T257" s="82">
        <v>0</v>
      </c>
      <c r="U257" s="82">
        <v>0</v>
      </c>
      <c r="V257" s="82">
        <v>1</v>
      </c>
      <c r="W257" s="90"/>
      <c r="X257" s="90"/>
      <c r="Y257" s="90"/>
    </row>
    <row r="258" spans="1:25" ht="13.2">
      <c r="A258" s="69">
        <v>1</v>
      </c>
      <c r="B258" s="64" t="s">
        <v>1520</v>
      </c>
      <c r="C258" s="11">
        <v>258</v>
      </c>
      <c r="D258" s="65">
        <v>8</v>
      </c>
      <c r="E258" s="66">
        <v>43640</v>
      </c>
      <c r="F258" s="13" t="str">
        <f>HYPERLINK("https://jatim.suara.com/read/2019/06/24/135617/berawal-ajakan-pesta-sabu-kisah-pasangan-lesbian-di-bali-terungkap ","sumber")</f>
        <v>sumber</v>
      </c>
      <c r="G258" s="13" t="str">
        <f t="shared" si="30"/>
        <v>lokasi</v>
      </c>
      <c r="H258" s="65">
        <v>272</v>
      </c>
      <c r="I258" s="67">
        <v>1</v>
      </c>
      <c r="J258" s="11">
        <v>3</v>
      </c>
      <c r="K258" s="70" t="s">
        <v>1521</v>
      </c>
      <c r="L258" s="11">
        <v>0</v>
      </c>
      <c r="M258" s="11">
        <v>-1</v>
      </c>
      <c r="N258" s="15">
        <v>0</v>
      </c>
      <c r="O258" s="11">
        <v>0</v>
      </c>
      <c r="P258" s="11">
        <v>-1</v>
      </c>
      <c r="Q258" s="11">
        <v>0</v>
      </c>
      <c r="R258" s="11">
        <v>0</v>
      </c>
      <c r="S258" s="11" t="s">
        <v>1522</v>
      </c>
      <c r="T258" s="11">
        <v>1</v>
      </c>
      <c r="U258" s="11">
        <v>-1</v>
      </c>
      <c r="V258" s="11">
        <v>0</v>
      </c>
      <c r="W258" s="14"/>
      <c r="X258" s="14"/>
      <c r="Y258" s="14"/>
    </row>
    <row r="259" spans="1:25" ht="13.2">
      <c r="A259" s="69">
        <v>1</v>
      </c>
      <c r="B259" s="64" t="s">
        <v>1523</v>
      </c>
      <c r="C259" s="11">
        <v>259</v>
      </c>
      <c r="D259" s="65">
        <v>6</v>
      </c>
      <c r="E259" s="66">
        <v>43643</v>
      </c>
      <c r="F259" s="13" t="str">
        <f>HYPERLINK("https://internasional.kompas.com/read/2019/06/27/07464391/pangeran-william-mengaku-tak-keberatan-jika-anaknya-menjadi-gay ","sumber")</f>
        <v>sumber</v>
      </c>
      <c r="G259" s="13" t="str">
        <f t="shared" si="30"/>
        <v>lokasi</v>
      </c>
      <c r="H259" s="65">
        <v>478</v>
      </c>
      <c r="I259" s="67">
        <v>2</v>
      </c>
      <c r="J259" s="11">
        <v>3</v>
      </c>
      <c r="K259" s="70" t="s">
        <v>1524</v>
      </c>
      <c r="L259" s="11">
        <v>0</v>
      </c>
      <c r="M259" s="11">
        <v>0</v>
      </c>
      <c r="N259" s="15">
        <v>0</v>
      </c>
      <c r="O259" s="11">
        <v>0</v>
      </c>
      <c r="P259" s="11">
        <v>0</v>
      </c>
      <c r="Q259" s="11">
        <v>0</v>
      </c>
      <c r="R259" s="11">
        <v>1</v>
      </c>
      <c r="S259" s="11"/>
      <c r="T259" s="11">
        <v>0</v>
      </c>
      <c r="U259" s="11">
        <v>0</v>
      </c>
      <c r="V259" s="11">
        <v>0</v>
      </c>
      <c r="W259" s="14"/>
      <c r="X259" s="14"/>
      <c r="Y259" s="14"/>
    </row>
    <row r="260" spans="1:25" ht="13.2">
      <c r="A260" s="69">
        <v>1</v>
      </c>
      <c r="B260" s="64" t="s">
        <v>1525</v>
      </c>
      <c r="C260" s="11">
        <v>260</v>
      </c>
      <c r="D260" s="65">
        <v>10</v>
      </c>
      <c r="E260" s="66">
        <v>43643</v>
      </c>
      <c r="F260" s="13" t="str">
        <f>HYPERLINK("https://cantik.tempo.co/read/1218636/inspirasi-fashion-serba-kulit-ala-lady-gaga ","sumber")</f>
        <v>sumber</v>
      </c>
      <c r="G260" s="13" t="str">
        <f t="shared" si="30"/>
        <v>lokasi</v>
      </c>
      <c r="H260" s="65">
        <v>285</v>
      </c>
      <c r="I260" s="67">
        <v>2</v>
      </c>
      <c r="J260" s="11">
        <v>3</v>
      </c>
      <c r="K260" s="70" t="s">
        <v>1526</v>
      </c>
      <c r="L260" s="11">
        <v>0</v>
      </c>
      <c r="M260" s="11">
        <v>0</v>
      </c>
      <c r="N260" s="15">
        <v>0</v>
      </c>
      <c r="O260" s="11">
        <v>0</v>
      </c>
      <c r="P260" s="11">
        <v>0</v>
      </c>
      <c r="Q260" s="11">
        <v>-1</v>
      </c>
      <c r="R260" s="11">
        <v>0</v>
      </c>
      <c r="S260" s="11"/>
      <c r="T260" s="11">
        <v>0</v>
      </c>
      <c r="U260" s="11">
        <v>-1</v>
      </c>
      <c r="V260" s="11">
        <v>1</v>
      </c>
      <c r="W260" s="14"/>
      <c r="X260" s="14"/>
      <c r="Y260" s="14"/>
    </row>
    <row r="261" spans="1:25" ht="13.2">
      <c r="A261" s="80">
        <v>1</v>
      </c>
      <c r="B261" s="93" t="s">
        <v>1527</v>
      </c>
      <c r="C261" s="82">
        <v>261</v>
      </c>
      <c r="D261" s="83">
        <v>7</v>
      </c>
      <c r="E261" s="84">
        <v>43629</v>
      </c>
      <c r="F261" s="85" t="str">
        <f>HYPERLINK("http://www.tribunnews.com/internasional/2019/06/13/video-homoseksual-menteri-malaysia-tersebar-pelaku-dia-memaksa-saya ","sumber")</f>
        <v>sumber</v>
      </c>
      <c r="G261" s="85" t="str">
        <f t="shared" si="30"/>
        <v>lokasi</v>
      </c>
      <c r="H261" s="83">
        <v>162</v>
      </c>
      <c r="I261" s="86">
        <v>1</v>
      </c>
      <c r="J261" s="82">
        <v>3</v>
      </c>
      <c r="K261" s="87" t="s">
        <v>1528</v>
      </c>
      <c r="L261" s="82">
        <v>0</v>
      </c>
      <c r="M261" s="82">
        <v>-1</v>
      </c>
      <c r="N261" s="88">
        <v>0</v>
      </c>
      <c r="O261" s="82">
        <v>0</v>
      </c>
      <c r="P261" s="82">
        <v>0</v>
      </c>
      <c r="Q261" s="82">
        <v>2</v>
      </c>
      <c r="R261" s="89">
        <v>0</v>
      </c>
      <c r="S261" s="82"/>
      <c r="T261" s="82">
        <v>0</v>
      </c>
      <c r="U261" s="82">
        <v>0</v>
      </c>
      <c r="V261" s="82">
        <v>0</v>
      </c>
      <c r="W261" s="90"/>
      <c r="X261" s="90"/>
      <c r="Y261" s="90"/>
    </row>
    <row r="262" spans="1:25" ht="26.4">
      <c r="A262" s="69">
        <v>1</v>
      </c>
      <c r="B262" s="64" t="s">
        <v>1529</v>
      </c>
      <c r="C262" s="11">
        <v>262</v>
      </c>
      <c r="D262" s="65">
        <v>1</v>
      </c>
      <c r="E262" s="66">
        <v>43645</v>
      </c>
      <c r="F262" s="13" t="str">
        <f>HYPERLINK("https://news.detik.com/berita/d-4604965/polda-sulsel-tangkap-perampok-yang-bunuh-waria-di-biak-numfor-papua ","sumber")</f>
        <v>sumber</v>
      </c>
      <c r="G262" s="13" t="str">
        <f t="shared" si="30"/>
        <v>lokasi</v>
      </c>
      <c r="H262" s="65">
        <v>275</v>
      </c>
      <c r="I262" s="67">
        <v>1</v>
      </c>
      <c r="J262" s="11">
        <v>3</v>
      </c>
      <c r="K262" s="70" t="s">
        <v>1530</v>
      </c>
      <c r="L262" s="11">
        <v>0</v>
      </c>
      <c r="M262" s="28">
        <v>0</v>
      </c>
      <c r="N262" s="11">
        <v>-1</v>
      </c>
      <c r="O262" s="11">
        <v>0</v>
      </c>
      <c r="P262" s="11">
        <v>0</v>
      </c>
      <c r="Q262" s="11">
        <v>0</v>
      </c>
      <c r="R262" s="11">
        <v>0</v>
      </c>
      <c r="S262" s="11"/>
      <c r="T262" s="11">
        <v>0</v>
      </c>
      <c r="U262" s="11">
        <v>-1</v>
      </c>
      <c r="V262" s="11">
        <v>1</v>
      </c>
      <c r="W262" s="14"/>
      <c r="X262" s="14"/>
      <c r="Y262" s="14"/>
    </row>
    <row r="263" spans="1:25" ht="26.4">
      <c r="A263" s="69">
        <v>1</v>
      </c>
      <c r="B263" s="64" t="s">
        <v>1531</v>
      </c>
      <c r="C263" s="11">
        <v>263</v>
      </c>
      <c r="D263" s="65">
        <v>1</v>
      </c>
      <c r="E263" s="66">
        <v>43646</v>
      </c>
      <c r="F263" s="13" t="str">
        <f>HYPERLINK("https://hot.detik.com/celeb/d-4605550/onadio-eks-killing-me-inside-resmi-nikah-ini-lo-istri-cantiknya ","sumber")</f>
        <v>sumber</v>
      </c>
      <c r="G263" s="13" t="str">
        <f t="shared" si="30"/>
        <v>lokasi</v>
      </c>
      <c r="H263" s="65">
        <v>344</v>
      </c>
      <c r="I263" s="67">
        <v>2</v>
      </c>
      <c r="J263" s="11">
        <v>3</v>
      </c>
      <c r="K263" s="70" t="s">
        <v>1532</v>
      </c>
      <c r="L263" s="11">
        <v>0</v>
      </c>
      <c r="M263" s="11">
        <v>0</v>
      </c>
      <c r="N263" s="15">
        <v>0</v>
      </c>
      <c r="O263" s="11">
        <v>0</v>
      </c>
      <c r="P263" s="11">
        <v>0</v>
      </c>
      <c r="Q263" s="11">
        <v>0</v>
      </c>
      <c r="R263" s="11">
        <v>1</v>
      </c>
      <c r="S263" s="11" t="s">
        <v>1533</v>
      </c>
      <c r="T263" s="11">
        <v>1</v>
      </c>
      <c r="U263" s="11">
        <v>0</v>
      </c>
      <c r="V263" s="11">
        <v>0</v>
      </c>
      <c r="W263" s="14"/>
      <c r="X263" s="14"/>
      <c r="Y263" s="14"/>
    </row>
    <row r="264" spans="1:25" ht="39.6">
      <c r="A264" s="69">
        <v>1</v>
      </c>
      <c r="B264" s="64" t="s">
        <v>1534</v>
      </c>
      <c r="C264" s="11">
        <v>264</v>
      </c>
      <c r="D264" s="65">
        <v>8</v>
      </c>
      <c r="E264" s="66">
        <v>43650</v>
      </c>
      <c r="F264" s="13" t="str">
        <f>HYPERLINK("https://jatim.suara.com/read/2019/07/04/215429/salon-milik-waria-dibobol-maling-pretty-lemas-uang-rp-36-juta-lenyap ","sumber")</f>
        <v>sumber</v>
      </c>
      <c r="G264" s="13" t="str">
        <f t="shared" si="30"/>
        <v>lokasi</v>
      </c>
      <c r="H264" s="65">
        <v>308</v>
      </c>
      <c r="I264" s="67">
        <v>1</v>
      </c>
      <c r="J264" s="11">
        <v>3</v>
      </c>
      <c r="K264" s="70" t="s">
        <v>1535</v>
      </c>
      <c r="L264" s="11">
        <v>0</v>
      </c>
      <c r="M264" s="28">
        <v>0</v>
      </c>
      <c r="N264" s="15">
        <v>0</v>
      </c>
      <c r="O264" s="11">
        <v>0</v>
      </c>
      <c r="P264" s="11">
        <v>-1</v>
      </c>
      <c r="Q264" s="11" t="s">
        <v>29</v>
      </c>
      <c r="R264" s="11" t="s">
        <v>29</v>
      </c>
      <c r="S264" s="11"/>
      <c r="T264" s="11">
        <v>0</v>
      </c>
      <c r="U264" s="11">
        <v>-1</v>
      </c>
      <c r="V264" s="11">
        <v>1</v>
      </c>
      <c r="W264" s="14"/>
      <c r="X264" s="14"/>
      <c r="Y264" s="14"/>
    </row>
    <row r="265" spans="1:25" ht="92.4">
      <c r="A265" s="80">
        <v>1</v>
      </c>
      <c r="B265" s="93" t="s">
        <v>1536</v>
      </c>
      <c r="C265" s="82">
        <v>265</v>
      </c>
      <c r="D265" s="83">
        <v>10</v>
      </c>
      <c r="E265" s="84">
        <v>43671</v>
      </c>
      <c r="F265" s="85" t="str">
        <f>HYPERLINK("https://metro.tempo.co/read/1228494/perda-anti-lgbt-di-depok-anggota-dprd-pertanyakan-banyak-hal ","sumber")</f>
        <v>sumber</v>
      </c>
      <c r="G265" s="85" t="str">
        <f t="shared" si="30"/>
        <v>lokasi</v>
      </c>
      <c r="H265" s="83">
        <v>30</v>
      </c>
      <c r="I265" s="86">
        <v>4</v>
      </c>
      <c r="J265" s="82">
        <v>3</v>
      </c>
      <c r="K265" s="87" t="s">
        <v>1537</v>
      </c>
      <c r="L265" s="82">
        <v>0</v>
      </c>
      <c r="M265" s="82">
        <v>0</v>
      </c>
      <c r="N265" s="88">
        <v>0</v>
      </c>
      <c r="O265" s="82">
        <v>0</v>
      </c>
      <c r="P265" s="82">
        <v>0</v>
      </c>
      <c r="Q265" s="82" t="s">
        <v>21</v>
      </c>
      <c r="R265" s="89" t="s">
        <v>360</v>
      </c>
      <c r="S265" s="82"/>
      <c r="T265" s="82">
        <v>0</v>
      </c>
      <c r="U265" s="82">
        <v>0</v>
      </c>
      <c r="V265" s="82">
        <v>1</v>
      </c>
      <c r="W265" s="90"/>
      <c r="X265" s="90"/>
      <c r="Y265" s="90"/>
    </row>
    <row r="266" spans="1:25" ht="13.2">
      <c r="A266" s="80">
        <v>1</v>
      </c>
      <c r="B266" s="93" t="s">
        <v>1538</v>
      </c>
      <c r="C266" s="82">
        <v>266</v>
      </c>
      <c r="D266" s="83">
        <v>6</v>
      </c>
      <c r="E266" s="84">
        <v>43655</v>
      </c>
      <c r="F266" s="85" t="str">
        <f>HYPERLINK("https://olahraga.kompas.com/read/2019/07/09/23505848/rapinoe-berpeluang-jadi-presiden-as-lgbt-pertama ","sumber")</f>
        <v>sumber</v>
      </c>
      <c r="G266" s="85" t="str">
        <f t="shared" si="30"/>
        <v>lokasi</v>
      </c>
      <c r="H266" s="83">
        <v>273</v>
      </c>
      <c r="I266" s="86">
        <v>2</v>
      </c>
      <c r="J266" s="82">
        <v>3</v>
      </c>
      <c r="K266" s="87" t="s">
        <v>1539</v>
      </c>
      <c r="L266" s="82">
        <v>0</v>
      </c>
      <c r="M266" s="82">
        <v>0</v>
      </c>
      <c r="N266" s="88">
        <v>0</v>
      </c>
      <c r="O266" s="82">
        <v>0</v>
      </c>
      <c r="P266" s="82">
        <v>0</v>
      </c>
      <c r="Q266" s="82">
        <v>2</v>
      </c>
      <c r="R266" s="89">
        <v>1</v>
      </c>
      <c r="S266" s="82"/>
      <c r="T266" s="82">
        <v>0</v>
      </c>
      <c r="U266" s="82">
        <v>0</v>
      </c>
      <c r="V266" s="82">
        <v>1</v>
      </c>
      <c r="W266" s="90"/>
      <c r="X266" s="90"/>
      <c r="Y266" s="90"/>
    </row>
    <row r="267" spans="1:25" ht="26.4">
      <c r="A267" s="69">
        <v>1</v>
      </c>
      <c r="B267" s="64" t="s">
        <v>1540</v>
      </c>
      <c r="C267" s="11">
        <v>267</v>
      </c>
      <c r="D267" s="65">
        <v>10</v>
      </c>
      <c r="E267" s="66">
        <v>43656</v>
      </c>
      <c r="F267" s="13" t="str">
        <f>HYPERLINK("https://dunia.tempo.co/read/1223058/parlemen-ingin-irlandia-utara-sahkan-pernikahan-sesama-jenis ","sumber")</f>
        <v>sumber</v>
      </c>
      <c r="G267" s="13" t="str">
        <f t="shared" si="30"/>
        <v>lokasi</v>
      </c>
      <c r="H267" s="65">
        <v>336</v>
      </c>
      <c r="I267" s="67">
        <v>4</v>
      </c>
      <c r="J267" s="11">
        <v>3</v>
      </c>
      <c r="K267" s="70" t="s">
        <v>1541</v>
      </c>
      <c r="L267" s="11">
        <v>0</v>
      </c>
      <c r="M267" s="11">
        <v>0</v>
      </c>
      <c r="N267" s="15">
        <v>0</v>
      </c>
      <c r="O267" s="11">
        <v>0</v>
      </c>
      <c r="P267" s="11">
        <v>0</v>
      </c>
      <c r="Q267" s="11">
        <v>2</v>
      </c>
      <c r="R267" s="11">
        <v>1</v>
      </c>
      <c r="S267" s="11"/>
      <c r="T267" s="11">
        <v>0</v>
      </c>
      <c r="U267" s="11">
        <v>0</v>
      </c>
      <c r="V267" s="11">
        <v>1</v>
      </c>
      <c r="W267" s="14"/>
      <c r="X267" s="14"/>
      <c r="Y267" s="14"/>
    </row>
    <row r="268" spans="1:25" ht="39.6">
      <c r="A268" s="80">
        <v>1</v>
      </c>
      <c r="B268" s="93" t="s">
        <v>1542</v>
      </c>
      <c r="C268" s="82">
        <v>268</v>
      </c>
      <c r="D268" s="83">
        <v>5</v>
      </c>
      <c r="E268" s="84">
        <v>43657</v>
      </c>
      <c r="F268" s="85" t="str">
        <f>HYPERLINK("https://tirto.id/ditjen-pas-kemenkumham-akan-pisahkan-napi-lgbt-ed3L ","sumber")</f>
        <v>sumber</v>
      </c>
      <c r="G268" s="85" t="str">
        <f t="shared" si="30"/>
        <v>lokasi</v>
      </c>
      <c r="H268" s="83">
        <v>316</v>
      </c>
      <c r="I268" s="86">
        <v>4</v>
      </c>
      <c r="J268" s="82">
        <v>3</v>
      </c>
      <c r="K268" s="87" t="s">
        <v>1543</v>
      </c>
      <c r="L268" s="82">
        <v>0</v>
      </c>
      <c r="M268" s="82">
        <v>0</v>
      </c>
      <c r="N268" s="88">
        <v>0</v>
      </c>
      <c r="O268" s="82">
        <v>0</v>
      </c>
      <c r="P268" s="82">
        <v>0</v>
      </c>
      <c r="Q268" s="82">
        <v>0</v>
      </c>
      <c r="R268" s="89">
        <v>-1</v>
      </c>
      <c r="S268" s="82"/>
      <c r="T268" s="82">
        <v>0</v>
      </c>
      <c r="U268" s="82">
        <v>-1</v>
      </c>
      <c r="V268" s="82">
        <v>1</v>
      </c>
      <c r="W268" s="90"/>
      <c r="X268" s="90"/>
      <c r="Y268" s="90"/>
    </row>
    <row r="269" spans="1:25" ht="13.2">
      <c r="A269" s="73">
        <v>2</v>
      </c>
      <c r="B269" s="74" t="s">
        <v>1544</v>
      </c>
      <c r="C269" s="18">
        <v>269</v>
      </c>
      <c r="D269" s="75">
        <v>1</v>
      </c>
      <c r="E269" s="76">
        <v>43659</v>
      </c>
      <c r="F269" s="20" t="str">
        <f>HYPERLINK("https://hot.detik.com/movie/d-4622775/avengers-endgame-rilis-lagi-siapa-aktor-yang-untung ","sumber")</f>
        <v>sumber</v>
      </c>
      <c r="G269" s="18" t="s">
        <v>1</v>
      </c>
      <c r="H269" s="75">
        <v>1763</v>
      </c>
      <c r="I269" s="77"/>
      <c r="J269" s="18">
        <v>3</v>
      </c>
      <c r="K269" s="78"/>
      <c r="L269" s="19"/>
      <c r="M269" s="19"/>
      <c r="N269" s="19"/>
      <c r="O269" s="19"/>
      <c r="P269" s="19"/>
      <c r="Q269" s="18"/>
      <c r="R269" s="79"/>
      <c r="S269" s="18"/>
      <c r="T269" s="19"/>
      <c r="U269" s="19"/>
      <c r="V269" s="19"/>
      <c r="W269" s="19"/>
      <c r="X269" s="19"/>
      <c r="Y269" s="19"/>
    </row>
    <row r="270" spans="1:25" ht="13.2">
      <c r="A270" s="73">
        <v>2</v>
      </c>
      <c r="B270" s="74" t="s">
        <v>1545</v>
      </c>
      <c r="C270" s="18">
        <v>270</v>
      </c>
      <c r="D270" s="75">
        <v>9</v>
      </c>
      <c r="E270" s="76">
        <v>43666</v>
      </c>
      <c r="F270" s="20" t="str">
        <f>HYPERLINK("https://senggang.republika.co.id/berita/puwn73335/indro-warkop-sayangkan-nunung-gunakan-narkoba ","sumber")</f>
        <v>sumber</v>
      </c>
      <c r="G270" s="18" t="s">
        <v>1</v>
      </c>
      <c r="H270" s="75">
        <v>239</v>
      </c>
      <c r="I270" s="77"/>
      <c r="J270" s="18">
        <v>3</v>
      </c>
      <c r="K270" s="78"/>
      <c r="L270" s="19"/>
      <c r="M270" s="19"/>
      <c r="N270" s="19"/>
      <c r="O270" s="19"/>
      <c r="P270" s="19"/>
      <c r="Q270" s="18"/>
      <c r="R270" s="79"/>
      <c r="S270" s="18"/>
      <c r="T270" s="19"/>
      <c r="U270" s="19"/>
      <c r="V270" s="19"/>
      <c r="W270" s="19"/>
      <c r="X270" s="19"/>
      <c r="Y270" s="19"/>
    </row>
    <row r="271" spans="1:25" ht="39.6">
      <c r="A271" s="69">
        <v>1</v>
      </c>
      <c r="B271" s="64" t="s">
        <v>1546</v>
      </c>
      <c r="C271" s="11">
        <v>271</v>
      </c>
      <c r="D271" s="65">
        <v>10</v>
      </c>
      <c r="E271" s="66">
        <v>43666</v>
      </c>
      <c r="F271" s="13" t="str">
        <f>HYPERLINK("https://metro.tempo.co/read/1226597/dprd-depok-kembali-usulkan-pembahasan-raperda-anti-lgbt ","sumber")</f>
        <v>sumber</v>
      </c>
      <c r="G271" s="13" t="str">
        <f t="shared" ref="G271:G274" si="31">HYPERLINK("https://drive.google.com/open?id=15K5sriRJOw0JTPqD9yRZzl0fwZcfdV8X","lokasi")</f>
        <v>lokasi</v>
      </c>
      <c r="H271" s="65">
        <v>184</v>
      </c>
      <c r="I271" s="67">
        <v>4</v>
      </c>
      <c r="J271" s="11">
        <v>3</v>
      </c>
      <c r="K271" s="70" t="s">
        <v>1547</v>
      </c>
      <c r="L271" s="11">
        <v>0</v>
      </c>
      <c r="M271" s="11">
        <v>-1</v>
      </c>
      <c r="N271" s="15">
        <v>0</v>
      </c>
      <c r="O271" s="11">
        <v>0</v>
      </c>
      <c r="P271" s="11">
        <v>0</v>
      </c>
      <c r="Q271" s="11" t="s">
        <v>29</v>
      </c>
      <c r="R271" s="11" t="s">
        <v>653</v>
      </c>
      <c r="S271" s="11"/>
      <c r="T271" s="11">
        <v>0</v>
      </c>
      <c r="U271" s="11">
        <v>0</v>
      </c>
      <c r="V271" s="11">
        <v>1</v>
      </c>
      <c r="W271" s="14"/>
      <c r="X271" s="14"/>
      <c r="Y271" s="14"/>
    </row>
    <row r="272" spans="1:25" ht="39.6">
      <c r="A272" s="80">
        <v>1</v>
      </c>
      <c r="B272" s="93" t="s">
        <v>1548</v>
      </c>
      <c r="C272" s="82">
        <v>272</v>
      </c>
      <c r="D272" s="83">
        <v>1</v>
      </c>
      <c r="E272" s="84">
        <v>43647</v>
      </c>
      <c r="F272" s="85" t="str">
        <f>HYPERLINK("https://news.detik.com/berita/d-4606921/dprd-soroti-kontes-waria-di-pangkalpinang ","sumber")</f>
        <v>sumber</v>
      </c>
      <c r="G272" s="85" t="str">
        <f t="shared" si="31"/>
        <v>lokasi</v>
      </c>
      <c r="H272" s="83">
        <v>211</v>
      </c>
      <c r="I272" s="86">
        <v>3</v>
      </c>
      <c r="J272" s="82">
        <v>3</v>
      </c>
      <c r="K272" s="87" t="s">
        <v>1549</v>
      </c>
      <c r="L272" s="82">
        <v>0</v>
      </c>
      <c r="M272" s="82">
        <v>0</v>
      </c>
      <c r="N272" s="88">
        <v>0</v>
      </c>
      <c r="O272" s="82">
        <v>0</v>
      </c>
      <c r="P272" s="82">
        <v>0</v>
      </c>
      <c r="Q272" s="82">
        <v>0</v>
      </c>
      <c r="R272" s="89">
        <v>-1</v>
      </c>
      <c r="S272" s="82"/>
      <c r="T272" s="82">
        <v>0</v>
      </c>
      <c r="U272" s="82">
        <v>0</v>
      </c>
      <c r="V272" s="82">
        <v>1</v>
      </c>
      <c r="W272" s="90"/>
      <c r="X272" s="90"/>
      <c r="Y272" s="90"/>
    </row>
    <row r="273" spans="1:25" ht="52.8">
      <c r="A273" s="69">
        <v>1</v>
      </c>
      <c r="B273" s="64" t="s">
        <v>1550</v>
      </c>
      <c r="C273" s="11">
        <v>273</v>
      </c>
      <c r="D273" s="65">
        <v>2</v>
      </c>
      <c r="E273" s="66">
        <v>43670</v>
      </c>
      <c r="F273" s="13" t="str">
        <f>HYPERLINK("https://www.cnnindonesia.com/hiburan/20190723215406-220-414911/marvel-tonjolkan-lebih-banyak-keberagaman-di-masa-depan ","sumber")</f>
        <v>sumber</v>
      </c>
      <c r="G273" s="13" t="str">
        <f t="shared" si="31"/>
        <v>lokasi</v>
      </c>
      <c r="H273" s="65">
        <v>678</v>
      </c>
      <c r="I273" s="67">
        <v>2</v>
      </c>
      <c r="J273" s="11">
        <v>3</v>
      </c>
      <c r="K273" s="70" t="s">
        <v>1551</v>
      </c>
      <c r="L273" s="11">
        <v>0</v>
      </c>
      <c r="M273" s="11">
        <v>0</v>
      </c>
      <c r="N273" s="15">
        <v>0</v>
      </c>
      <c r="O273" s="11">
        <v>0</v>
      </c>
      <c r="P273" s="11">
        <v>0</v>
      </c>
      <c r="Q273" s="11" t="s">
        <v>21</v>
      </c>
      <c r="R273" s="11" t="s">
        <v>1552</v>
      </c>
      <c r="S273" s="11"/>
      <c r="T273" s="11">
        <v>0</v>
      </c>
      <c r="U273" s="11">
        <v>0</v>
      </c>
      <c r="V273" s="11">
        <v>1</v>
      </c>
      <c r="W273" s="14"/>
      <c r="X273" s="14"/>
      <c r="Y273" s="14"/>
    </row>
    <row r="274" spans="1:25" ht="79.2">
      <c r="A274" s="69">
        <v>1</v>
      </c>
      <c r="B274" s="64" t="s">
        <v>1553</v>
      </c>
      <c r="C274" s="11">
        <v>274</v>
      </c>
      <c r="D274" s="65">
        <v>4</v>
      </c>
      <c r="E274" s="66">
        <v>43670</v>
      </c>
      <c r="F274" s="13" t="str">
        <f>HYPERLINK("https://www.liputan6.com/health/read/4019363/kenali-cara-penularan-virus-hepatitis-a-hepatitis-b-dan-hepatitis-c ","sumber")</f>
        <v>sumber</v>
      </c>
      <c r="G274" s="13" t="str">
        <f t="shared" si="31"/>
        <v>lokasi</v>
      </c>
      <c r="H274" s="65">
        <v>419</v>
      </c>
      <c r="I274" s="67">
        <v>2</v>
      </c>
      <c r="J274" s="11">
        <v>3</v>
      </c>
      <c r="K274" s="70" t="s">
        <v>1554</v>
      </c>
      <c r="L274" s="11">
        <v>0</v>
      </c>
      <c r="M274" s="11">
        <v>0</v>
      </c>
      <c r="N274" s="15">
        <v>0</v>
      </c>
      <c r="O274" s="11">
        <v>0</v>
      </c>
      <c r="P274" s="11">
        <v>0</v>
      </c>
      <c r="Q274" s="11" t="s">
        <v>29</v>
      </c>
      <c r="R274" s="11" t="s">
        <v>53</v>
      </c>
      <c r="S274" s="11"/>
      <c r="T274" s="11">
        <v>0</v>
      </c>
      <c r="U274" s="11">
        <v>-1</v>
      </c>
      <c r="V274" s="11">
        <v>1</v>
      </c>
      <c r="W274" s="14"/>
      <c r="X274" s="14"/>
      <c r="Y274" s="14"/>
    </row>
    <row r="275" spans="1:25" ht="13.2">
      <c r="A275" s="73">
        <v>2</v>
      </c>
      <c r="B275" s="74" t="s">
        <v>1555</v>
      </c>
      <c r="C275" s="18">
        <v>275</v>
      </c>
      <c r="D275" s="75">
        <v>3</v>
      </c>
      <c r="E275" s="76">
        <v>43680</v>
      </c>
      <c r="F275" s="20" t="str">
        <f>HYPERLINK("https://nasional.okezone.com/read/2019/08/03/337/2087270/90-persen-pelaku-kejahatan-seksual-pada-anak-merupakan-orang-terdekat ","sumber")</f>
        <v>sumber</v>
      </c>
      <c r="G275" s="18" t="s">
        <v>1</v>
      </c>
      <c r="H275" s="75">
        <v>190</v>
      </c>
      <c r="I275" s="91"/>
      <c r="J275" s="18">
        <v>3</v>
      </c>
      <c r="K275" s="78"/>
      <c r="L275" s="19"/>
      <c r="M275" s="19"/>
      <c r="N275" s="19"/>
      <c r="O275" s="19"/>
      <c r="P275" s="19"/>
      <c r="Q275" s="18"/>
      <c r="R275" s="79"/>
      <c r="S275" s="18"/>
      <c r="T275" s="19"/>
      <c r="U275" s="19"/>
      <c r="V275" s="19"/>
      <c r="W275" s="19"/>
      <c r="X275" s="19"/>
      <c r="Y275" s="19"/>
    </row>
    <row r="276" spans="1:25" ht="39.6">
      <c r="A276" s="80">
        <v>1</v>
      </c>
      <c r="B276" s="93" t="s">
        <v>1556</v>
      </c>
      <c r="C276" s="82">
        <v>276</v>
      </c>
      <c r="D276" s="83">
        <v>10</v>
      </c>
      <c r="E276" s="84">
        <v>43680</v>
      </c>
      <c r="F276" s="85" t="str">
        <f>HYPERLINK("https://nasional.tempo.co/read/1231857/komik-tni-singgung-lgbt-dan-hivaids-menuai-kritik ","sumber")</f>
        <v>sumber</v>
      </c>
      <c r="G276" s="85" t="str">
        <f t="shared" ref="G276:G278" si="32">HYPERLINK("https://drive.google.com/open?id=15K5sriRJOw0JTPqD9yRZzl0fwZcfdV8X","lokasi")</f>
        <v>lokasi</v>
      </c>
      <c r="H276" s="83">
        <v>350</v>
      </c>
      <c r="I276" s="86">
        <v>2</v>
      </c>
      <c r="J276" s="82">
        <v>3</v>
      </c>
      <c r="K276" s="87" t="s">
        <v>1557</v>
      </c>
      <c r="L276" s="82">
        <v>0</v>
      </c>
      <c r="M276" s="82">
        <v>0</v>
      </c>
      <c r="N276" s="88">
        <v>0</v>
      </c>
      <c r="O276" s="82">
        <v>0</v>
      </c>
      <c r="P276" s="82">
        <v>0</v>
      </c>
      <c r="Q276" s="82" t="s">
        <v>68</v>
      </c>
      <c r="R276" s="89" t="s">
        <v>160</v>
      </c>
      <c r="S276" s="82"/>
      <c r="T276" s="82">
        <v>0</v>
      </c>
      <c r="U276" s="82">
        <v>0</v>
      </c>
      <c r="V276" s="82">
        <v>1</v>
      </c>
      <c r="W276" s="90"/>
      <c r="X276" s="90"/>
      <c r="Y276" s="90"/>
    </row>
    <row r="277" spans="1:25" ht="39.6">
      <c r="A277" s="69">
        <v>1</v>
      </c>
      <c r="B277" s="64" t="s">
        <v>1558</v>
      </c>
      <c r="C277" s="11">
        <v>277</v>
      </c>
      <c r="D277" s="65">
        <v>8</v>
      </c>
      <c r="E277" s="66">
        <v>43682</v>
      </c>
      <c r="F277" s="13" t="str">
        <f>HYPERLINK("https://www.suara.com/lifestyle/2019/08/05/112719/victoria-secret-rekrut-model-transgendervalentina-sampaio ","sumber")</f>
        <v>sumber</v>
      </c>
      <c r="G277" s="13" t="str">
        <f t="shared" si="32"/>
        <v>lokasi</v>
      </c>
      <c r="H277" s="65">
        <v>230</v>
      </c>
      <c r="I277" s="67">
        <v>2</v>
      </c>
      <c r="J277" s="11">
        <v>3</v>
      </c>
      <c r="K277" s="70" t="s">
        <v>1559</v>
      </c>
      <c r="L277" s="11">
        <v>0</v>
      </c>
      <c r="M277" s="11">
        <v>0</v>
      </c>
      <c r="N277" s="15">
        <v>0</v>
      </c>
      <c r="O277" s="11">
        <v>0</v>
      </c>
      <c r="P277" s="11">
        <v>0</v>
      </c>
      <c r="Q277" s="11" t="s">
        <v>1560</v>
      </c>
      <c r="R277" s="11" t="s">
        <v>360</v>
      </c>
      <c r="S277" s="11"/>
      <c r="T277" s="11">
        <v>0</v>
      </c>
      <c r="U277" s="11">
        <v>0</v>
      </c>
      <c r="V277" s="11">
        <v>1</v>
      </c>
      <c r="W277" s="14"/>
      <c r="X277" s="14"/>
      <c r="Y277" s="14"/>
    </row>
    <row r="278" spans="1:25" ht="39.6">
      <c r="A278" s="69">
        <v>1</v>
      </c>
      <c r="B278" s="64" t="s">
        <v>1561</v>
      </c>
      <c r="C278" s="11">
        <v>278</v>
      </c>
      <c r="D278" s="65">
        <v>7</v>
      </c>
      <c r="E278" s="66">
        <v>43684</v>
      </c>
      <c r="F278" s="13" t="str">
        <f>HYPERLINK("https://www.tribunnews.com/lifestyle/2019/08/08/niat-menikah-tanpa-anak-duda-beranak-satu-hasrat-mengawini-transgender-kisah-cinta-sigit-stasya ","sumber")</f>
        <v>sumber</v>
      </c>
      <c r="G278" s="13" t="str">
        <f t="shared" si="32"/>
        <v>lokasi</v>
      </c>
      <c r="H278" s="65">
        <v>248</v>
      </c>
      <c r="I278" s="67">
        <v>2</v>
      </c>
      <c r="J278" s="11">
        <v>3</v>
      </c>
      <c r="K278" s="70" t="s">
        <v>1562</v>
      </c>
      <c r="L278" s="11">
        <v>0</v>
      </c>
      <c r="M278" s="11">
        <v>0</v>
      </c>
      <c r="N278" s="11">
        <v>-1</v>
      </c>
      <c r="O278" s="11">
        <v>0</v>
      </c>
      <c r="P278" s="11">
        <v>-1</v>
      </c>
      <c r="Q278" s="11" t="s">
        <v>87</v>
      </c>
      <c r="R278" s="11" t="s">
        <v>68</v>
      </c>
      <c r="S278" s="11" t="s">
        <v>1563</v>
      </c>
      <c r="T278" s="11">
        <v>2</v>
      </c>
      <c r="U278" s="11">
        <v>-1</v>
      </c>
      <c r="V278" s="11">
        <v>0</v>
      </c>
      <c r="W278" s="14"/>
      <c r="X278" s="14"/>
      <c r="Y278" s="14"/>
    </row>
    <row r="279" spans="1:25" ht="13.2">
      <c r="A279" s="73">
        <v>2</v>
      </c>
      <c r="B279" s="74" t="s">
        <v>1564</v>
      </c>
      <c r="C279" s="18">
        <v>279</v>
      </c>
      <c r="D279" s="75">
        <v>5</v>
      </c>
      <c r="E279" s="76">
        <v>43686</v>
      </c>
      <c r="F279" s="20" t="str">
        <f>HYPERLINK("https://tirto.id/sinopsis-my-only-one-episode-49-dan-50-di-trans-tv-efZv ","sumber")</f>
        <v>sumber</v>
      </c>
      <c r="G279" s="18" t="s">
        <v>1</v>
      </c>
      <c r="H279" s="75">
        <v>530</v>
      </c>
      <c r="I279" s="77"/>
      <c r="J279" s="18">
        <v>3</v>
      </c>
      <c r="K279" s="78"/>
      <c r="L279" s="19"/>
      <c r="M279" s="19"/>
      <c r="N279" s="19"/>
      <c r="O279" s="19"/>
      <c r="P279" s="19"/>
      <c r="Q279" s="18"/>
      <c r="R279" s="79"/>
      <c r="S279" s="18"/>
      <c r="T279" s="19"/>
      <c r="U279" s="19"/>
      <c r="V279" s="19"/>
      <c r="W279" s="19"/>
      <c r="X279" s="19"/>
      <c r="Y279" s="19"/>
    </row>
    <row r="280" spans="1:25" ht="26.4">
      <c r="A280" s="69">
        <v>1</v>
      </c>
      <c r="B280" s="64" t="s">
        <v>1565</v>
      </c>
      <c r="C280" s="11">
        <v>280</v>
      </c>
      <c r="D280" s="65">
        <v>6</v>
      </c>
      <c r="E280" s="66">
        <v>43689</v>
      </c>
      <c r="F280" s="13" t="str">
        <f>HYPERLINK("https://regional.kompas.com/read/2019/08/12/15104491/18-anggota-pers-mahasiswa-yang-dipecat-gugat-rektor-usu-ke-ptun ","sumber")</f>
        <v>sumber</v>
      </c>
      <c r="G280" s="13" t="str">
        <f t="shared" ref="G280:G283" si="33">HYPERLINK("https://drive.google.com/open?id=15K5sriRJOw0JTPqD9yRZzl0fwZcfdV8X","lokasi")</f>
        <v>lokasi</v>
      </c>
      <c r="H280" s="65">
        <v>217</v>
      </c>
      <c r="I280" s="67">
        <v>1</v>
      </c>
      <c r="J280" s="11">
        <v>3</v>
      </c>
      <c r="K280" s="70" t="s">
        <v>1566</v>
      </c>
      <c r="L280" s="11">
        <v>0</v>
      </c>
      <c r="M280" s="11">
        <v>1</v>
      </c>
      <c r="N280" s="15">
        <v>0</v>
      </c>
      <c r="O280" s="11">
        <v>0</v>
      </c>
      <c r="P280" s="11">
        <v>0</v>
      </c>
      <c r="Q280" s="11">
        <v>0</v>
      </c>
      <c r="R280" s="11">
        <v>1</v>
      </c>
      <c r="S280" s="11"/>
      <c r="T280" s="11">
        <v>0</v>
      </c>
      <c r="U280" s="11">
        <v>0</v>
      </c>
      <c r="V280" s="11">
        <v>1</v>
      </c>
      <c r="W280" s="14"/>
      <c r="X280" s="14"/>
      <c r="Y280" s="14"/>
    </row>
    <row r="281" spans="1:25" ht="39.6">
      <c r="A281" s="69">
        <v>1</v>
      </c>
      <c r="B281" s="64" t="s">
        <v>1567</v>
      </c>
      <c r="C281" s="11">
        <v>281</v>
      </c>
      <c r="D281" s="65">
        <v>8</v>
      </c>
      <c r="E281" s="66">
        <v>43694</v>
      </c>
      <c r="F281" s="13" t="str">
        <f>HYPERLINK("https://www.suara.com/lifestyle/2019/08/17/165115/catriona-gray-dukung-transpuan-boleh-pakai-toilet-wanita ","sumber")</f>
        <v>sumber</v>
      </c>
      <c r="G281" s="13" t="str">
        <f t="shared" si="33"/>
        <v>lokasi</v>
      </c>
      <c r="H281" s="65">
        <v>223</v>
      </c>
      <c r="I281" s="67">
        <v>1</v>
      </c>
      <c r="J281" s="11">
        <v>3</v>
      </c>
      <c r="K281" s="70" t="s">
        <v>1568</v>
      </c>
      <c r="L281" s="11">
        <v>0</v>
      </c>
      <c r="M281" s="11">
        <v>1</v>
      </c>
      <c r="N281" s="15">
        <v>0</v>
      </c>
      <c r="O281" s="11">
        <v>0</v>
      </c>
      <c r="P281" s="11">
        <v>0</v>
      </c>
      <c r="Q281" s="11" t="s">
        <v>178</v>
      </c>
      <c r="R281" s="11" t="s">
        <v>160</v>
      </c>
      <c r="S281" s="11"/>
      <c r="T281" s="11">
        <v>0</v>
      </c>
      <c r="U281" s="11">
        <v>0</v>
      </c>
      <c r="V281" s="11">
        <v>1</v>
      </c>
      <c r="W281" s="14"/>
      <c r="X281" s="14"/>
      <c r="Y281" s="14"/>
    </row>
    <row r="282" spans="1:25" ht="39.6">
      <c r="A282" s="80">
        <v>1</v>
      </c>
      <c r="B282" s="93" t="s">
        <v>1569</v>
      </c>
      <c r="C282" s="82">
        <v>282</v>
      </c>
      <c r="D282" s="83">
        <v>4</v>
      </c>
      <c r="E282" s="84">
        <v>43707</v>
      </c>
      <c r="F282" s="85" t="str">
        <f>HYPERLINK("https://www.liputan6.com/lifestyle/read/4050486/teddy-quinlivan-model-transgender-pertama-yang-tampil-di-iklan-chanel ","sumber")</f>
        <v>sumber</v>
      </c>
      <c r="G282" s="85" t="str">
        <f t="shared" si="33"/>
        <v>lokasi</v>
      </c>
      <c r="H282" s="83">
        <v>360</v>
      </c>
      <c r="I282" s="86">
        <v>2</v>
      </c>
      <c r="J282" s="82">
        <v>3</v>
      </c>
      <c r="K282" s="87" t="s">
        <v>1570</v>
      </c>
      <c r="L282" s="82">
        <v>0</v>
      </c>
      <c r="M282" s="82">
        <v>0</v>
      </c>
      <c r="N282" s="88">
        <v>0</v>
      </c>
      <c r="O282" s="82">
        <v>0</v>
      </c>
      <c r="P282" s="82">
        <v>0</v>
      </c>
      <c r="Q282" s="82" t="s">
        <v>178</v>
      </c>
      <c r="R282" s="89" t="s">
        <v>160</v>
      </c>
      <c r="S282" s="82"/>
      <c r="T282" s="82">
        <v>0</v>
      </c>
      <c r="U282" s="82">
        <v>0</v>
      </c>
      <c r="V282" s="82">
        <v>0</v>
      </c>
      <c r="W282" s="90"/>
      <c r="X282" s="90"/>
      <c r="Y282" s="90"/>
    </row>
    <row r="283" spans="1:25" ht="13.2">
      <c r="A283" s="69">
        <v>1</v>
      </c>
      <c r="B283" s="64" t="s">
        <v>1571</v>
      </c>
      <c r="C283" s="11">
        <v>283</v>
      </c>
      <c r="D283" s="65">
        <v>9</v>
      </c>
      <c r="E283" s="66">
        <v>43709</v>
      </c>
      <c r="F283" s="13" t="str">
        <f>HYPERLINK("https://senggang.republika.co.id/berita/px4qyj19000/shawn-mendes-luncurkan-yayasan-amal ","sumber")</f>
        <v>sumber</v>
      </c>
      <c r="G283" s="13" t="str">
        <f t="shared" si="33"/>
        <v>lokasi</v>
      </c>
      <c r="H283" s="65">
        <v>246</v>
      </c>
      <c r="I283" s="67">
        <v>2</v>
      </c>
      <c r="J283" s="11">
        <v>3</v>
      </c>
      <c r="K283" s="70" t="s">
        <v>1572</v>
      </c>
      <c r="L283" s="11">
        <v>0</v>
      </c>
      <c r="M283" s="11">
        <v>0</v>
      </c>
      <c r="N283" s="15">
        <v>0</v>
      </c>
      <c r="O283" s="11">
        <v>0</v>
      </c>
      <c r="P283" s="11">
        <v>0</v>
      </c>
      <c r="Q283" s="11">
        <v>0</v>
      </c>
      <c r="R283" s="11">
        <v>1</v>
      </c>
      <c r="S283" s="11"/>
      <c r="T283" s="11">
        <v>0</v>
      </c>
      <c r="U283" s="11">
        <v>0</v>
      </c>
      <c r="V283" s="11">
        <v>1</v>
      </c>
      <c r="W283" s="14"/>
      <c r="X283" s="14"/>
      <c r="Y283" s="14"/>
    </row>
    <row r="284" spans="1:25" ht="13.2">
      <c r="A284" s="73">
        <v>2</v>
      </c>
      <c r="B284" s="74" t="s">
        <v>1573</v>
      </c>
      <c r="C284" s="18">
        <v>284</v>
      </c>
      <c r="D284" s="75">
        <v>9</v>
      </c>
      <c r="E284" s="76">
        <v>43710</v>
      </c>
      <c r="F284" s="20" t="str">
        <f>HYPERLINK("https://republika.co.id/berita/px6uls349/idola-para-generasi-sudahkah-beri-contoh-yang-baik ","sumber")</f>
        <v>sumber</v>
      </c>
      <c r="G284" s="18" t="s">
        <v>1</v>
      </c>
      <c r="H284" s="75">
        <v>441</v>
      </c>
      <c r="I284" s="91"/>
      <c r="J284" s="18">
        <v>3</v>
      </c>
      <c r="K284" s="92"/>
      <c r="L284" s="18"/>
      <c r="M284" s="18"/>
      <c r="N284" s="18"/>
      <c r="O284" s="18"/>
      <c r="P284" s="18"/>
      <c r="Q284" s="18"/>
      <c r="R284" s="79"/>
      <c r="S284" s="18"/>
      <c r="T284" s="19"/>
      <c r="U284" s="18"/>
      <c r="V284" s="18"/>
      <c r="W284" s="19"/>
      <c r="X284" s="19"/>
      <c r="Y284" s="19"/>
    </row>
    <row r="285" spans="1:25" ht="13.2">
      <c r="A285" s="73">
        <v>2</v>
      </c>
      <c r="B285" s="74" t="s">
        <v>37</v>
      </c>
      <c r="C285" s="18">
        <v>285</v>
      </c>
      <c r="D285" s="75">
        <v>1</v>
      </c>
      <c r="E285" s="76">
        <v>43734</v>
      </c>
      <c r="F285" s="20" t="str">
        <f>HYPERLINK("https://hot.detik.com/celeb/d-4722938/jelang-menikah-jennifer-lawrence-habiskan-waktu-dengan-sang-bunda ","sumber")</f>
        <v>sumber</v>
      </c>
      <c r="G285" s="18" t="s">
        <v>1</v>
      </c>
      <c r="H285" s="75">
        <v>1687</v>
      </c>
      <c r="I285" s="77"/>
      <c r="J285" s="18">
        <v>3</v>
      </c>
      <c r="K285" s="78"/>
      <c r="L285" s="19"/>
      <c r="M285" s="19"/>
      <c r="N285" s="19"/>
      <c r="O285" s="19"/>
      <c r="P285" s="19"/>
      <c r="Q285" s="18"/>
      <c r="R285" s="79"/>
      <c r="S285" s="18"/>
      <c r="T285" s="19"/>
      <c r="U285" s="19"/>
      <c r="V285" s="19"/>
      <c r="W285" s="19"/>
      <c r="X285" s="19"/>
      <c r="Y285" s="19"/>
    </row>
    <row r="286" spans="1:25" ht="13.2">
      <c r="A286" s="80">
        <v>1</v>
      </c>
      <c r="B286" s="93" t="s">
        <v>1574</v>
      </c>
      <c r="C286" s="82">
        <v>286</v>
      </c>
      <c r="D286" s="83">
        <v>6</v>
      </c>
      <c r="E286" s="84">
        <v>43473</v>
      </c>
      <c r="F286" s="85" t="str">
        <f>HYPERLINK("https://regional.kompas.com/read/2019/01/08/13343261/rektor-ugm-penuhi-panggilan-ombudsman-soal-kasus-dugaan-pelecehan-seksual ","sumber")</f>
        <v>sumber</v>
      </c>
      <c r="G286" s="85" t="str">
        <f t="shared" ref="G286:G302" si="34">HYPERLINK("https://drive.google.com/open?id=15K5sriRJOw0JTPqD9yRZzl0fwZcfdV8X","lokasi")</f>
        <v>lokasi</v>
      </c>
      <c r="H286" s="83">
        <v>362</v>
      </c>
      <c r="I286" s="86">
        <v>1</v>
      </c>
      <c r="J286" s="82">
        <v>1</v>
      </c>
      <c r="K286" s="87" t="s">
        <v>1575</v>
      </c>
      <c r="L286" s="82">
        <v>0</v>
      </c>
      <c r="M286" s="82">
        <v>-1</v>
      </c>
      <c r="N286" s="88">
        <v>0</v>
      </c>
      <c r="O286" s="82">
        <v>1</v>
      </c>
      <c r="P286" s="82">
        <v>0</v>
      </c>
      <c r="Q286" s="82">
        <v>0</v>
      </c>
      <c r="R286" s="89">
        <v>0</v>
      </c>
      <c r="S286" s="82"/>
      <c r="T286" s="82">
        <v>0</v>
      </c>
      <c r="U286" s="82">
        <v>0</v>
      </c>
      <c r="V286" s="82">
        <v>1</v>
      </c>
      <c r="W286" s="90"/>
      <c r="X286" s="90"/>
      <c r="Y286" s="90"/>
    </row>
    <row r="287" spans="1:25" ht="39.6">
      <c r="A287" s="69">
        <v>1</v>
      </c>
      <c r="B287" s="64" t="s">
        <v>1576</v>
      </c>
      <c r="C287" s="11">
        <v>287</v>
      </c>
      <c r="D287" s="65">
        <v>6</v>
      </c>
      <c r="E287" s="66">
        <v>43470</v>
      </c>
      <c r="F287" s="13" t="str">
        <f>HYPERLINK("https://regional.kompas.com/read/2019/01/05/19580821/polisi-sekali-kencan-dengan-artis-va-tarifnya-rp-80-juta ","sumber")</f>
        <v>sumber</v>
      </c>
      <c r="G287" s="13" t="str">
        <f t="shared" si="34"/>
        <v>lokasi</v>
      </c>
      <c r="H287" s="65">
        <v>149</v>
      </c>
      <c r="I287" s="67">
        <v>1</v>
      </c>
      <c r="J287" s="11">
        <v>1</v>
      </c>
      <c r="K287" s="70" t="s">
        <v>1577</v>
      </c>
      <c r="L287" s="11">
        <v>0</v>
      </c>
      <c r="M287" s="11">
        <v>-1</v>
      </c>
      <c r="N287" s="15">
        <v>0</v>
      </c>
      <c r="O287" s="11">
        <v>0</v>
      </c>
      <c r="P287" s="11">
        <v>0</v>
      </c>
      <c r="Q287" s="11">
        <v>0</v>
      </c>
      <c r="R287" s="11">
        <v>0</v>
      </c>
      <c r="S287" s="11"/>
      <c r="T287" s="11">
        <v>0</v>
      </c>
      <c r="U287" s="11">
        <v>0</v>
      </c>
      <c r="V287" s="11">
        <v>1</v>
      </c>
      <c r="W287" s="14"/>
      <c r="X287" s="14"/>
      <c r="Y287" s="14"/>
    </row>
    <row r="288" spans="1:25" ht="66">
      <c r="A288" s="69">
        <v>1</v>
      </c>
      <c r="B288" s="64" t="s">
        <v>1578</v>
      </c>
      <c r="C288" s="11">
        <v>288</v>
      </c>
      <c r="D288" s="65">
        <v>6</v>
      </c>
      <c r="E288" s="66">
        <v>43471</v>
      </c>
      <c r="F288" s="13" t="str">
        <f>HYPERLINK("https://entertainment.kompas.com/read/2019/01/06/112435410/polisi-sebut-pria-diduga-pemesan-artis-va-adalah-pengusaha ","sumber")</f>
        <v>sumber</v>
      </c>
      <c r="G288" s="13" t="str">
        <f t="shared" si="34"/>
        <v>lokasi</v>
      </c>
      <c r="H288" s="65">
        <v>276</v>
      </c>
      <c r="I288" s="67">
        <v>1</v>
      </c>
      <c r="J288" s="11">
        <v>1</v>
      </c>
      <c r="K288" s="70" t="s">
        <v>1579</v>
      </c>
      <c r="L288" s="11">
        <v>0</v>
      </c>
      <c r="M288" s="11">
        <v>-1</v>
      </c>
      <c r="N288" s="11">
        <v>-1</v>
      </c>
      <c r="O288" s="11">
        <v>0</v>
      </c>
      <c r="P288" s="11">
        <v>0</v>
      </c>
      <c r="Q288" s="11" t="s">
        <v>29</v>
      </c>
      <c r="R288" s="11" t="s">
        <v>653</v>
      </c>
      <c r="S288" s="11"/>
      <c r="T288" s="11">
        <v>0</v>
      </c>
      <c r="U288" s="11">
        <v>0</v>
      </c>
      <c r="V288" s="11">
        <v>0</v>
      </c>
      <c r="W288" s="14"/>
      <c r="X288" s="14"/>
      <c r="Y288" s="14"/>
    </row>
    <row r="289" spans="1:25" ht="39.6">
      <c r="A289" s="69">
        <v>1</v>
      </c>
      <c r="B289" s="64" t="s">
        <v>1580</v>
      </c>
      <c r="C289" s="11">
        <v>289</v>
      </c>
      <c r="D289" s="65">
        <v>1</v>
      </c>
      <c r="E289" s="66">
        <v>43472</v>
      </c>
      <c r="F289" s="13" t="str">
        <f>HYPERLINK("https://news.detik.com/berita-jawa-timur/d-4374329/bapak-bejat-perkosa-anak-kandung-hingga-hamil-6-bulan ","sumber")</f>
        <v>sumber</v>
      </c>
      <c r="G289" s="13" t="str">
        <f t="shared" si="34"/>
        <v>lokasi</v>
      </c>
      <c r="H289" s="65">
        <v>251</v>
      </c>
      <c r="I289" s="67">
        <v>1</v>
      </c>
      <c r="J289" s="11">
        <v>1</v>
      </c>
      <c r="K289" s="70" t="s">
        <v>1581</v>
      </c>
      <c r="L289" s="11">
        <v>0</v>
      </c>
      <c r="M289" s="11">
        <v>-1</v>
      </c>
      <c r="N289" s="15">
        <v>0</v>
      </c>
      <c r="O289" s="11">
        <v>-1</v>
      </c>
      <c r="P289" s="11">
        <v>0</v>
      </c>
      <c r="Q289" s="11" t="s">
        <v>29</v>
      </c>
      <c r="R289" s="11" t="s">
        <v>30</v>
      </c>
      <c r="S289" s="11"/>
      <c r="T289" s="11">
        <v>0</v>
      </c>
      <c r="U289" s="11">
        <v>0</v>
      </c>
      <c r="V289" s="11">
        <v>1</v>
      </c>
      <c r="W289" s="14"/>
      <c r="X289" s="14"/>
      <c r="Y289" s="14"/>
    </row>
    <row r="290" spans="1:25" ht="52.8">
      <c r="A290" s="69">
        <v>1</v>
      </c>
      <c r="B290" s="64" t="s">
        <v>1582</v>
      </c>
      <c r="C290" s="11">
        <v>290</v>
      </c>
      <c r="D290" s="65">
        <v>5</v>
      </c>
      <c r="E290" s="66">
        <v>43472</v>
      </c>
      <c r="F290" s="13" t="str">
        <f>HYPERLINK("https://tirto.id/kasus-pelecehan-seksual-dewas-bpjs-tk-tak-pecat-ra-ddxm ","sumber")</f>
        <v>sumber</v>
      </c>
      <c r="G290" s="13" t="str">
        <f t="shared" si="34"/>
        <v>lokasi</v>
      </c>
      <c r="H290" s="65">
        <v>271</v>
      </c>
      <c r="I290" s="67">
        <v>1</v>
      </c>
      <c r="J290" s="11">
        <v>1</v>
      </c>
      <c r="K290" s="70" t="s">
        <v>1583</v>
      </c>
      <c r="L290" s="11">
        <v>0</v>
      </c>
      <c r="M290" s="11">
        <v>1</v>
      </c>
      <c r="N290" s="15">
        <v>0</v>
      </c>
      <c r="O290" s="11">
        <v>1</v>
      </c>
      <c r="P290" s="11">
        <v>0</v>
      </c>
      <c r="Q290" s="11" t="s">
        <v>87</v>
      </c>
      <c r="R290" s="11" t="s">
        <v>141</v>
      </c>
      <c r="S290" s="11"/>
      <c r="T290" s="11">
        <v>0</v>
      </c>
      <c r="U290" s="11">
        <v>0</v>
      </c>
      <c r="V290" s="11">
        <v>1</v>
      </c>
      <c r="W290" s="14"/>
      <c r="X290" s="14"/>
      <c r="Y290" s="14"/>
    </row>
    <row r="291" spans="1:25" ht="13.2">
      <c r="A291" s="69">
        <v>1</v>
      </c>
      <c r="B291" s="64" t="s">
        <v>1584</v>
      </c>
      <c r="C291" s="11">
        <v>291</v>
      </c>
      <c r="D291" s="65">
        <v>8</v>
      </c>
      <c r="E291" s="66">
        <v>43474</v>
      </c>
      <c r="F291" s="13" t="str">
        <f>HYPERLINK("https://www.suara.com/entertainment/2019/01/09/150211/ramai-di-medsos-lagu-tentang-vanessa-angel-menjemput-rezeki ","sumber")</f>
        <v>sumber</v>
      </c>
      <c r="G291" s="13" t="str">
        <f t="shared" si="34"/>
        <v>lokasi</v>
      </c>
      <c r="H291" s="65">
        <v>148</v>
      </c>
      <c r="I291" s="67">
        <v>2</v>
      </c>
      <c r="J291" s="11">
        <v>1</v>
      </c>
      <c r="K291" s="11"/>
      <c r="L291" s="11">
        <v>0</v>
      </c>
      <c r="M291" s="11">
        <v>0</v>
      </c>
      <c r="N291" s="15">
        <v>0</v>
      </c>
      <c r="O291" s="11">
        <v>0</v>
      </c>
      <c r="P291" s="11">
        <v>0</v>
      </c>
      <c r="Q291" s="11"/>
      <c r="R291" s="11"/>
      <c r="S291" s="11"/>
      <c r="T291" s="11">
        <v>0</v>
      </c>
      <c r="U291" s="11">
        <v>-1</v>
      </c>
      <c r="V291" s="11">
        <v>0</v>
      </c>
      <c r="W291" s="14"/>
      <c r="X291" s="14"/>
      <c r="Y291" s="14"/>
    </row>
    <row r="292" spans="1:25" ht="26.4">
      <c r="A292" s="69">
        <v>1</v>
      </c>
      <c r="B292" s="64" t="s">
        <v>1585</v>
      </c>
      <c r="C292" s="11">
        <v>292</v>
      </c>
      <c r="D292" s="65">
        <v>3</v>
      </c>
      <c r="E292" s="66">
        <v>43476</v>
      </c>
      <c r="F292" s="13" t="str">
        <f>HYPERLINK("https://lifestyle.okezone.com/read/2019/01/10/196/2002819/saling-mengaku-korban-siapakah-korban-dalam-prostitusi-online-sesungguhnya ","sumber")</f>
        <v>sumber</v>
      </c>
      <c r="G292" s="13" t="str">
        <f t="shared" si="34"/>
        <v>lokasi</v>
      </c>
      <c r="H292" s="65">
        <v>516</v>
      </c>
      <c r="I292" s="67">
        <v>1</v>
      </c>
      <c r="J292" s="11">
        <v>1</v>
      </c>
      <c r="K292" s="70" t="s">
        <v>1586</v>
      </c>
      <c r="L292" s="11">
        <v>0</v>
      </c>
      <c r="M292" s="28">
        <v>0</v>
      </c>
      <c r="N292" s="15">
        <v>0</v>
      </c>
      <c r="O292" s="11">
        <v>0</v>
      </c>
      <c r="P292" s="11">
        <v>0</v>
      </c>
      <c r="Q292" s="11">
        <v>0</v>
      </c>
      <c r="R292" s="11">
        <v>1</v>
      </c>
      <c r="S292" s="11"/>
      <c r="T292" s="11">
        <v>0</v>
      </c>
      <c r="U292" s="11">
        <v>0</v>
      </c>
      <c r="V292" s="11">
        <v>1</v>
      </c>
      <c r="W292" s="14"/>
      <c r="X292" s="14"/>
      <c r="Y292" s="14"/>
    </row>
    <row r="293" spans="1:25" ht="92.4">
      <c r="A293" s="69">
        <v>1</v>
      </c>
      <c r="B293" s="64" t="s">
        <v>1587</v>
      </c>
      <c r="C293" s="11">
        <v>293</v>
      </c>
      <c r="D293" s="65">
        <v>4</v>
      </c>
      <c r="E293" s="66">
        <v>43479</v>
      </c>
      <c r="F293" s="13" t="str">
        <f>HYPERLINK("https://www.liputan6.com/showbiz/read/3870767/polda-jatim-kirim-surat-panggilan-kasus-dugaan-prostitusi-online-2-model-respons ","sumber")</f>
        <v>sumber</v>
      </c>
      <c r="G293" s="13" t="str">
        <f t="shared" si="34"/>
        <v>lokasi</v>
      </c>
      <c r="H293" s="65">
        <v>347</v>
      </c>
      <c r="I293" s="67">
        <v>1</v>
      </c>
      <c r="J293" s="11">
        <v>1</v>
      </c>
      <c r="K293" s="70" t="s">
        <v>1588</v>
      </c>
      <c r="L293" s="11">
        <v>0</v>
      </c>
      <c r="M293" s="11">
        <v>-1</v>
      </c>
      <c r="N293" s="15">
        <v>0</v>
      </c>
      <c r="O293" s="11">
        <v>0</v>
      </c>
      <c r="P293" s="11">
        <v>0</v>
      </c>
      <c r="Q293" s="11" t="s">
        <v>21</v>
      </c>
      <c r="R293" s="11" t="s">
        <v>419</v>
      </c>
      <c r="S293" s="11"/>
      <c r="T293" s="11">
        <v>0</v>
      </c>
      <c r="U293" s="11">
        <v>0</v>
      </c>
      <c r="V293" s="11">
        <v>1</v>
      </c>
      <c r="W293" s="14"/>
      <c r="X293" s="14"/>
      <c r="Y293" s="14"/>
    </row>
    <row r="294" spans="1:25" ht="13.2">
      <c r="A294" s="69">
        <v>1</v>
      </c>
      <c r="B294" s="64" t="s">
        <v>1589</v>
      </c>
      <c r="C294" s="11">
        <v>294</v>
      </c>
      <c r="D294" s="65">
        <v>1</v>
      </c>
      <c r="E294" s="66">
        <v>43481</v>
      </c>
      <c r="F294" s="13" t="str">
        <f>HYPERLINK("https://news.detik.com/abc-australia/d-4387010/peringkat-negara-dalam-penanganan-pelecehan-terhadap-anak-anak ","sumber")</f>
        <v>sumber</v>
      </c>
      <c r="G294" s="13" t="str">
        <f t="shared" si="34"/>
        <v>lokasi</v>
      </c>
      <c r="H294" s="65">
        <v>204</v>
      </c>
      <c r="I294" s="67">
        <v>5</v>
      </c>
      <c r="J294" s="11">
        <v>1</v>
      </c>
      <c r="K294" s="11"/>
      <c r="L294" s="11">
        <v>0</v>
      </c>
      <c r="M294" s="11">
        <v>0</v>
      </c>
      <c r="N294" s="15">
        <v>0</v>
      </c>
      <c r="O294" s="11">
        <v>0</v>
      </c>
      <c r="P294" s="11">
        <v>0</v>
      </c>
      <c r="Q294" s="11"/>
      <c r="R294" s="11"/>
      <c r="S294" s="11"/>
      <c r="T294" s="11">
        <v>0</v>
      </c>
      <c r="U294" s="11">
        <v>0</v>
      </c>
      <c r="V294" s="11">
        <v>1</v>
      </c>
      <c r="W294" s="14"/>
      <c r="X294" s="14"/>
      <c r="Y294" s="14"/>
    </row>
    <row r="295" spans="1:25" ht="26.4">
      <c r="A295" s="69">
        <v>1</v>
      </c>
      <c r="B295" s="64" t="s">
        <v>1590</v>
      </c>
      <c r="C295" s="11">
        <v>295</v>
      </c>
      <c r="D295" s="65">
        <v>4</v>
      </c>
      <c r="E295" s="66">
        <v>43485</v>
      </c>
      <c r="F295" s="13" t="str">
        <f>HYPERLINK("https://www.liputan6.com/showbiz/read/3875525/artis-va-lakukan-prostitusi-gara-gara-banyak-cicilan ","sumber")</f>
        <v>sumber</v>
      </c>
      <c r="G295" s="13" t="str">
        <f t="shared" si="34"/>
        <v>lokasi</v>
      </c>
      <c r="H295" s="65">
        <v>191</v>
      </c>
      <c r="I295" s="67">
        <v>1</v>
      </c>
      <c r="J295" s="11">
        <v>1</v>
      </c>
      <c r="K295" s="70" t="s">
        <v>1591</v>
      </c>
      <c r="L295" s="11">
        <v>0</v>
      </c>
      <c r="M295" s="11">
        <v>-1</v>
      </c>
      <c r="N295" s="15">
        <v>0</v>
      </c>
      <c r="O295" s="11">
        <v>0</v>
      </c>
      <c r="P295" s="11">
        <v>-1</v>
      </c>
      <c r="Q295" s="11">
        <v>0</v>
      </c>
      <c r="R295" s="11">
        <v>-1</v>
      </c>
      <c r="S295" s="11"/>
      <c r="T295" s="11">
        <v>0</v>
      </c>
      <c r="U295" s="11">
        <v>0</v>
      </c>
      <c r="V295" s="11">
        <v>0</v>
      </c>
      <c r="W295" s="14"/>
      <c r="X295" s="14"/>
      <c r="Y295" s="14"/>
    </row>
    <row r="296" spans="1:25" ht="26.4">
      <c r="A296" s="69">
        <v>1</v>
      </c>
      <c r="B296" s="64" t="s">
        <v>1592</v>
      </c>
      <c r="C296" s="11">
        <v>296</v>
      </c>
      <c r="D296" s="65">
        <v>10</v>
      </c>
      <c r="E296" s="66">
        <v>43488</v>
      </c>
      <c r="F296" s="13" t="str">
        <f>HYPERLINK("https://dunia.tempo.co/read/1167672/survei-sepertiga-staf-pbb-alami-pelecehan-seksual ","sumber")</f>
        <v>sumber</v>
      </c>
      <c r="G296" s="13" t="str">
        <f t="shared" si="34"/>
        <v>lokasi</v>
      </c>
      <c r="H296" s="65">
        <v>336</v>
      </c>
      <c r="I296" s="67">
        <v>5</v>
      </c>
      <c r="J296" s="11">
        <v>1</v>
      </c>
      <c r="K296" s="70" t="s">
        <v>1593</v>
      </c>
      <c r="L296" s="11">
        <v>0</v>
      </c>
      <c r="M296" s="11">
        <v>0</v>
      </c>
      <c r="N296" s="15">
        <v>0</v>
      </c>
      <c r="O296" s="11">
        <v>0</v>
      </c>
      <c r="P296" s="11">
        <v>0</v>
      </c>
      <c r="Q296" s="11">
        <v>0</v>
      </c>
      <c r="R296" s="11">
        <v>1</v>
      </c>
      <c r="S296" s="11"/>
      <c r="T296" s="11">
        <v>0</v>
      </c>
      <c r="U296" s="11">
        <v>0</v>
      </c>
      <c r="V296" s="11">
        <v>1</v>
      </c>
      <c r="W296" s="14"/>
      <c r="X296" s="14"/>
      <c r="Y296" s="14"/>
    </row>
    <row r="297" spans="1:25" ht="13.2">
      <c r="A297" s="69">
        <v>1</v>
      </c>
      <c r="B297" s="64" t="s">
        <v>1594</v>
      </c>
      <c r="C297" s="11">
        <v>297</v>
      </c>
      <c r="D297" s="65">
        <v>6</v>
      </c>
      <c r="E297" s="66">
        <v>43490</v>
      </c>
      <c r="F297" s="13" t="str">
        <f>HYPERLINK("https://entertainment.kompas.com/read/2019/01/25/093803910/chris-brown-gugat-balik-perempuan-yang-menuduhnya-memerkosa ","sumber")</f>
        <v>sumber</v>
      </c>
      <c r="G297" s="13" t="str">
        <f t="shared" si="34"/>
        <v>lokasi</v>
      </c>
      <c r="H297" s="65">
        <v>196</v>
      </c>
      <c r="I297" s="67">
        <v>1</v>
      </c>
      <c r="J297" s="11">
        <v>1</v>
      </c>
      <c r="K297" s="70" t="s">
        <v>1595</v>
      </c>
      <c r="L297" s="11">
        <v>0</v>
      </c>
      <c r="M297" s="11">
        <v>-1</v>
      </c>
      <c r="N297" s="15">
        <v>0</v>
      </c>
      <c r="O297" s="11">
        <v>0</v>
      </c>
      <c r="P297" s="11">
        <v>0</v>
      </c>
      <c r="Q297" s="11">
        <v>0</v>
      </c>
      <c r="R297" s="11">
        <v>-1</v>
      </c>
      <c r="S297" s="11"/>
      <c r="T297" s="11">
        <v>0</v>
      </c>
      <c r="U297" s="11">
        <v>0</v>
      </c>
      <c r="V297" s="11">
        <v>1</v>
      </c>
      <c r="W297" s="14"/>
      <c r="X297" s="14"/>
      <c r="Y297" s="14"/>
    </row>
    <row r="298" spans="1:25" ht="26.4">
      <c r="A298" s="69">
        <v>1</v>
      </c>
      <c r="B298" s="64" t="s">
        <v>1596</v>
      </c>
      <c r="C298" s="11">
        <v>298</v>
      </c>
      <c r="D298" s="65">
        <v>3</v>
      </c>
      <c r="E298" s="66">
        <v>43491</v>
      </c>
      <c r="F298" s="13" t="str">
        <f>HYPERLINK("https://news.okezone.com/read/2019/01/26/519/2009632/berkaca-kasus-vanessa-angel-perlu-revisi-uu-untuk-jerat-penikmat-bisnis-lendir ","sumber")</f>
        <v>sumber</v>
      </c>
      <c r="G298" s="13" t="str">
        <f t="shared" si="34"/>
        <v>lokasi</v>
      </c>
      <c r="H298" s="65">
        <v>349</v>
      </c>
      <c r="I298" s="67">
        <v>4</v>
      </c>
      <c r="J298" s="11">
        <v>1</v>
      </c>
      <c r="K298" s="70" t="s">
        <v>1597</v>
      </c>
      <c r="L298" s="11">
        <v>0</v>
      </c>
      <c r="M298" s="11">
        <v>0</v>
      </c>
      <c r="N298" s="15">
        <v>0</v>
      </c>
      <c r="O298" s="11">
        <v>0</v>
      </c>
      <c r="P298" s="11">
        <v>0</v>
      </c>
      <c r="Q298" s="11">
        <v>0</v>
      </c>
      <c r="R298" s="11">
        <v>1</v>
      </c>
      <c r="S298" s="11"/>
      <c r="T298" s="11">
        <v>0</v>
      </c>
      <c r="U298" s="11">
        <v>0</v>
      </c>
      <c r="V298" s="11">
        <v>1</v>
      </c>
      <c r="W298" s="14"/>
      <c r="X298" s="14"/>
      <c r="Y298" s="14"/>
    </row>
    <row r="299" spans="1:25" ht="15" customHeight="1">
      <c r="A299" s="80">
        <v>1</v>
      </c>
      <c r="B299" s="93" t="s">
        <v>1598</v>
      </c>
      <c r="C299" s="82">
        <v>299</v>
      </c>
      <c r="D299" s="83">
        <v>10</v>
      </c>
      <c r="E299" s="84">
        <v>43475</v>
      </c>
      <c r="F299" s="85" t="str">
        <f>HYPERLINK("https://metro.tempo.co/read/1163531/djsn-bentuk-tim-panel-untuk-tangani-kasus-rizky-amelia ","sumber")</f>
        <v>sumber</v>
      </c>
      <c r="G299" s="85" t="str">
        <f t="shared" si="34"/>
        <v>lokasi</v>
      </c>
      <c r="H299" s="83">
        <v>338</v>
      </c>
      <c r="I299" s="86">
        <v>1</v>
      </c>
      <c r="J299" s="82">
        <v>1</v>
      </c>
      <c r="K299" s="87" t="s">
        <v>1599</v>
      </c>
      <c r="L299" s="82">
        <v>0</v>
      </c>
      <c r="M299" s="28">
        <v>0</v>
      </c>
      <c r="N299" s="88">
        <v>0</v>
      </c>
      <c r="O299" s="82">
        <v>1</v>
      </c>
      <c r="P299" s="82">
        <v>0</v>
      </c>
      <c r="Q299" s="82">
        <v>0</v>
      </c>
      <c r="R299" s="89">
        <v>0</v>
      </c>
      <c r="S299" s="82"/>
      <c r="T299" s="82">
        <v>0</v>
      </c>
      <c r="U299" s="82">
        <v>0</v>
      </c>
      <c r="V299" s="82">
        <v>1</v>
      </c>
      <c r="W299" s="90"/>
      <c r="X299" s="90"/>
      <c r="Y299" s="90"/>
    </row>
    <row r="300" spans="1:25" ht="26.4">
      <c r="A300" s="69">
        <v>1</v>
      </c>
      <c r="B300" s="64" t="s">
        <v>1600</v>
      </c>
      <c r="C300" s="11">
        <v>300</v>
      </c>
      <c r="D300" s="65">
        <v>8</v>
      </c>
      <c r="E300" s="66">
        <v>43499</v>
      </c>
      <c r="F300" s="13" t="str">
        <f>HYPERLINK("https://www.suara.com/entertainment/2019/02/03/154500/pengacara-masih-usahakan-penangguhan-penahanan-vanessa-angel ","sumber")</f>
        <v>sumber</v>
      </c>
      <c r="G300" s="13" t="str">
        <f t="shared" si="34"/>
        <v>lokasi</v>
      </c>
      <c r="H300" s="65">
        <v>259</v>
      </c>
      <c r="I300" s="67">
        <v>1</v>
      </c>
      <c r="J300" s="11">
        <v>1</v>
      </c>
      <c r="K300" s="70" t="s">
        <v>225</v>
      </c>
      <c r="L300" s="11">
        <v>0</v>
      </c>
      <c r="M300" s="11">
        <v>1</v>
      </c>
      <c r="N300" s="15">
        <v>0</v>
      </c>
      <c r="O300" s="11">
        <v>0</v>
      </c>
      <c r="P300" s="11">
        <v>0</v>
      </c>
      <c r="Q300" s="11">
        <v>2</v>
      </c>
      <c r="R300" s="11">
        <v>1</v>
      </c>
      <c r="S300" s="11"/>
      <c r="T300" s="11">
        <v>0</v>
      </c>
      <c r="U300" s="11">
        <v>0</v>
      </c>
      <c r="V300" s="11">
        <v>1</v>
      </c>
      <c r="W300" s="14"/>
      <c r="X300" s="14"/>
      <c r="Y300" s="14"/>
    </row>
    <row r="301" spans="1:25" ht="26.4">
      <c r="A301" s="69">
        <v>1</v>
      </c>
      <c r="B301" s="64" t="s">
        <v>1601</v>
      </c>
      <c r="C301" s="11">
        <v>301</v>
      </c>
      <c r="D301" s="65">
        <v>6</v>
      </c>
      <c r="E301" s="66">
        <v>43502</v>
      </c>
      <c r="F301" s="13" t="str">
        <f>HYPERLINK("https://nasional.kompas.com/read/2019/02/06/19222281/soal-ruu-pks-komnas-perempuan-harap-dpr-berdiskusi-dengan-korban-dan ","sumber")</f>
        <v>sumber</v>
      </c>
      <c r="G301" s="13" t="str">
        <f t="shared" si="34"/>
        <v>lokasi</v>
      </c>
      <c r="H301" s="65">
        <v>187</v>
      </c>
      <c r="I301" s="67">
        <v>4</v>
      </c>
      <c r="J301" s="11">
        <v>1</v>
      </c>
      <c r="K301" s="70" t="s">
        <v>1602</v>
      </c>
      <c r="L301" s="11">
        <v>0</v>
      </c>
      <c r="M301" s="11">
        <v>0</v>
      </c>
      <c r="N301" s="15">
        <v>0</v>
      </c>
      <c r="O301" s="11">
        <v>0</v>
      </c>
      <c r="P301" s="11">
        <v>0</v>
      </c>
      <c r="Q301" s="11">
        <v>1</v>
      </c>
      <c r="R301" s="11">
        <v>1</v>
      </c>
      <c r="S301" s="11"/>
      <c r="T301" s="11">
        <v>0</v>
      </c>
      <c r="U301" s="11">
        <v>0</v>
      </c>
      <c r="V301" s="11">
        <v>1</v>
      </c>
      <c r="W301" s="14"/>
      <c r="X301" s="14"/>
      <c r="Y301" s="14"/>
    </row>
    <row r="302" spans="1:25" ht="13.2">
      <c r="A302" s="69">
        <v>1</v>
      </c>
      <c r="B302" s="64" t="s">
        <v>1603</v>
      </c>
      <c r="C302" s="11">
        <v>302</v>
      </c>
      <c r="D302" s="65">
        <v>3</v>
      </c>
      <c r="E302" s="66">
        <v>43505</v>
      </c>
      <c r="F302" s="13" t="str">
        <f>HYPERLINK("https://news.okezone.com/read/2019/02/09/337/2015667/fakta-fakta-pasutri-yang-ajak-anaknya-threesome ","sumber")</f>
        <v>sumber</v>
      </c>
      <c r="G302" s="13" t="str">
        <f t="shared" si="34"/>
        <v>lokasi</v>
      </c>
      <c r="H302" s="65">
        <v>620</v>
      </c>
      <c r="I302" s="67">
        <v>1</v>
      </c>
      <c r="J302" s="11">
        <v>1</v>
      </c>
      <c r="K302" s="70" t="s">
        <v>1604</v>
      </c>
      <c r="L302" s="11">
        <v>0</v>
      </c>
      <c r="M302" s="11">
        <v>-1</v>
      </c>
      <c r="N302" s="15">
        <v>0</v>
      </c>
      <c r="O302" s="11">
        <v>-1</v>
      </c>
      <c r="P302" s="11">
        <v>-1</v>
      </c>
      <c r="Q302" s="11">
        <v>0</v>
      </c>
      <c r="R302" s="11">
        <v>0</v>
      </c>
      <c r="S302" s="11"/>
      <c r="T302" s="11">
        <v>0</v>
      </c>
      <c r="U302" s="11">
        <v>0</v>
      </c>
      <c r="V302" s="11">
        <v>1</v>
      </c>
      <c r="W302" s="14"/>
      <c r="X302" s="14"/>
      <c r="Y302" s="14"/>
    </row>
    <row r="303" spans="1:25" ht="13.2">
      <c r="A303" s="73">
        <v>2</v>
      </c>
      <c r="B303" s="74" t="s">
        <v>1605</v>
      </c>
      <c r="C303" s="18">
        <v>303</v>
      </c>
      <c r="D303" s="75">
        <v>4</v>
      </c>
      <c r="E303" s="76">
        <v>43506</v>
      </c>
      <c r="F303" s="20" t="str">
        <f>HYPERLINK("https://www.liputan6.com/global/read/3891598/horor-temuan-2-jasad-misterius-tanpa-kepala-di-pantai-thailand ","sumber")</f>
        <v>sumber</v>
      </c>
      <c r="G303" s="18" t="s">
        <v>1</v>
      </c>
      <c r="H303" s="75">
        <v>481</v>
      </c>
      <c r="I303" s="77"/>
      <c r="J303" s="18">
        <v>1</v>
      </c>
      <c r="K303" s="78"/>
      <c r="L303" s="19"/>
      <c r="M303" s="19"/>
      <c r="N303" s="19"/>
      <c r="O303" s="19"/>
      <c r="P303" s="19"/>
      <c r="Q303" s="18"/>
      <c r="R303" s="79"/>
      <c r="S303" s="18"/>
      <c r="T303" s="19"/>
      <c r="U303" s="19"/>
      <c r="V303" s="19"/>
      <c r="W303" s="19"/>
      <c r="X303" s="19"/>
      <c r="Y303" s="19"/>
    </row>
    <row r="304" spans="1:25" ht="26.4">
      <c r="A304" s="69">
        <v>1</v>
      </c>
      <c r="B304" s="64" t="s">
        <v>1606</v>
      </c>
      <c r="C304" s="11">
        <v>304</v>
      </c>
      <c r="D304" s="65">
        <v>6</v>
      </c>
      <c r="E304" s="66">
        <v>43515</v>
      </c>
      <c r="F304" s="13" t="str">
        <f>HYPERLINK("https://nasional.kompas.com/read/2019/02/19/21170041/korban-dugaan-pelecehan-seksual-dewas-bpjs-tk-harap-ruu-pks-segera-disahkan ","sumber")</f>
        <v>sumber</v>
      </c>
      <c r="G304" s="13" t="str">
        <f t="shared" ref="G304:G305" si="35">HYPERLINK("https://drive.google.com/open?id=15K5sriRJOw0JTPqD9yRZzl0fwZcfdV8X","lokasi")</f>
        <v>lokasi</v>
      </c>
      <c r="H304" s="65">
        <v>253</v>
      </c>
      <c r="I304" s="67">
        <v>4</v>
      </c>
      <c r="J304" s="11">
        <v>1</v>
      </c>
      <c r="K304" s="70" t="s">
        <v>1607</v>
      </c>
      <c r="L304" s="11">
        <v>0</v>
      </c>
      <c r="M304" s="11">
        <v>0</v>
      </c>
      <c r="N304" s="15">
        <v>0</v>
      </c>
      <c r="O304" s="11">
        <v>1</v>
      </c>
      <c r="P304" s="11">
        <v>-1</v>
      </c>
      <c r="Q304" s="11">
        <v>2</v>
      </c>
      <c r="R304" s="11">
        <v>1</v>
      </c>
      <c r="S304" s="11"/>
      <c r="T304" s="11">
        <v>0</v>
      </c>
      <c r="U304" s="11">
        <v>0</v>
      </c>
      <c r="V304" s="11">
        <v>1</v>
      </c>
      <c r="W304" s="14"/>
      <c r="X304" s="14"/>
      <c r="Y304" s="14"/>
    </row>
    <row r="305" spans="1:25" ht="26.4">
      <c r="A305" s="69">
        <v>1</v>
      </c>
      <c r="B305" s="64" t="s">
        <v>1608</v>
      </c>
      <c r="C305" s="11">
        <v>305</v>
      </c>
      <c r="D305" s="65">
        <v>5</v>
      </c>
      <c r="E305" s="66">
        <v>43517</v>
      </c>
      <c r="F305" s="13" t="str">
        <f>HYPERLINK("https://tirto.id/lbh-apik-uu-ite-jadi-celah-kriminalisasi-korban-kekerasan-seksual-dhuJ ","sumber")</f>
        <v>sumber</v>
      </c>
      <c r="G305" s="13" t="str">
        <f t="shared" si="35"/>
        <v>lokasi</v>
      </c>
      <c r="H305" s="65">
        <v>256</v>
      </c>
      <c r="I305" s="67">
        <v>4</v>
      </c>
      <c r="J305" s="11">
        <v>1</v>
      </c>
      <c r="K305" s="70" t="s">
        <v>1609</v>
      </c>
      <c r="L305" s="11">
        <v>0</v>
      </c>
      <c r="M305" s="11">
        <v>0</v>
      </c>
      <c r="N305" s="15">
        <v>0</v>
      </c>
      <c r="O305" s="11">
        <v>0</v>
      </c>
      <c r="P305" s="11">
        <v>0</v>
      </c>
      <c r="Q305" s="11">
        <v>1</v>
      </c>
      <c r="R305" s="11">
        <v>1</v>
      </c>
      <c r="S305" s="11"/>
      <c r="T305" s="11">
        <v>0</v>
      </c>
      <c r="U305" s="11">
        <v>0</v>
      </c>
      <c r="V305" s="11">
        <v>1</v>
      </c>
      <c r="W305" s="14"/>
      <c r="X305" s="14"/>
      <c r="Y305" s="14"/>
    </row>
    <row r="306" spans="1:25" ht="13.2">
      <c r="A306" s="73">
        <v>2</v>
      </c>
      <c r="B306" s="74" t="s">
        <v>1610</v>
      </c>
      <c r="C306" s="18">
        <v>306</v>
      </c>
      <c r="D306" s="75">
        <v>4</v>
      </c>
      <c r="E306" s="76">
        <v>43518</v>
      </c>
      <c r="F306" s="20" t="str">
        <f>HYPERLINK("https://www.liputan6.com/regional/read/3901149/pagupon-mbah-pon-pembelajaran-etika-lewat-bahasa-jawa ","sumber")</f>
        <v>sumber</v>
      </c>
      <c r="G306" s="18" t="s">
        <v>1</v>
      </c>
      <c r="H306" s="75">
        <v>955</v>
      </c>
      <c r="I306" s="77"/>
      <c r="J306" s="18">
        <v>1</v>
      </c>
      <c r="K306" s="78"/>
      <c r="L306" s="19"/>
      <c r="M306" s="19"/>
      <c r="N306" s="19"/>
      <c r="O306" s="19"/>
      <c r="P306" s="19"/>
      <c r="Q306" s="18"/>
      <c r="R306" s="79"/>
      <c r="S306" s="18"/>
      <c r="T306" s="19"/>
      <c r="U306" s="19"/>
      <c r="V306" s="19"/>
      <c r="W306" s="19"/>
      <c r="X306" s="19"/>
      <c r="Y306" s="19"/>
    </row>
    <row r="307" spans="1:25" ht="26.4">
      <c r="A307" s="69">
        <v>1</v>
      </c>
      <c r="B307" s="64" t="s">
        <v>1611</v>
      </c>
      <c r="C307" s="11">
        <v>307</v>
      </c>
      <c r="D307" s="65">
        <v>2</v>
      </c>
      <c r="E307" s="66">
        <v>43520</v>
      </c>
      <c r="F307" s="13" t="str">
        <f>HYPERLINK("https://www.cnnindonesia.com/hiburan/20190224115921-234-372164/kasus-pelecehan-seksual-r-kelly-dituntut-jaminan-rp14-miliar ","sumber")</f>
        <v>sumber</v>
      </c>
      <c r="G307" s="13" t="str">
        <f t="shared" ref="G307:G308" si="36">HYPERLINK("https://drive.google.com/open?id=15K5sriRJOw0JTPqD9yRZzl0fwZcfdV8X","lokasi")</f>
        <v>lokasi</v>
      </c>
      <c r="H307" s="65">
        <v>371</v>
      </c>
      <c r="I307" s="67">
        <v>1</v>
      </c>
      <c r="J307" s="11">
        <v>1</v>
      </c>
      <c r="K307" s="70" t="s">
        <v>1612</v>
      </c>
      <c r="L307" s="11">
        <v>0</v>
      </c>
      <c r="M307" s="11">
        <v>-1</v>
      </c>
      <c r="N307" s="15">
        <v>0</v>
      </c>
      <c r="O307" s="11">
        <v>0</v>
      </c>
      <c r="P307" s="11">
        <v>0</v>
      </c>
      <c r="Q307" s="11">
        <v>0</v>
      </c>
      <c r="R307" s="11">
        <v>-1</v>
      </c>
      <c r="S307" s="11"/>
      <c r="T307" s="11">
        <v>0</v>
      </c>
      <c r="U307" s="11">
        <v>0</v>
      </c>
      <c r="V307" s="11">
        <v>1</v>
      </c>
      <c r="W307" s="14"/>
      <c r="X307" s="14"/>
      <c r="Y307" s="14"/>
    </row>
    <row r="308" spans="1:25" ht="52.8">
      <c r="A308" s="69">
        <v>1</v>
      </c>
      <c r="B308" s="64" t="s">
        <v>1613</v>
      </c>
      <c r="C308" s="11">
        <v>308</v>
      </c>
      <c r="D308" s="65">
        <v>7</v>
      </c>
      <c r="E308" s="66">
        <v>43521</v>
      </c>
      <c r="F308" s="13" t="str">
        <f>HYPERLINK("http://www.tribunnews.com/regional/2019/02/25/fakta-baru-pemerkosaan-bidan-yl-pria-yang-dipaksa-mengaku-pemerkosa-diduga-dianiaya-oknum-polisi ","sumber")</f>
        <v>sumber</v>
      </c>
      <c r="G308" s="13" t="str">
        <f t="shared" si="36"/>
        <v>lokasi</v>
      </c>
      <c r="H308" s="65">
        <v>152</v>
      </c>
      <c r="I308" s="67">
        <v>1</v>
      </c>
      <c r="J308" s="11">
        <v>1</v>
      </c>
      <c r="K308" s="70" t="s">
        <v>1614</v>
      </c>
      <c r="L308" s="11">
        <v>0</v>
      </c>
      <c r="M308" s="28">
        <v>0</v>
      </c>
      <c r="N308" s="15">
        <v>0</v>
      </c>
      <c r="O308" s="11">
        <v>1</v>
      </c>
      <c r="P308" s="11">
        <v>0</v>
      </c>
      <c r="Q308" s="11" t="s">
        <v>29</v>
      </c>
      <c r="R308" s="11" t="s">
        <v>29</v>
      </c>
      <c r="S308" s="11"/>
      <c r="T308" s="11">
        <v>0</v>
      </c>
      <c r="U308" s="11">
        <v>0</v>
      </c>
      <c r="V308" s="11">
        <v>1</v>
      </c>
      <c r="W308" s="14"/>
      <c r="X308" s="14"/>
      <c r="Y308" s="14"/>
    </row>
    <row r="309" spans="1:25" ht="13.2">
      <c r="A309" s="73">
        <v>2</v>
      </c>
      <c r="B309" s="74" t="s">
        <v>1615</v>
      </c>
      <c r="C309" s="18">
        <v>309</v>
      </c>
      <c r="D309" s="75">
        <v>3</v>
      </c>
      <c r="E309" s="76">
        <v>43530</v>
      </c>
      <c r="F309" s="20" t="str">
        <f>HYPERLINK("https://celebrity.okezone.com/read/2019/03/06/33/2026702/sempat-dekat-della-perez-akui-diego-michiels-ingin-menikah ","sumber")</f>
        <v>sumber</v>
      </c>
      <c r="G309" s="18" t="s">
        <v>1</v>
      </c>
      <c r="H309" s="75">
        <v>307</v>
      </c>
      <c r="I309" s="77"/>
      <c r="J309" s="18">
        <v>1</v>
      </c>
      <c r="K309" s="78"/>
      <c r="L309" s="19"/>
      <c r="M309" s="19"/>
      <c r="N309" s="19"/>
      <c r="O309" s="19"/>
      <c r="P309" s="19"/>
      <c r="Q309" s="18"/>
      <c r="R309" s="79"/>
      <c r="S309" s="18"/>
      <c r="T309" s="19"/>
      <c r="U309" s="19"/>
      <c r="V309" s="19"/>
      <c r="W309" s="19"/>
      <c r="X309" s="19"/>
      <c r="Y309" s="19"/>
    </row>
    <row r="310" spans="1:25" ht="13.2">
      <c r="A310" s="69">
        <v>1</v>
      </c>
      <c r="B310" s="64" t="s">
        <v>1616</v>
      </c>
      <c r="C310" s="11">
        <v>310</v>
      </c>
      <c r="D310" s="65">
        <v>10</v>
      </c>
      <c r="E310" s="66">
        <v>43535</v>
      </c>
      <c r="F310" s="13" t="str">
        <f>HYPERLINK("https://seleb.tempo.co/read/1184116/terlibat-prostitusi-seungri-bigbang-mundur-dari-industri-hiburan ","sumber")</f>
        <v>sumber</v>
      </c>
      <c r="G310" s="13" t="str">
        <f t="shared" ref="G310:G313" si="37">HYPERLINK("https://drive.google.com/open?id=15K5sriRJOw0JTPqD9yRZzl0fwZcfdV8X","lokasi")</f>
        <v>lokasi</v>
      </c>
      <c r="H310" s="65">
        <v>487</v>
      </c>
      <c r="I310" s="67">
        <v>1</v>
      </c>
      <c r="J310" s="11">
        <v>1</v>
      </c>
      <c r="K310" s="70" t="s">
        <v>1617</v>
      </c>
      <c r="L310" s="11">
        <v>0</v>
      </c>
      <c r="M310" s="28">
        <v>0</v>
      </c>
      <c r="N310" s="15">
        <v>0</v>
      </c>
      <c r="O310" s="11">
        <v>0</v>
      </c>
      <c r="P310" s="11">
        <v>0</v>
      </c>
      <c r="Q310" s="11">
        <v>0</v>
      </c>
      <c r="R310" s="11">
        <v>-1</v>
      </c>
      <c r="S310" s="11"/>
      <c r="T310" s="11">
        <v>0</v>
      </c>
      <c r="U310" s="11">
        <v>0</v>
      </c>
      <c r="V310" s="11">
        <v>1</v>
      </c>
      <c r="W310" s="14"/>
      <c r="X310" s="14"/>
      <c r="Y310" s="14"/>
    </row>
    <row r="311" spans="1:25" ht="13.2">
      <c r="A311" s="69">
        <v>1</v>
      </c>
      <c r="B311" s="64" t="s">
        <v>1618</v>
      </c>
      <c r="C311" s="11">
        <v>311</v>
      </c>
      <c r="D311" s="65">
        <v>5</v>
      </c>
      <c r="E311" s="66">
        <v>43536</v>
      </c>
      <c r="F311" s="13" t="str">
        <f>HYPERLINK("https://tirto.id/ruu-pks-tengku-zulkarnain-cabut-tuduhan-ke-pemerintah-djc9 ","sumber")</f>
        <v>sumber</v>
      </c>
      <c r="G311" s="13" t="str">
        <f t="shared" si="37"/>
        <v>lokasi</v>
      </c>
      <c r="H311" s="65">
        <v>335</v>
      </c>
      <c r="I311" s="67">
        <v>4</v>
      </c>
      <c r="J311" s="11">
        <v>1</v>
      </c>
      <c r="K311" s="70" t="s">
        <v>1619</v>
      </c>
      <c r="L311" s="11">
        <v>0</v>
      </c>
      <c r="M311" s="11">
        <v>0</v>
      </c>
      <c r="N311" s="15">
        <v>0</v>
      </c>
      <c r="O311" s="11">
        <v>0</v>
      </c>
      <c r="P311" s="11">
        <v>0</v>
      </c>
      <c r="Q311" s="11">
        <v>0</v>
      </c>
      <c r="R311" s="11">
        <v>0</v>
      </c>
      <c r="S311" s="11"/>
      <c r="T311" s="11">
        <v>0</v>
      </c>
      <c r="U311" s="11">
        <v>0</v>
      </c>
      <c r="V311" s="11">
        <v>1</v>
      </c>
      <c r="W311" s="14"/>
      <c r="X311" s="14"/>
      <c r="Y311" s="14"/>
    </row>
    <row r="312" spans="1:25" ht="13.2">
      <c r="A312" s="69">
        <v>1</v>
      </c>
      <c r="B312" s="64" t="s">
        <v>1620</v>
      </c>
      <c r="C312" s="11">
        <v>312</v>
      </c>
      <c r="D312" s="65">
        <v>3</v>
      </c>
      <c r="E312" s="66">
        <v>43541</v>
      </c>
      <c r="F312" s="13" t="str">
        <f>HYPERLINK("https://celebrity.okezone.com/read/2019/03/16/206/2030959/james-gunn-kembali-sutradarai-guardians-of-the-galaxy-vol-3 ","sumber")</f>
        <v>sumber</v>
      </c>
      <c r="G312" s="13" t="str">
        <f t="shared" si="37"/>
        <v>lokasi</v>
      </c>
      <c r="H312" s="65">
        <v>282</v>
      </c>
      <c r="I312" s="67">
        <v>2</v>
      </c>
      <c r="J312" s="11">
        <v>1</v>
      </c>
      <c r="K312" s="11"/>
      <c r="L312" s="11">
        <v>0</v>
      </c>
      <c r="M312" s="11">
        <v>0</v>
      </c>
      <c r="N312" s="15">
        <v>0</v>
      </c>
      <c r="O312" s="11">
        <v>0</v>
      </c>
      <c r="P312" s="11">
        <v>0</v>
      </c>
      <c r="Q312" s="11"/>
      <c r="R312" s="11"/>
      <c r="S312" s="11"/>
      <c r="T312" s="11">
        <v>0</v>
      </c>
      <c r="U312" s="11">
        <v>0</v>
      </c>
      <c r="V312" s="11">
        <v>1</v>
      </c>
      <c r="W312" s="14"/>
      <c r="X312" s="14"/>
      <c r="Y312" s="14"/>
    </row>
    <row r="313" spans="1:25" ht="13.2">
      <c r="A313" s="69">
        <v>1</v>
      </c>
      <c r="B313" s="64" t="s">
        <v>1621</v>
      </c>
      <c r="C313" s="11">
        <v>313</v>
      </c>
      <c r="D313" s="65">
        <v>3</v>
      </c>
      <c r="E313" s="66">
        <v>43542</v>
      </c>
      <c r="F313" s="13" t="str">
        <f>HYPERLINK("https://celebrity.okezone.com/read/2019/03/18/33/2031471/imbas-kasus-prostitusi-31-selebriti-korea-akhiri-hubungan-dengan-jung-joon-young ","sumber")</f>
        <v>sumber</v>
      </c>
      <c r="G313" s="13" t="str">
        <f t="shared" si="37"/>
        <v>lokasi</v>
      </c>
      <c r="H313" s="65">
        <v>443</v>
      </c>
      <c r="I313" s="67">
        <v>1</v>
      </c>
      <c r="J313" s="11">
        <v>1</v>
      </c>
      <c r="K313" s="11"/>
      <c r="L313" s="11">
        <v>0</v>
      </c>
      <c r="M313" s="28">
        <v>0</v>
      </c>
      <c r="N313" s="15">
        <v>0</v>
      </c>
      <c r="O313" s="11">
        <v>0</v>
      </c>
      <c r="P313" s="11">
        <v>0</v>
      </c>
      <c r="Q313" s="11"/>
      <c r="R313" s="11"/>
      <c r="S313" s="11"/>
      <c r="T313" s="11">
        <v>0</v>
      </c>
      <c r="U313" s="11">
        <v>0</v>
      </c>
      <c r="V313" s="11">
        <v>1</v>
      </c>
      <c r="W313" s="14"/>
      <c r="X313" s="14"/>
      <c r="Y313" s="14"/>
    </row>
    <row r="314" spans="1:25" ht="15" customHeight="1">
      <c r="A314" s="73">
        <v>2</v>
      </c>
      <c r="B314" s="74" t="s">
        <v>1622</v>
      </c>
      <c r="C314" s="18">
        <v>314</v>
      </c>
      <c r="D314" s="75">
        <v>9</v>
      </c>
      <c r="E314" s="76">
        <v>43544</v>
      </c>
      <c r="F314" s="20" t="str">
        <f>HYPERLINK("https://internasional.republika.co.id/berita/internasional/asia/poo96i320/nestapa-anakanak-afghanistan-di-tengah-bencana-perang ","sumber")</f>
        <v>sumber</v>
      </c>
      <c r="G314" s="18" t="s">
        <v>1</v>
      </c>
      <c r="H314" s="75">
        <v>504</v>
      </c>
      <c r="I314" s="77"/>
      <c r="J314" s="18">
        <v>1</v>
      </c>
      <c r="K314" s="78"/>
      <c r="L314" s="19"/>
      <c r="M314" s="19"/>
      <c r="N314" s="19"/>
      <c r="O314" s="19"/>
      <c r="P314" s="19"/>
      <c r="Q314" s="18"/>
      <c r="R314" s="79"/>
      <c r="S314" s="18"/>
      <c r="T314" s="19"/>
      <c r="U314" s="19"/>
      <c r="V314" s="19"/>
      <c r="W314" s="19"/>
      <c r="X314" s="19"/>
      <c r="Y314" s="19"/>
    </row>
    <row r="315" spans="1:25" ht="26.4">
      <c r="A315" s="69">
        <v>1</v>
      </c>
      <c r="B315" s="64" t="s">
        <v>1623</v>
      </c>
      <c r="C315" s="11">
        <v>315</v>
      </c>
      <c r="D315" s="65">
        <v>6</v>
      </c>
      <c r="E315" s="66">
        <v>43548</v>
      </c>
      <c r="F315" s="13" t="str">
        <f>HYPERLINK("https://regional.kompas.com/read/2019/03/24/21405571/diperkosa-berulang-selama-1-tahun-siswi-smp-laporkan-ayah-ke-polisi ","sumber")</f>
        <v>sumber</v>
      </c>
      <c r="G315" s="13" t="str">
        <f t="shared" ref="G315:G317" si="38">HYPERLINK("https://drive.google.com/open?id=15K5sriRJOw0JTPqD9yRZzl0fwZcfdV8X","lokasi")</f>
        <v>lokasi</v>
      </c>
      <c r="H315" s="65">
        <v>202</v>
      </c>
      <c r="I315" s="67">
        <v>1</v>
      </c>
      <c r="J315" s="11">
        <v>1</v>
      </c>
      <c r="K315" s="70" t="s">
        <v>1624</v>
      </c>
      <c r="L315" s="11">
        <v>0</v>
      </c>
      <c r="M315" s="11">
        <v>-1</v>
      </c>
      <c r="N315" s="15">
        <v>0</v>
      </c>
      <c r="O315" s="11">
        <v>-1</v>
      </c>
      <c r="P315" s="11">
        <v>0</v>
      </c>
      <c r="Q315" s="11">
        <v>0</v>
      </c>
      <c r="R315" s="11">
        <v>-1</v>
      </c>
      <c r="S315" s="11"/>
      <c r="T315" s="11">
        <v>0</v>
      </c>
      <c r="U315" s="11">
        <v>0</v>
      </c>
      <c r="V315" s="11">
        <v>1</v>
      </c>
      <c r="W315" s="14"/>
      <c r="X315" s="14"/>
      <c r="Y315" s="14"/>
    </row>
    <row r="316" spans="1:25" ht="26.4">
      <c r="A316" s="69">
        <v>1</v>
      </c>
      <c r="B316" s="64" t="s">
        <v>1625</v>
      </c>
      <c r="C316" s="11">
        <v>316</v>
      </c>
      <c r="D316" s="65">
        <v>8</v>
      </c>
      <c r="E316" s="66">
        <v>43554</v>
      </c>
      <c r="F316" s="13" t="str">
        <f>HYPERLINK("https://www.suara.com/news/2019/03/30/194144/siswi-sma-diperkosa-selama-disekap-3-hari-di-rumah-kosong ","sumber")</f>
        <v>sumber</v>
      </c>
      <c r="G316" s="13" t="str">
        <f t="shared" si="38"/>
        <v>lokasi</v>
      </c>
      <c r="H316" s="65">
        <v>250</v>
      </c>
      <c r="I316" s="67">
        <v>1</v>
      </c>
      <c r="J316" s="11">
        <v>1</v>
      </c>
      <c r="K316" s="70" t="s">
        <v>1626</v>
      </c>
      <c r="L316" s="11">
        <v>0</v>
      </c>
      <c r="M316" s="11">
        <v>-1</v>
      </c>
      <c r="N316" s="15">
        <v>0</v>
      </c>
      <c r="O316" s="11">
        <v>1</v>
      </c>
      <c r="P316" s="11">
        <v>0</v>
      </c>
      <c r="Q316" s="11">
        <v>0</v>
      </c>
      <c r="R316" s="11">
        <v>-1</v>
      </c>
      <c r="S316" s="11" t="s">
        <v>1627</v>
      </c>
      <c r="T316" s="11">
        <v>1</v>
      </c>
      <c r="U316" s="11">
        <v>0</v>
      </c>
      <c r="V316" s="11">
        <v>1</v>
      </c>
      <c r="W316" s="14"/>
      <c r="X316" s="14"/>
      <c r="Y316" s="14"/>
    </row>
    <row r="317" spans="1:25" ht="13.2">
      <c r="A317" s="69">
        <v>1</v>
      </c>
      <c r="B317" s="64" t="s">
        <v>1628</v>
      </c>
      <c r="C317" s="11">
        <v>317</v>
      </c>
      <c r="D317" s="65">
        <v>1</v>
      </c>
      <c r="E317" s="66">
        <v>43556</v>
      </c>
      <c r="F317" s="13" t="str">
        <f>HYPERLINK("https://news.detik.com/berita-jawa-timur/d-4492536/vanessa-angel-jadi-saksi-di-sidang-muncikari ","sumber")</f>
        <v>sumber</v>
      </c>
      <c r="G317" s="13" t="str">
        <f t="shared" si="38"/>
        <v>lokasi</v>
      </c>
      <c r="H317" s="65">
        <v>141</v>
      </c>
      <c r="I317" s="67">
        <v>1</v>
      </c>
      <c r="J317" s="11">
        <v>1</v>
      </c>
      <c r="K317" s="70" t="s">
        <v>1629</v>
      </c>
      <c r="L317" s="11">
        <v>0</v>
      </c>
      <c r="M317" s="28">
        <v>0</v>
      </c>
      <c r="N317" s="15">
        <v>0</v>
      </c>
      <c r="O317" s="11">
        <v>0</v>
      </c>
      <c r="P317" s="11">
        <v>0</v>
      </c>
      <c r="Q317" s="11">
        <v>0</v>
      </c>
      <c r="R317" s="11">
        <v>0</v>
      </c>
      <c r="S317" s="11"/>
      <c r="T317" s="11">
        <v>0</v>
      </c>
      <c r="U317" s="11">
        <v>0</v>
      </c>
      <c r="V317" s="11">
        <v>1</v>
      </c>
      <c r="W317" s="14"/>
      <c r="X317" s="14"/>
      <c r="Y317" s="14"/>
    </row>
    <row r="318" spans="1:25" ht="13.2">
      <c r="A318" s="73">
        <v>2</v>
      </c>
      <c r="B318" s="74" t="s">
        <v>1630</v>
      </c>
      <c r="C318" s="18">
        <v>318</v>
      </c>
      <c r="D318" s="75">
        <v>4</v>
      </c>
      <c r="E318" s="76">
        <v>43558</v>
      </c>
      <c r="F318" s="20" t="str">
        <f>HYPERLINK("https://www.liputan6.com/global/read/3933018/usai-terapkan-hukum-syariah-sultan-brunei-imbau-warga-perkuat-ajaran-islam ","sumber")</f>
        <v>sumber</v>
      </c>
      <c r="G318" s="18" t="s">
        <v>1</v>
      </c>
      <c r="H318" s="75">
        <v>539</v>
      </c>
      <c r="I318" s="77"/>
      <c r="J318" s="18">
        <v>1</v>
      </c>
      <c r="K318" s="78"/>
      <c r="L318" s="19"/>
      <c r="M318" s="19"/>
      <c r="N318" s="19"/>
      <c r="O318" s="19"/>
      <c r="P318" s="19"/>
      <c r="Q318" s="18"/>
      <c r="R318" s="79"/>
      <c r="S318" s="18"/>
      <c r="T318" s="19"/>
      <c r="U318" s="19"/>
      <c r="V318" s="19"/>
      <c r="W318" s="19"/>
      <c r="X318" s="19"/>
      <c r="Y318" s="19"/>
    </row>
    <row r="319" spans="1:25" ht="13.2">
      <c r="A319" s="69">
        <v>1</v>
      </c>
      <c r="B319" s="64" t="s">
        <v>1631</v>
      </c>
      <c r="C319" s="11">
        <v>319</v>
      </c>
      <c r="D319" s="65">
        <v>10</v>
      </c>
      <c r="E319" s="66">
        <v>43560</v>
      </c>
      <c r="F319" s="13" t="str">
        <f>HYPERLINK("https://seleb.tempo.co/read/1192778/jaksa-vanessa-angel-pernah-diajak-makan-malam-dengan-menteri ","sumber")</f>
        <v>sumber</v>
      </c>
      <c r="G319" s="13" t="str">
        <f t="shared" ref="G319:G320" si="39">HYPERLINK("https://drive.google.com/open?id=15K5sriRJOw0JTPqD9yRZzl0fwZcfdV8X","lokasi")</f>
        <v>lokasi</v>
      </c>
      <c r="H319" s="65">
        <v>175</v>
      </c>
      <c r="I319" s="67">
        <v>2</v>
      </c>
      <c r="J319" s="11">
        <v>1</v>
      </c>
      <c r="K319" s="70" t="s">
        <v>1632</v>
      </c>
      <c r="L319" s="11">
        <v>0</v>
      </c>
      <c r="M319" s="11">
        <v>0</v>
      </c>
      <c r="N319" s="15">
        <v>0</v>
      </c>
      <c r="O319" s="11">
        <v>0</v>
      </c>
      <c r="P319" s="11">
        <v>0</v>
      </c>
      <c r="Q319" s="11">
        <v>0</v>
      </c>
      <c r="R319" s="11">
        <v>0</v>
      </c>
      <c r="S319" s="11"/>
      <c r="T319" s="11">
        <v>0</v>
      </c>
      <c r="U319" s="11">
        <v>0</v>
      </c>
      <c r="V319" s="11">
        <v>1</v>
      </c>
      <c r="W319" s="14"/>
      <c r="X319" s="14"/>
      <c r="Y319" s="14"/>
    </row>
    <row r="320" spans="1:25" ht="39.6">
      <c r="A320" s="80">
        <v>1</v>
      </c>
      <c r="B320" s="93" t="s">
        <v>1633</v>
      </c>
      <c r="C320" s="82">
        <v>320</v>
      </c>
      <c r="D320" s="83">
        <v>9</v>
      </c>
      <c r="E320" s="84">
        <v>43575</v>
      </c>
      <c r="F320" s="85" t="str">
        <f>HYPERLINK("https://nasional.republika.co.id/berita/nasional/daerah/pq9pwu349/tersangka-pembunuh-istri-di-maluku-terancam-15-tahun-penjara ","sumber")</f>
        <v>sumber</v>
      </c>
      <c r="G320" s="85" t="str">
        <f t="shared" si="39"/>
        <v>lokasi</v>
      </c>
      <c r="H320" s="83">
        <v>300</v>
      </c>
      <c r="I320" s="86">
        <v>1</v>
      </c>
      <c r="J320" s="82">
        <v>1</v>
      </c>
      <c r="K320" s="87" t="s">
        <v>1634</v>
      </c>
      <c r="L320" s="82">
        <v>0</v>
      </c>
      <c r="M320" s="28">
        <v>0</v>
      </c>
      <c r="N320" s="88">
        <v>0</v>
      </c>
      <c r="O320" s="82">
        <v>0</v>
      </c>
      <c r="P320" s="82">
        <v>0</v>
      </c>
      <c r="Q320" s="82">
        <v>0</v>
      </c>
      <c r="R320" s="89">
        <v>0</v>
      </c>
      <c r="S320" s="82"/>
      <c r="T320" s="82">
        <v>0</v>
      </c>
      <c r="U320" s="82">
        <v>0</v>
      </c>
      <c r="V320" s="82">
        <v>1</v>
      </c>
      <c r="W320" s="90"/>
      <c r="X320" s="90"/>
      <c r="Y320" s="90"/>
    </row>
    <row r="321" spans="1:25" ht="13.2">
      <c r="A321" s="73">
        <v>2</v>
      </c>
      <c r="B321" s="74" t="s">
        <v>1635</v>
      </c>
      <c r="C321" s="18">
        <v>321</v>
      </c>
      <c r="D321" s="75">
        <v>9</v>
      </c>
      <c r="E321" s="76">
        <v>43562</v>
      </c>
      <c r="F321" s="20" t="str">
        <f>HYPERLINK("https://nasional.republika.co.id/berita/nasional/daerah/ppkzii377/penyebar-ltemgthoaks-ltemgtkerusuhan-1998-ditangkap ","sumber")</f>
        <v>sumber</v>
      </c>
      <c r="G321" s="18" t="s">
        <v>1</v>
      </c>
      <c r="H321" s="75">
        <v>396</v>
      </c>
      <c r="I321" s="91"/>
      <c r="J321" s="18">
        <v>1</v>
      </c>
      <c r="K321" s="92"/>
      <c r="L321" s="18"/>
      <c r="M321" s="18"/>
      <c r="N321" s="18"/>
      <c r="O321" s="18"/>
      <c r="P321" s="18"/>
      <c r="Q321" s="18"/>
      <c r="R321" s="79"/>
      <c r="S321" s="18"/>
      <c r="T321" s="18"/>
      <c r="U321" s="18"/>
      <c r="V321" s="18"/>
      <c r="W321" s="19"/>
      <c r="X321" s="19"/>
      <c r="Y321" s="19"/>
    </row>
    <row r="322" spans="1:25" ht="39.6">
      <c r="A322" s="69">
        <v>1</v>
      </c>
      <c r="B322" s="64" t="s">
        <v>1636</v>
      </c>
      <c r="C322" s="11">
        <v>322</v>
      </c>
      <c r="D322" s="65">
        <v>3</v>
      </c>
      <c r="E322" s="66">
        <v>43566</v>
      </c>
      <c r="F322" s="13" t="str">
        <f>HYPERLINK("https://news.okezone.com/read/2019/04/11/337/2042049/kementerian-pppa-3-tersangka-penganiaya-au-depresi-berat ","sumber")</f>
        <v>sumber</v>
      </c>
      <c r="G322" s="13" t="str">
        <f t="shared" ref="G322:G332" si="40">HYPERLINK("https://drive.google.com/open?id=15K5sriRJOw0JTPqD9yRZzl0fwZcfdV8X","lokasi")</f>
        <v>lokasi</v>
      </c>
      <c r="H322" s="65">
        <v>290</v>
      </c>
      <c r="I322" s="97">
        <v>1</v>
      </c>
      <c r="J322" s="15">
        <v>1</v>
      </c>
      <c r="K322" s="98" t="s">
        <v>1637</v>
      </c>
      <c r="L322" s="14">
        <v>0</v>
      </c>
      <c r="M322" s="14">
        <v>-1</v>
      </c>
      <c r="N322" s="15">
        <v>0</v>
      </c>
      <c r="O322" s="14">
        <v>0</v>
      </c>
      <c r="P322" s="14">
        <v>0</v>
      </c>
      <c r="Q322" s="14">
        <v>0</v>
      </c>
      <c r="R322" s="14">
        <v>0</v>
      </c>
      <c r="S322" s="14"/>
      <c r="T322" s="14">
        <v>0</v>
      </c>
      <c r="U322" s="14">
        <v>0</v>
      </c>
      <c r="V322" s="14">
        <v>1</v>
      </c>
      <c r="W322" s="14"/>
      <c r="X322" s="14"/>
      <c r="Y322" s="14"/>
    </row>
    <row r="323" spans="1:25" ht="26.4">
      <c r="A323" s="69">
        <v>1</v>
      </c>
      <c r="B323" s="64" t="s">
        <v>1638</v>
      </c>
      <c r="C323" s="11">
        <v>323</v>
      </c>
      <c r="D323" s="65">
        <v>9</v>
      </c>
      <c r="E323" s="66">
        <v>43567</v>
      </c>
      <c r="F323" s="13" t="str">
        <f>HYPERLINK("https://internasional.republika.co.id/berita/internasional/amerika/pptxzx366/presiden-ekuador-ungkap-alasan-suaka-politik-assange-dicabut ","sumber")</f>
        <v>sumber</v>
      </c>
      <c r="G323" s="13" t="str">
        <f t="shared" si="40"/>
        <v>lokasi</v>
      </c>
      <c r="H323" s="65">
        <v>252</v>
      </c>
      <c r="I323" s="67">
        <v>4</v>
      </c>
      <c r="J323" s="11">
        <v>1</v>
      </c>
      <c r="K323" s="70" t="s">
        <v>1639</v>
      </c>
      <c r="L323" s="11">
        <v>0</v>
      </c>
      <c r="M323" s="11">
        <v>0</v>
      </c>
      <c r="N323" s="15">
        <v>0</v>
      </c>
      <c r="O323" s="11">
        <v>1</v>
      </c>
      <c r="P323" s="11">
        <v>0</v>
      </c>
      <c r="Q323" s="11">
        <v>0</v>
      </c>
      <c r="R323" s="11">
        <v>1</v>
      </c>
      <c r="S323" s="11"/>
      <c r="T323" s="11">
        <v>0</v>
      </c>
      <c r="U323" s="11">
        <v>0</v>
      </c>
      <c r="V323" s="11">
        <v>1</v>
      </c>
      <c r="W323" s="14"/>
      <c r="X323" s="14"/>
      <c r="Y323" s="14"/>
    </row>
    <row r="324" spans="1:25" ht="66">
      <c r="A324" s="69">
        <v>1</v>
      </c>
      <c r="B324" s="64" t="s">
        <v>1640</v>
      </c>
      <c r="C324" s="11">
        <v>324</v>
      </c>
      <c r="D324" s="65">
        <v>2</v>
      </c>
      <c r="E324" s="66">
        <v>43579</v>
      </c>
      <c r="F324" s="13" t="str">
        <f>HYPERLINK("https://www.cnnindonesia.com/nasional/20190424121437-12-389152/vanessa-angel-jalani-sidang-perdana-di-pn-surabaya ","sumber")</f>
        <v>sumber</v>
      </c>
      <c r="G324" s="13" t="str">
        <f t="shared" si="40"/>
        <v>lokasi</v>
      </c>
      <c r="H324" s="65">
        <v>276</v>
      </c>
      <c r="I324" s="67">
        <v>1</v>
      </c>
      <c r="J324" s="11">
        <v>1</v>
      </c>
      <c r="K324" s="70" t="s">
        <v>1641</v>
      </c>
      <c r="L324" s="11">
        <v>0</v>
      </c>
      <c r="M324" s="11">
        <v>1</v>
      </c>
      <c r="N324" s="15">
        <v>0</v>
      </c>
      <c r="O324" s="11">
        <v>0</v>
      </c>
      <c r="P324" s="11">
        <v>0</v>
      </c>
      <c r="Q324" s="11" t="s">
        <v>87</v>
      </c>
      <c r="R324" s="11" t="s">
        <v>182</v>
      </c>
      <c r="S324" s="11"/>
      <c r="T324" s="11">
        <v>0</v>
      </c>
      <c r="U324" s="11">
        <v>0</v>
      </c>
      <c r="V324" s="11">
        <v>1</v>
      </c>
      <c r="W324" s="14"/>
      <c r="X324" s="14"/>
      <c r="Y324" s="14"/>
    </row>
    <row r="325" spans="1:25" ht="26.4">
      <c r="A325" s="69">
        <v>1</v>
      </c>
      <c r="B325" s="64" t="s">
        <v>1642</v>
      </c>
      <c r="C325" s="11">
        <v>325</v>
      </c>
      <c r="D325" s="65">
        <v>5</v>
      </c>
      <c r="E325" s="66">
        <v>43579</v>
      </c>
      <c r="F325" s="13" t="str">
        <f>HYPERLINK("https://tirto.id/perempuan-penyedia-transportasi-daring-waspadai-pelecehan-seksual-dm2P ","sumber")</f>
        <v>sumber</v>
      </c>
      <c r="G325" s="13" t="str">
        <f t="shared" si="40"/>
        <v>lokasi</v>
      </c>
      <c r="H325" s="65">
        <v>264</v>
      </c>
      <c r="I325" s="67">
        <v>2</v>
      </c>
      <c r="J325" s="11">
        <v>1</v>
      </c>
      <c r="K325" s="70" t="s">
        <v>1602</v>
      </c>
      <c r="L325" s="11">
        <v>0</v>
      </c>
      <c r="M325" s="11">
        <v>0</v>
      </c>
      <c r="N325" s="15">
        <v>0</v>
      </c>
      <c r="O325" s="11">
        <v>0</v>
      </c>
      <c r="P325" s="11">
        <v>0</v>
      </c>
      <c r="Q325" s="11">
        <v>1</v>
      </c>
      <c r="R325" s="11">
        <v>1</v>
      </c>
      <c r="S325" s="11"/>
      <c r="T325" s="11">
        <v>0</v>
      </c>
      <c r="U325" s="11">
        <v>0</v>
      </c>
      <c r="V325" s="11">
        <v>1</v>
      </c>
      <c r="W325" s="14"/>
      <c r="X325" s="14"/>
      <c r="Y325" s="14"/>
    </row>
    <row r="326" spans="1:25" ht="13.2">
      <c r="A326" s="69">
        <v>1</v>
      </c>
      <c r="B326" s="64" t="s">
        <v>1643</v>
      </c>
      <c r="C326" s="11">
        <v>326</v>
      </c>
      <c r="D326" s="65">
        <v>1</v>
      </c>
      <c r="E326" s="66">
        <v>43583</v>
      </c>
      <c r="F326" s="13" t="str">
        <f>HYPERLINK("https://news.detik.com/berita/d-4528135/ruu-pks-tokoh-agama-yang-memperkosa-minimal-dipenjara-12-tahun ","sumber")</f>
        <v>sumber</v>
      </c>
      <c r="G326" s="13" t="str">
        <f t="shared" si="40"/>
        <v>lokasi</v>
      </c>
      <c r="H326" s="65">
        <v>441</v>
      </c>
      <c r="I326" s="67">
        <v>4</v>
      </c>
      <c r="J326" s="11">
        <v>1</v>
      </c>
      <c r="K326" s="11"/>
      <c r="L326" s="11">
        <v>0</v>
      </c>
      <c r="M326" s="11">
        <v>0</v>
      </c>
      <c r="N326" s="15">
        <v>0</v>
      </c>
      <c r="O326" s="11">
        <v>0</v>
      </c>
      <c r="P326" s="11">
        <v>-1</v>
      </c>
      <c r="Q326" s="11"/>
      <c r="R326" s="11"/>
      <c r="S326" s="11"/>
      <c r="T326" s="11">
        <v>0</v>
      </c>
      <c r="U326" s="11">
        <v>0</v>
      </c>
      <c r="V326" s="11">
        <v>1</v>
      </c>
      <c r="W326" s="14"/>
      <c r="X326" s="14"/>
      <c r="Y326" s="14"/>
    </row>
    <row r="327" spans="1:25" ht="66">
      <c r="A327" s="69">
        <v>1</v>
      </c>
      <c r="B327" s="64" t="s">
        <v>1644</v>
      </c>
      <c r="C327" s="11">
        <v>327</v>
      </c>
      <c r="D327" s="65">
        <v>1</v>
      </c>
      <c r="E327" s="66">
        <v>43588</v>
      </c>
      <c r="F327" s="13" t="str">
        <f>HYPERLINK("https://news.detik.com/berita/d-4534503/desertir-tni-culik-cabuli-anak-aktivis-perempuan-demo-markas-tni ","sumber")</f>
        <v>sumber</v>
      </c>
      <c r="G327" s="13" t="str">
        <f t="shared" si="40"/>
        <v>lokasi</v>
      </c>
      <c r="H327" s="65">
        <v>254</v>
      </c>
      <c r="I327" s="67">
        <v>1</v>
      </c>
      <c r="J327" s="11">
        <v>1</v>
      </c>
      <c r="K327" s="70" t="s">
        <v>1645</v>
      </c>
      <c r="L327" s="11">
        <v>0</v>
      </c>
      <c r="M327" s="28">
        <v>0</v>
      </c>
      <c r="N327" s="15">
        <v>0</v>
      </c>
      <c r="O327" s="11">
        <v>0</v>
      </c>
      <c r="P327" s="11">
        <v>0</v>
      </c>
      <c r="Q327" s="11" t="s">
        <v>68</v>
      </c>
      <c r="R327" s="11" t="s">
        <v>160</v>
      </c>
      <c r="S327" s="11"/>
      <c r="T327" s="11">
        <v>0</v>
      </c>
      <c r="U327" s="11">
        <v>0</v>
      </c>
      <c r="V327" s="11">
        <v>1</v>
      </c>
      <c r="W327" s="14"/>
      <c r="X327" s="14"/>
      <c r="Y327" s="14"/>
    </row>
    <row r="328" spans="1:25" ht="52.8">
      <c r="A328" s="69">
        <v>1</v>
      </c>
      <c r="B328" s="64" t="s">
        <v>1646</v>
      </c>
      <c r="C328" s="11">
        <v>328</v>
      </c>
      <c r="D328" s="65">
        <v>5</v>
      </c>
      <c r="E328" s="66">
        <v>43588</v>
      </c>
      <c r="F328" s="13" t="str">
        <f>HYPERLINK("https://tirto.id/polisi-tak-berwenang-menggunduli-peserta-may-day-di-bandung-dnzx ","sumber")</f>
        <v>sumber</v>
      </c>
      <c r="G328" s="13" t="str">
        <f t="shared" si="40"/>
        <v>lokasi</v>
      </c>
      <c r="H328" s="65">
        <v>618</v>
      </c>
      <c r="I328" s="67">
        <v>1</v>
      </c>
      <c r="J328" s="11">
        <v>1</v>
      </c>
      <c r="K328" s="70" t="s">
        <v>1647</v>
      </c>
      <c r="L328" s="11">
        <v>0</v>
      </c>
      <c r="M328" s="11">
        <v>1</v>
      </c>
      <c r="N328" s="15">
        <v>0</v>
      </c>
      <c r="O328" s="11">
        <v>0</v>
      </c>
      <c r="P328" s="11">
        <v>0</v>
      </c>
      <c r="Q328" s="11" t="s">
        <v>21</v>
      </c>
      <c r="R328" s="11" t="s">
        <v>1648</v>
      </c>
      <c r="S328" s="11"/>
      <c r="T328" s="11">
        <v>0</v>
      </c>
      <c r="U328" s="11">
        <v>0</v>
      </c>
      <c r="V328" s="11">
        <v>1</v>
      </c>
      <c r="W328" s="14"/>
      <c r="X328" s="14"/>
      <c r="Y328" s="14"/>
    </row>
    <row r="329" spans="1:25" ht="39.6">
      <c r="A329" s="69">
        <v>1</v>
      </c>
      <c r="B329" s="64" t="s">
        <v>1649</v>
      </c>
      <c r="C329" s="11">
        <v>329</v>
      </c>
      <c r="D329" s="65">
        <v>7</v>
      </c>
      <c r="E329" s="66">
        <v>43589</v>
      </c>
      <c r="F329" s="13" t="str">
        <f>HYPERLINK("http://www.tribunnews.com/seleb/2019/05/04/jelang-ramadan-ayahanda-vanessa-angel-belum-juga-menjenguk-vanessa ","sumber")</f>
        <v>sumber</v>
      </c>
      <c r="G329" s="13" t="str">
        <f t="shared" si="40"/>
        <v>lokasi</v>
      </c>
      <c r="H329" s="65">
        <v>170</v>
      </c>
      <c r="I329" s="67">
        <v>2</v>
      </c>
      <c r="J329" s="11">
        <v>1</v>
      </c>
      <c r="K329" s="70" t="s">
        <v>1650</v>
      </c>
      <c r="L329" s="11">
        <v>0</v>
      </c>
      <c r="M329" s="11">
        <v>0</v>
      </c>
      <c r="N329" s="15">
        <v>0</v>
      </c>
      <c r="O329" s="11">
        <v>0</v>
      </c>
      <c r="P329" s="11">
        <v>0</v>
      </c>
      <c r="Q329" s="11" t="s">
        <v>178</v>
      </c>
      <c r="R329" s="11" t="s">
        <v>160</v>
      </c>
      <c r="S329" s="11"/>
      <c r="T329" s="11">
        <v>0</v>
      </c>
      <c r="U329" s="11">
        <v>0</v>
      </c>
      <c r="V329" s="11">
        <v>0</v>
      </c>
      <c r="W329" s="14"/>
      <c r="X329" s="14"/>
      <c r="Y329" s="14"/>
    </row>
    <row r="330" spans="1:25" ht="26.4">
      <c r="A330" s="69">
        <v>1</v>
      </c>
      <c r="B330" s="64" t="s">
        <v>1651</v>
      </c>
      <c r="C330" s="11">
        <v>330</v>
      </c>
      <c r="D330" s="65">
        <v>7</v>
      </c>
      <c r="E330" s="66">
        <v>43590</v>
      </c>
      <c r="F330" s="13" t="str">
        <f>HYPERLINK("http://www.tribunnews.com/regional/2019/05/05/mati-lampu-resbi-malah-cari-kesempatan-untuk-memperkosa-tetangga ","sumber")</f>
        <v>sumber</v>
      </c>
      <c r="G330" s="13" t="str">
        <f t="shared" si="40"/>
        <v>lokasi</v>
      </c>
      <c r="H330" s="65">
        <v>182</v>
      </c>
      <c r="I330" s="67">
        <v>1</v>
      </c>
      <c r="J330" s="11">
        <v>1</v>
      </c>
      <c r="K330" s="70" t="s">
        <v>1652</v>
      </c>
      <c r="L330" s="11">
        <v>0</v>
      </c>
      <c r="M330" s="11">
        <v>-1</v>
      </c>
      <c r="N330" s="11">
        <v>-1</v>
      </c>
      <c r="O330" s="11">
        <v>-1</v>
      </c>
      <c r="P330" s="11">
        <v>-1</v>
      </c>
      <c r="Q330" s="11">
        <v>0</v>
      </c>
      <c r="R330" s="11">
        <v>0</v>
      </c>
      <c r="S330" s="11"/>
      <c r="T330" s="11">
        <v>0</v>
      </c>
      <c r="U330" s="11">
        <v>0</v>
      </c>
      <c r="V330" s="11">
        <v>1</v>
      </c>
      <c r="W330" s="14"/>
      <c r="X330" s="14"/>
      <c r="Y330" s="14"/>
    </row>
    <row r="331" spans="1:25" ht="39.6">
      <c r="A331" s="80">
        <v>1</v>
      </c>
      <c r="B331" s="93" t="s">
        <v>1653</v>
      </c>
      <c r="C331" s="82">
        <v>331</v>
      </c>
      <c r="D331" s="83">
        <v>5</v>
      </c>
      <c r="E331" s="84">
        <v>43586</v>
      </c>
      <c r="F331" s="85" t="str">
        <f>HYPERLINK("https://tirto.id/kasus-dosen-mesum-di-undip-investigasi-kampus-hampir-selesai-dnoo ","sumber")</f>
        <v>sumber</v>
      </c>
      <c r="G331" s="85" t="str">
        <f t="shared" si="40"/>
        <v>lokasi</v>
      </c>
      <c r="H331" s="83">
        <v>505</v>
      </c>
      <c r="I331" s="86">
        <v>1</v>
      </c>
      <c r="J331" s="82">
        <v>1</v>
      </c>
      <c r="K331" s="87" t="s">
        <v>1654</v>
      </c>
      <c r="L331" s="82">
        <v>0</v>
      </c>
      <c r="M331" s="82">
        <v>1</v>
      </c>
      <c r="N331" s="88">
        <v>0</v>
      </c>
      <c r="O331" s="82">
        <v>1</v>
      </c>
      <c r="P331" s="82">
        <v>0</v>
      </c>
      <c r="Q331" s="82" t="s">
        <v>1655</v>
      </c>
      <c r="R331" s="89" t="s">
        <v>106</v>
      </c>
      <c r="S331" s="82"/>
      <c r="T331" s="82">
        <v>0</v>
      </c>
      <c r="U331" s="82">
        <v>0</v>
      </c>
      <c r="V331" s="82">
        <v>1</v>
      </c>
      <c r="W331" s="90"/>
      <c r="X331" s="90"/>
      <c r="Y331" s="90"/>
    </row>
    <row r="332" spans="1:25" ht="13.2">
      <c r="A332" s="80">
        <v>1</v>
      </c>
      <c r="B332" s="93" t="s">
        <v>1656</v>
      </c>
      <c r="C332" s="82">
        <v>332</v>
      </c>
      <c r="D332" s="83">
        <v>7</v>
      </c>
      <c r="E332" s="84">
        <v>43594</v>
      </c>
      <c r="F332" s="85" t="str">
        <f>HYPERLINK("http://www.tribunnews.com/internasional/2019/05/09/paus-fransiskus-mewajibkan-rohaniwan-katolik-untuk-melaporkan-pelecehan-seksual ","sumber")</f>
        <v>sumber</v>
      </c>
      <c r="G332" s="85" t="str">
        <f t="shared" si="40"/>
        <v>lokasi</v>
      </c>
      <c r="H332" s="83">
        <v>264</v>
      </c>
      <c r="I332" s="86">
        <v>4</v>
      </c>
      <c r="J332" s="82">
        <v>1</v>
      </c>
      <c r="K332" s="87" t="s">
        <v>948</v>
      </c>
      <c r="L332" s="82">
        <v>0</v>
      </c>
      <c r="M332" s="82">
        <v>0</v>
      </c>
      <c r="N332" s="88">
        <v>0</v>
      </c>
      <c r="O332" s="82">
        <v>0</v>
      </c>
      <c r="P332" s="82">
        <v>0</v>
      </c>
      <c r="Q332" s="82">
        <v>0</v>
      </c>
      <c r="R332" s="89">
        <v>1</v>
      </c>
      <c r="S332" s="82"/>
      <c r="T332" s="82">
        <v>0</v>
      </c>
      <c r="U332" s="82">
        <v>0</v>
      </c>
      <c r="V332" s="82">
        <v>1</v>
      </c>
      <c r="W332" s="90"/>
      <c r="X332" s="90"/>
      <c r="Y332" s="90"/>
    </row>
    <row r="333" spans="1:25" ht="13.2">
      <c r="A333" s="73">
        <v>2</v>
      </c>
      <c r="B333" s="74" t="s">
        <v>1657</v>
      </c>
      <c r="C333" s="18">
        <v>333</v>
      </c>
      <c r="D333" s="75">
        <v>5</v>
      </c>
      <c r="E333" s="76">
        <v>43596</v>
      </c>
      <c r="F333" s="20" t="str">
        <f>HYPERLINK("https://tirto.id/liga-1-2019-silvio-escobar-pamit-dilepas-persija-dAa6 ","sumber")</f>
        <v>sumber</v>
      </c>
      <c r="G333" s="18" t="s">
        <v>1</v>
      </c>
      <c r="H333" s="75">
        <v>314</v>
      </c>
      <c r="I333" s="77"/>
      <c r="J333" s="18">
        <v>1</v>
      </c>
      <c r="K333" s="78"/>
      <c r="L333" s="19"/>
      <c r="M333" s="19"/>
      <c r="N333" s="19"/>
      <c r="O333" s="19"/>
      <c r="P333" s="19"/>
      <c r="Q333" s="18"/>
      <c r="R333" s="79"/>
      <c r="S333" s="18"/>
      <c r="T333" s="19"/>
      <c r="U333" s="19"/>
      <c r="V333" s="19"/>
      <c r="W333" s="19"/>
      <c r="X333" s="19"/>
      <c r="Y333" s="19"/>
    </row>
    <row r="334" spans="1:25" ht="39.6">
      <c r="A334" s="69">
        <v>1</v>
      </c>
      <c r="B334" s="64" t="s">
        <v>1658</v>
      </c>
      <c r="C334" s="11">
        <v>334</v>
      </c>
      <c r="D334" s="65">
        <v>9</v>
      </c>
      <c r="E334" s="66">
        <v>43599</v>
      </c>
      <c r="F334" s="13" t="str">
        <f>HYPERLINK("https://internasional.republika.co.id/berita/internasional/eropa/prgv8h366/kasus-pemerkosaan-julian-assange-dibuka-kembali ","sumber")</f>
        <v>sumber</v>
      </c>
      <c r="G334" s="13" t="str">
        <f t="shared" ref="G334:G336" si="41">HYPERLINK("https://drive.google.com/open?id=15K5sriRJOw0JTPqD9yRZzl0fwZcfdV8X","lokasi")</f>
        <v>lokasi</v>
      </c>
      <c r="H334" s="65">
        <v>380</v>
      </c>
      <c r="I334" s="67">
        <v>1</v>
      </c>
      <c r="J334" s="11">
        <v>1</v>
      </c>
      <c r="K334" s="70" t="s">
        <v>1659</v>
      </c>
      <c r="L334" s="11">
        <v>0</v>
      </c>
      <c r="M334" s="28">
        <v>0</v>
      </c>
      <c r="N334" s="15">
        <v>0</v>
      </c>
      <c r="O334" s="11">
        <v>1</v>
      </c>
      <c r="P334" s="11">
        <v>0</v>
      </c>
      <c r="Q334" s="11">
        <v>0</v>
      </c>
      <c r="R334" s="11">
        <v>1</v>
      </c>
      <c r="S334" s="11"/>
      <c r="T334" s="11">
        <v>0</v>
      </c>
      <c r="U334" s="11">
        <v>0</v>
      </c>
      <c r="V334" s="11">
        <v>1</v>
      </c>
      <c r="W334" s="14"/>
      <c r="X334" s="14"/>
      <c r="Y334" s="14"/>
    </row>
    <row r="335" spans="1:25" ht="66">
      <c r="A335" s="80">
        <v>1</v>
      </c>
      <c r="B335" s="93" t="s">
        <v>1660</v>
      </c>
      <c r="C335" s="82">
        <v>335</v>
      </c>
      <c r="D335" s="83">
        <v>4</v>
      </c>
      <c r="E335" s="84">
        <v>43615</v>
      </c>
      <c r="F335" s="85" t="str">
        <f>HYPERLINK("https://www.liputan6.com/global/read/3979873/bakar-perempuan-hingga-tewas-16-orang-di-bangladesh-terancam-hukuman-mati ","sumber")</f>
        <v>sumber</v>
      </c>
      <c r="G335" s="85" t="str">
        <f t="shared" si="41"/>
        <v>lokasi</v>
      </c>
      <c r="H335" s="83">
        <v>376</v>
      </c>
      <c r="I335" s="86">
        <v>1</v>
      </c>
      <c r="J335" s="82">
        <v>1</v>
      </c>
      <c r="K335" s="87" t="s">
        <v>1661</v>
      </c>
      <c r="L335" s="82">
        <v>0</v>
      </c>
      <c r="M335" s="28">
        <v>0</v>
      </c>
      <c r="N335" s="88">
        <v>0</v>
      </c>
      <c r="O335" s="82">
        <v>0</v>
      </c>
      <c r="P335" s="82">
        <v>0</v>
      </c>
      <c r="Q335" s="82" t="s">
        <v>134</v>
      </c>
      <c r="R335" s="89" t="s">
        <v>360</v>
      </c>
      <c r="S335" s="82"/>
      <c r="T335" s="82">
        <v>0</v>
      </c>
      <c r="U335" s="82">
        <v>0</v>
      </c>
      <c r="V335" s="82">
        <v>1</v>
      </c>
      <c r="W335" s="90"/>
      <c r="X335" s="90"/>
      <c r="Y335" s="90"/>
    </row>
    <row r="336" spans="1:25" ht="26.4">
      <c r="A336" s="69">
        <v>1</v>
      </c>
      <c r="B336" s="64" t="s">
        <v>1662</v>
      </c>
      <c r="C336" s="11">
        <v>336</v>
      </c>
      <c r="D336" s="65">
        <v>6</v>
      </c>
      <c r="E336" s="66">
        <v>43607</v>
      </c>
      <c r="F336" s="13" t="str">
        <f>HYPERLINK("https://regional.kompas.com/read/2019/05/22/22525341/om-bob-jual-bocah-pengamen-ke-penyuka-sesama-jenis-tarifnya-rp-150000 ","sumber")</f>
        <v>sumber</v>
      </c>
      <c r="G336" s="13" t="str">
        <f t="shared" si="41"/>
        <v>lokasi</v>
      </c>
      <c r="H336" s="65">
        <v>281</v>
      </c>
      <c r="I336" s="67">
        <v>1</v>
      </c>
      <c r="J336" s="11">
        <v>1</v>
      </c>
      <c r="K336" s="70" t="s">
        <v>1663</v>
      </c>
      <c r="L336" s="11">
        <v>0</v>
      </c>
      <c r="M336" s="11">
        <v>-1</v>
      </c>
      <c r="N336" s="15">
        <v>0</v>
      </c>
      <c r="O336" s="11">
        <v>0</v>
      </c>
      <c r="P336" s="11">
        <v>0</v>
      </c>
      <c r="Q336" s="11">
        <v>0</v>
      </c>
      <c r="R336" s="11">
        <v>0</v>
      </c>
      <c r="S336" s="11"/>
      <c r="T336" s="11">
        <v>0</v>
      </c>
      <c r="U336" s="11">
        <v>0</v>
      </c>
      <c r="V336" s="11">
        <v>1</v>
      </c>
      <c r="W336" s="14"/>
      <c r="X336" s="14"/>
      <c r="Y336" s="14"/>
    </row>
    <row r="337" spans="1:25" ht="13.2">
      <c r="A337" s="73">
        <v>2</v>
      </c>
      <c r="B337" s="74" t="s">
        <v>1664</v>
      </c>
      <c r="C337" s="18">
        <v>337</v>
      </c>
      <c r="D337" s="75">
        <v>10</v>
      </c>
      <c r="E337" s="76">
        <v>43610</v>
      </c>
      <c r="F337" s="20" t="str">
        <f>HYPERLINK("https://nasional.tempo.co/read/1209222/begini-semestinya-polisi-menangani-kerusuhan-aksi-22-mei ","sumber")</f>
        <v>sumber</v>
      </c>
      <c r="G337" s="18" t="s">
        <v>1</v>
      </c>
      <c r="H337" s="75">
        <v>383</v>
      </c>
      <c r="I337" s="77"/>
      <c r="J337" s="18">
        <v>1</v>
      </c>
      <c r="K337" s="78"/>
      <c r="L337" s="19"/>
      <c r="M337" s="19"/>
      <c r="N337" s="19"/>
      <c r="O337" s="19"/>
      <c r="P337" s="19"/>
      <c r="Q337" s="18"/>
      <c r="R337" s="79"/>
      <c r="S337" s="18"/>
      <c r="T337" s="19"/>
      <c r="U337" s="19"/>
      <c r="V337" s="19"/>
      <c r="W337" s="19"/>
      <c r="X337" s="19"/>
      <c r="Y337" s="19"/>
    </row>
    <row r="338" spans="1:25" ht="26.4">
      <c r="A338" s="69">
        <v>1</v>
      </c>
      <c r="B338" s="64" t="s">
        <v>1665</v>
      </c>
      <c r="C338" s="11">
        <v>338</v>
      </c>
      <c r="D338" s="65">
        <v>7</v>
      </c>
      <c r="E338" s="66">
        <v>43616</v>
      </c>
      <c r="F338" s="13" t="str">
        <f>HYPERLINK("http://www.tribunnews.com/regional/2019/05/31/tempat-karaoke-tutup-pemandu-lagu-beralih-jadi-muncikari-tawarkan-perempuan-muda-lewat-whatsapp ","sumber")</f>
        <v>sumber</v>
      </c>
      <c r="G338" s="13" t="str">
        <f t="shared" ref="G338:G341" si="42">HYPERLINK("https://drive.google.com/open?id=15K5sriRJOw0JTPqD9yRZzl0fwZcfdV8X","lokasi")</f>
        <v>lokasi</v>
      </c>
      <c r="H338" s="65">
        <v>188</v>
      </c>
      <c r="I338" s="67">
        <v>1</v>
      </c>
      <c r="J338" s="11">
        <v>1</v>
      </c>
      <c r="K338" s="70" t="s">
        <v>1666</v>
      </c>
      <c r="L338" s="11">
        <v>0</v>
      </c>
      <c r="M338" s="11">
        <v>-1</v>
      </c>
      <c r="N338" s="15">
        <v>0</v>
      </c>
      <c r="O338" s="11">
        <v>0</v>
      </c>
      <c r="P338" s="11">
        <v>-1</v>
      </c>
      <c r="Q338" s="11">
        <v>0</v>
      </c>
      <c r="R338" s="11">
        <v>0</v>
      </c>
      <c r="S338" s="11"/>
      <c r="T338" s="11">
        <v>0</v>
      </c>
      <c r="U338" s="11">
        <v>0</v>
      </c>
      <c r="V338" s="11">
        <v>1</v>
      </c>
      <c r="W338" s="14"/>
      <c r="X338" s="14"/>
      <c r="Y338" s="14"/>
    </row>
    <row r="339" spans="1:25" ht="13.2">
      <c r="A339" s="69">
        <v>1</v>
      </c>
      <c r="B339" s="64" t="s">
        <v>1667</v>
      </c>
      <c r="C339" s="11">
        <v>339</v>
      </c>
      <c r="D339" s="65">
        <v>6</v>
      </c>
      <c r="E339" s="66">
        <v>43620</v>
      </c>
      <c r="F339" s="13" t="str">
        <f>HYPERLINK("https://bola.kompas.com/read/2019/06/04/14310038/pelatih-timnas-brasil-ogah-ikut-campur-dalam-kasus-neymar ","sumber")</f>
        <v>sumber</v>
      </c>
      <c r="G339" s="13" t="str">
        <f t="shared" si="42"/>
        <v>lokasi</v>
      </c>
      <c r="H339" s="65">
        <v>266</v>
      </c>
      <c r="I339" s="67">
        <v>1</v>
      </c>
      <c r="J339" s="11">
        <v>1</v>
      </c>
      <c r="K339" s="70" t="s">
        <v>1668</v>
      </c>
      <c r="L339" s="11">
        <v>0</v>
      </c>
      <c r="M339" s="28">
        <v>0</v>
      </c>
      <c r="N339" s="15">
        <v>0</v>
      </c>
      <c r="O339" s="11">
        <v>1</v>
      </c>
      <c r="P339" s="11">
        <v>0</v>
      </c>
      <c r="Q339" s="11">
        <v>0</v>
      </c>
      <c r="R339" s="11">
        <v>-1</v>
      </c>
      <c r="S339" s="11"/>
      <c r="T339" s="11">
        <v>0</v>
      </c>
      <c r="U339" s="11">
        <v>0</v>
      </c>
      <c r="V339" s="11">
        <v>0</v>
      </c>
      <c r="W339" s="14"/>
      <c r="X339" s="14"/>
      <c r="Y339" s="14"/>
    </row>
    <row r="340" spans="1:25" ht="13.2">
      <c r="A340" s="69">
        <v>1</v>
      </c>
      <c r="B340" s="64" t="s">
        <v>1669</v>
      </c>
      <c r="C340" s="11">
        <v>340</v>
      </c>
      <c r="D340" s="65">
        <v>10</v>
      </c>
      <c r="E340" s="66">
        <v>43620</v>
      </c>
      <c r="F340" s="13" t="str">
        <f>HYPERLINK("https://bola.tempo.co/read/1212070/bela-diri-dari-tuduhan-perkosaan-neymar-malah-kena-masalah-baru ","sumber")</f>
        <v>sumber</v>
      </c>
      <c r="G340" s="13" t="str">
        <f t="shared" si="42"/>
        <v>lokasi</v>
      </c>
      <c r="H340" s="65">
        <v>199</v>
      </c>
      <c r="I340" s="67">
        <v>1</v>
      </c>
      <c r="J340" s="11">
        <v>1</v>
      </c>
      <c r="K340" s="70"/>
      <c r="L340" s="11">
        <v>0</v>
      </c>
      <c r="M340" s="28">
        <v>0</v>
      </c>
      <c r="N340" s="15">
        <v>0</v>
      </c>
      <c r="O340" s="11">
        <v>0</v>
      </c>
      <c r="P340" s="11">
        <v>0</v>
      </c>
      <c r="Q340" s="11"/>
      <c r="R340" s="11"/>
      <c r="S340" s="11"/>
      <c r="T340" s="11">
        <v>0</v>
      </c>
      <c r="U340" s="11">
        <v>0</v>
      </c>
      <c r="V340" s="11">
        <v>0</v>
      </c>
      <c r="W340" s="14"/>
      <c r="X340" s="14"/>
      <c r="Y340" s="14"/>
    </row>
    <row r="341" spans="1:25" ht="13.2">
      <c r="A341" s="69">
        <v>1</v>
      </c>
      <c r="B341" s="64" t="s">
        <v>1670</v>
      </c>
      <c r="C341" s="11">
        <v>341</v>
      </c>
      <c r="D341" s="65">
        <v>9</v>
      </c>
      <c r="E341" s="66">
        <v>43628</v>
      </c>
      <c r="F341" s="13" t="str">
        <f>HYPERLINK("https://nasional.republika.co.id/berita/nasional/umum/pszduy459/dipakai-transaksi-prostitusi-kominfo-akan-kaji-michat ","sumber")</f>
        <v>sumber</v>
      </c>
      <c r="G341" s="13" t="str">
        <f t="shared" si="42"/>
        <v>lokasi</v>
      </c>
      <c r="H341" s="65">
        <v>252</v>
      </c>
      <c r="I341" s="67">
        <v>4</v>
      </c>
      <c r="J341" s="11">
        <v>1</v>
      </c>
      <c r="K341" s="70" t="s">
        <v>1671</v>
      </c>
      <c r="L341" s="11">
        <v>0</v>
      </c>
      <c r="M341" s="11">
        <v>0</v>
      </c>
      <c r="N341" s="15">
        <v>0</v>
      </c>
      <c r="O341" s="11">
        <v>0</v>
      </c>
      <c r="P341" s="11">
        <v>0</v>
      </c>
      <c r="Q341" s="11">
        <v>0</v>
      </c>
      <c r="R341" s="11">
        <v>1</v>
      </c>
      <c r="S341" s="11"/>
      <c r="T341" s="11">
        <v>0</v>
      </c>
      <c r="U341" s="11">
        <v>0</v>
      </c>
      <c r="V341" s="11">
        <v>0</v>
      </c>
      <c r="W341" s="14"/>
      <c r="X341" s="14"/>
      <c r="Y341" s="14"/>
    </row>
    <row r="342" spans="1:25" ht="13.2">
      <c r="A342" s="73">
        <v>2</v>
      </c>
      <c r="B342" s="74" t="s">
        <v>1672</v>
      </c>
      <c r="C342" s="18">
        <v>342</v>
      </c>
      <c r="D342" s="75">
        <v>9</v>
      </c>
      <c r="E342" s="76">
        <v>43629</v>
      </c>
      <c r="F342" s="20" t="str">
        <f>HYPERLINK("https://internasional.republika.co.id/berita/internasional/timur-tengah/pt0n9z459/syeikh-sudais-kecam-serangan-rudal-houthi-ke-arab-saudi ","sumber")</f>
        <v>sumber</v>
      </c>
      <c r="G342" s="18" t="s">
        <v>1</v>
      </c>
      <c r="H342" s="75">
        <v>254</v>
      </c>
      <c r="I342" s="77"/>
      <c r="J342" s="18">
        <v>1</v>
      </c>
      <c r="K342" s="78"/>
      <c r="L342" s="19"/>
      <c r="M342" s="19"/>
      <c r="N342" s="19"/>
      <c r="O342" s="19"/>
      <c r="P342" s="19"/>
      <c r="Q342" s="18"/>
      <c r="R342" s="19"/>
      <c r="S342" s="19"/>
      <c r="T342" s="19"/>
      <c r="U342" s="19"/>
      <c r="V342" s="19"/>
      <c r="W342" s="19"/>
      <c r="X342" s="19"/>
      <c r="Y342" s="19"/>
    </row>
    <row r="343" spans="1:25" ht="39.6">
      <c r="A343" s="69">
        <v>1</v>
      </c>
      <c r="B343" s="64" t="s">
        <v>1673</v>
      </c>
      <c r="C343" s="11">
        <v>343</v>
      </c>
      <c r="D343" s="65">
        <v>1</v>
      </c>
      <c r="E343" s="66">
        <v>43633</v>
      </c>
      <c r="F343" s="13" t="str">
        <f>HYPERLINK("https://news.detik.com/berita-jawa-timur/d-4589373/vanessa-angel-dituntut-6-bulan-penjara-kuasa-hukum-berat-sekali ","sumber")</f>
        <v>sumber</v>
      </c>
      <c r="G343" s="13" t="str">
        <f>HYPERLINK("https://drive.google.com/open?id=15K5sriRJOw0JTPqD9yRZzl0fwZcfdV8X","lokasi")</f>
        <v>lokasi</v>
      </c>
      <c r="H343" s="65">
        <v>306</v>
      </c>
      <c r="I343" s="67">
        <v>1</v>
      </c>
      <c r="J343" s="11">
        <v>1</v>
      </c>
      <c r="K343" s="70" t="s">
        <v>1674</v>
      </c>
      <c r="L343" s="11">
        <v>0</v>
      </c>
      <c r="M343" s="11">
        <v>1</v>
      </c>
      <c r="N343" s="15">
        <v>0</v>
      </c>
      <c r="O343" s="11">
        <v>0</v>
      </c>
      <c r="P343" s="11">
        <v>0</v>
      </c>
      <c r="Q343" s="11" t="s">
        <v>87</v>
      </c>
      <c r="R343" s="11" t="s">
        <v>182</v>
      </c>
      <c r="S343" s="11"/>
      <c r="T343" s="11">
        <v>0</v>
      </c>
      <c r="U343" s="11">
        <v>0</v>
      </c>
      <c r="V343" s="11">
        <v>0</v>
      </c>
      <c r="W343" s="14"/>
      <c r="X343" s="14"/>
      <c r="Y343" s="14"/>
    </row>
    <row r="344" spans="1:25" ht="13.2">
      <c r="A344" s="73">
        <v>2</v>
      </c>
      <c r="B344" s="74" t="s">
        <v>1675</v>
      </c>
      <c r="C344" s="18">
        <v>344</v>
      </c>
      <c r="D344" s="75">
        <v>10</v>
      </c>
      <c r="E344" s="76">
        <v>43633</v>
      </c>
      <c r="F344" s="20" t="str">
        <f>HYPERLINK("https://bola.tempo.co/read/1215304/psg-siap-lepas-neymar-pantaskah-ia-balik-ke-barcelona ","sumber")</f>
        <v>sumber</v>
      </c>
      <c r="G344" s="18" t="s">
        <v>1</v>
      </c>
      <c r="H344" s="75">
        <v>247</v>
      </c>
      <c r="I344" s="77"/>
      <c r="J344" s="18">
        <v>1</v>
      </c>
      <c r="K344" s="78"/>
      <c r="L344" s="19"/>
      <c r="M344" s="19"/>
      <c r="N344" s="19"/>
      <c r="O344" s="19"/>
      <c r="P344" s="19"/>
      <c r="Q344" s="18"/>
      <c r="R344" s="19"/>
      <c r="S344" s="19"/>
      <c r="T344" s="19"/>
      <c r="U344" s="19"/>
      <c r="V344" s="19"/>
      <c r="W344" s="19"/>
      <c r="X344" s="19"/>
      <c r="Y344" s="19"/>
    </row>
    <row r="345" spans="1:25" ht="13.2">
      <c r="A345" s="69">
        <v>1</v>
      </c>
      <c r="B345" s="64" t="s">
        <v>1676</v>
      </c>
      <c r="C345" s="11">
        <v>345</v>
      </c>
      <c r="D345" s="65">
        <v>8</v>
      </c>
      <c r="E345" s="66">
        <v>43634</v>
      </c>
      <c r="F345" s="13" t="str">
        <f>HYPERLINK("https://www.suara.com/lifestyle/2019/06/18/200000/ariana-grande-sumbang-rp-4-m-untuk-protes-uu-anti-aborsi ","sumber")</f>
        <v>sumber</v>
      </c>
      <c r="G345" s="13" t="str">
        <f t="shared" ref="G345:G366" si="43">HYPERLINK("https://drive.google.com/open?id=15K5sriRJOw0JTPqD9yRZzl0fwZcfdV8X","lokasi")</f>
        <v>lokasi</v>
      </c>
      <c r="H345" s="65">
        <v>183</v>
      </c>
      <c r="I345" s="67">
        <v>2</v>
      </c>
      <c r="J345" s="11">
        <v>1</v>
      </c>
      <c r="K345" s="70" t="s">
        <v>1677</v>
      </c>
      <c r="L345" s="11">
        <v>0</v>
      </c>
      <c r="M345" s="11">
        <v>0</v>
      </c>
      <c r="N345" s="15">
        <v>0</v>
      </c>
      <c r="O345" s="11">
        <v>0</v>
      </c>
      <c r="P345" s="11">
        <v>0</v>
      </c>
      <c r="Q345" s="11">
        <v>-1</v>
      </c>
      <c r="R345" s="11">
        <v>1</v>
      </c>
      <c r="S345" s="11"/>
      <c r="T345" s="11">
        <v>0</v>
      </c>
      <c r="U345" s="11">
        <v>0</v>
      </c>
      <c r="V345" s="11">
        <v>1</v>
      </c>
      <c r="W345" s="14"/>
      <c r="X345" s="14"/>
      <c r="Y345" s="14"/>
    </row>
    <row r="346" spans="1:25" ht="39.6">
      <c r="A346" s="69">
        <v>1</v>
      </c>
      <c r="B346" s="64" t="s">
        <v>1678</v>
      </c>
      <c r="C346" s="11">
        <v>346</v>
      </c>
      <c r="D346" s="65">
        <v>2</v>
      </c>
      <c r="E346" s="66">
        <v>43636</v>
      </c>
      <c r="F346" s="13" t="str">
        <f>HYPERLINK("https://www.cnnindonesia.com/nasional/20190620200713-12-405110/minta-dibebaskan-vanessa-klaim-tak-sebar-konten-asusila ","sumber")</f>
        <v>sumber</v>
      </c>
      <c r="G346" s="13" t="str">
        <f t="shared" si="43"/>
        <v>lokasi</v>
      </c>
      <c r="H346" s="65">
        <v>432</v>
      </c>
      <c r="I346" s="67">
        <v>1</v>
      </c>
      <c r="J346" s="11">
        <v>1</v>
      </c>
      <c r="K346" s="70" t="s">
        <v>1679</v>
      </c>
      <c r="L346" s="11">
        <v>0</v>
      </c>
      <c r="M346" s="11">
        <v>1</v>
      </c>
      <c r="N346" s="15">
        <v>0</v>
      </c>
      <c r="O346" s="11">
        <v>0</v>
      </c>
      <c r="P346" s="11">
        <v>0</v>
      </c>
      <c r="Q346" s="11" t="s">
        <v>178</v>
      </c>
      <c r="R346" s="11" t="s">
        <v>68</v>
      </c>
      <c r="S346" s="11"/>
      <c r="T346" s="11">
        <v>0</v>
      </c>
      <c r="U346" s="11">
        <v>0</v>
      </c>
      <c r="V346" s="11">
        <v>0</v>
      </c>
      <c r="W346" s="14"/>
      <c r="X346" s="14"/>
      <c r="Y346" s="14"/>
    </row>
    <row r="347" spans="1:25" ht="66">
      <c r="A347" s="69">
        <v>1</v>
      </c>
      <c r="B347" s="64" t="s">
        <v>1680</v>
      </c>
      <c r="C347" s="11">
        <v>347</v>
      </c>
      <c r="D347" s="65">
        <v>4</v>
      </c>
      <c r="E347" s="66">
        <v>43638</v>
      </c>
      <c r="F347" s="13" t="str">
        <f>HYPERLINK("https://www.liputan6.com/global/read/3995398/pakistan-akan-bentuk-seribu-sidang-pengadilan-tentang-kekerasan-pada-perempuan ","sumber")</f>
        <v>sumber</v>
      </c>
      <c r="G347" s="13" t="str">
        <f t="shared" si="43"/>
        <v>lokasi</v>
      </c>
      <c r="H347" s="65">
        <v>382</v>
      </c>
      <c r="I347" s="67">
        <v>4</v>
      </c>
      <c r="J347" s="11">
        <v>1</v>
      </c>
      <c r="K347" s="70" t="s">
        <v>1681</v>
      </c>
      <c r="L347" s="11">
        <v>0</v>
      </c>
      <c r="M347" s="11">
        <v>0</v>
      </c>
      <c r="N347" s="15">
        <v>0</v>
      </c>
      <c r="O347" s="11">
        <v>0</v>
      </c>
      <c r="P347" s="11">
        <v>0</v>
      </c>
      <c r="Q347" s="11" t="s">
        <v>29</v>
      </c>
      <c r="R347" s="11" t="s">
        <v>160</v>
      </c>
      <c r="S347" s="11"/>
      <c r="T347" s="11">
        <v>0</v>
      </c>
      <c r="U347" s="11">
        <v>0</v>
      </c>
      <c r="V347" s="11">
        <v>1</v>
      </c>
      <c r="W347" s="14"/>
      <c r="X347" s="14"/>
      <c r="Y347" s="14"/>
    </row>
    <row r="348" spans="1:25" ht="26.4">
      <c r="A348" s="69">
        <v>1</v>
      </c>
      <c r="B348" s="64" t="s">
        <v>1682</v>
      </c>
      <c r="C348" s="11">
        <v>348</v>
      </c>
      <c r="D348" s="65">
        <v>10</v>
      </c>
      <c r="E348" s="66">
        <v>43638</v>
      </c>
      <c r="F348" s="13" t="str">
        <f>HYPERLINK("https://dunia.tempo.co/read/1217188/lagi-presiden-donald-trump-diserang-tuduhan-pelecehan-seksual ","sumber")</f>
        <v>sumber</v>
      </c>
      <c r="G348" s="13" t="str">
        <f t="shared" si="43"/>
        <v>lokasi</v>
      </c>
      <c r="H348" s="65">
        <v>362</v>
      </c>
      <c r="I348" s="67">
        <v>1</v>
      </c>
      <c r="J348" s="11">
        <v>1</v>
      </c>
      <c r="K348" s="70" t="s">
        <v>1683</v>
      </c>
      <c r="L348" s="11">
        <v>0</v>
      </c>
      <c r="M348" s="11">
        <v>1</v>
      </c>
      <c r="N348" s="15">
        <v>0</v>
      </c>
      <c r="O348" s="11">
        <v>1</v>
      </c>
      <c r="P348" s="11">
        <v>-1</v>
      </c>
      <c r="Q348" s="11" t="s">
        <v>178</v>
      </c>
      <c r="R348" s="11" t="s">
        <v>748</v>
      </c>
      <c r="S348" s="11"/>
      <c r="T348" s="11">
        <v>0</v>
      </c>
      <c r="U348" s="11">
        <v>0</v>
      </c>
      <c r="V348" s="11">
        <v>1</v>
      </c>
      <c r="W348" s="14"/>
      <c r="X348" s="14"/>
      <c r="Y348" s="14"/>
    </row>
    <row r="349" spans="1:25" ht="26.4">
      <c r="A349" s="69">
        <v>1</v>
      </c>
      <c r="B349" s="64" t="s">
        <v>1684</v>
      </c>
      <c r="C349" s="11">
        <v>349</v>
      </c>
      <c r="D349" s="65">
        <v>9</v>
      </c>
      <c r="E349" s="66">
        <v>43639</v>
      </c>
      <c r="F349" s="13" t="str">
        <f>HYPERLINK("https://nasional.republika.co.id/berita/nasional/daerah/ptk3jt328/kasus-seksual-guru-dan-murid-di-serang-bukti-sekolah-lalai ","sumber")</f>
        <v>sumber</v>
      </c>
      <c r="G349" s="13" t="str">
        <f t="shared" si="43"/>
        <v>lokasi</v>
      </c>
      <c r="H349" s="65">
        <v>408</v>
      </c>
      <c r="I349" s="67">
        <v>1</v>
      </c>
      <c r="J349" s="11">
        <v>1</v>
      </c>
      <c r="K349" s="70" t="s">
        <v>1057</v>
      </c>
      <c r="L349" s="11">
        <v>0</v>
      </c>
      <c r="M349" s="11">
        <v>1</v>
      </c>
      <c r="N349" s="15">
        <v>0</v>
      </c>
      <c r="O349" s="11">
        <v>1</v>
      </c>
      <c r="P349" s="11">
        <v>0</v>
      </c>
      <c r="Q349" s="11">
        <v>1</v>
      </c>
      <c r="R349" s="11">
        <v>1</v>
      </c>
      <c r="S349" s="11"/>
      <c r="T349" s="11">
        <v>0</v>
      </c>
      <c r="U349" s="11">
        <v>0</v>
      </c>
      <c r="V349" s="11">
        <v>1</v>
      </c>
      <c r="W349" s="14"/>
      <c r="X349" s="14"/>
      <c r="Y349" s="14"/>
    </row>
    <row r="350" spans="1:25" ht="13.2">
      <c r="A350" s="69">
        <v>1</v>
      </c>
      <c r="B350" s="64" t="s">
        <v>1685</v>
      </c>
      <c r="C350" s="11">
        <v>350</v>
      </c>
      <c r="D350" s="65">
        <v>6</v>
      </c>
      <c r="E350" s="66">
        <v>43643</v>
      </c>
      <c r="F350" s="13" t="str">
        <f>HYPERLINK("https://entertainment.kompas.com/read/2019/06/27/100802210/kasus-dugaan-prostitusi-eks-bos-yg-entertainment-yang-hyun-suk ","sumber")</f>
        <v>sumber</v>
      </c>
      <c r="G350" s="13" t="str">
        <f t="shared" si="43"/>
        <v>lokasi</v>
      </c>
      <c r="H350" s="65">
        <v>177</v>
      </c>
      <c r="I350" s="67">
        <v>1</v>
      </c>
      <c r="J350" s="11">
        <v>1</v>
      </c>
      <c r="K350" s="70"/>
      <c r="L350" s="11">
        <v>0</v>
      </c>
      <c r="M350" s="11">
        <v>-1</v>
      </c>
      <c r="N350" s="15">
        <v>0</v>
      </c>
      <c r="O350" s="11">
        <v>0</v>
      </c>
      <c r="P350" s="11">
        <v>0</v>
      </c>
      <c r="Q350" s="11"/>
      <c r="R350" s="11"/>
      <c r="S350" s="11"/>
      <c r="T350" s="11">
        <v>0</v>
      </c>
      <c r="U350" s="11">
        <v>0</v>
      </c>
      <c r="V350" s="11">
        <v>1</v>
      </c>
      <c r="W350" s="14"/>
      <c r="X350" s="14"/>
      <c r="Y350" s="14"/>
    </row>
    <row r="351" spans="1:25" ht="13.2">
      <c r="A351" s="69">
        <v>1</v>
      </c>
      <c r="B351" s="64" t="s">
        <v>1686</v>
      </c>
      <c r="C351" s="11">
        <v>351</v>
      </c>
      <c r="D351" s="65">
        <v>1</v>
      </c>
      <c r="E351" s="66">
        <v>43644</v>
      </c>
      <c r="F351" s="13" t="str">
        <f>HYPERLINK("https://hot.detik.com/celeb/d-4604606/fairuz-akan-laporkan-galih-ginanjar-soal-olokan-ikan-asin ","sumber")</f>
        <v>sumber</v>
      </c>
      <c r="G351" s="13" t="str">
        <f t="shared" si="43"/>
        <v>lokasi</v>
      </c>
      <c r="H351" s="65">
        <v>1521</v>
      </c>
      <c r="I351" s="67">
        <v>1</v>
      </c>
      <c r="J351" s="11">
        <v>1</v>
      </c>
      <c r="K351" s="70" t="s">
        <v>1687</v>
      </c>
      <c r="L351" s="11">
        <v>0</v>
      </c>
      <c r="M351" s="28">
        <v>0</v>
      </c>
      <c r="N351" s="15">
        <v>0</v>
      </c>
      <c r="O351" s="11">
        <v>0</v>
      </c>
      <c r="P351" s="11">
        <v>0</v>
      </c>
      <c r="Q351" s="11">
        <v>0</v>
      </c>
      <c r="R351" s="11">
        <v>1</v>
      </c>
      <c r="S351" s="11"/>
      <c r="T351" s="11">
        <v>0</v>
      </c>
      <c r="U351" s="11">
        <v>0</v>
      </c>
      <c r="V351" s="11">
        <v>0</v>
      </c>
      <c r="W351" s="14"/>
      <c r="X351" s="14"/>
      <c r="Y351" s="14"/>
    </row>
    <row r="352" spans="1:25" ht="26.4">
      <c r="A352" s="80">
        <v>1</v>
      </c>
      <c r="B352" s="93" t="s">
        <v>1688</v>
      </c>
      <c r="C352" s="82">
        <v>352</v>
      </c>
      <c r="D352" s="83">
        <v>6</v>
      </c>
      <c r="E352" s="84">
        <v>43630</v>
      </c>
      <c r="F352" s="85" t="str">
        <f>HYPERLINK("https://regional.kompas.com/read/2019/06/14/19242831/pengunjung-perempuan-dilecehkan-di-kolam-air-panas-pelaku-masih-pelajar ","sumber")</f>
        <v>sumber</v>
      </c>
      <c r="G352" s="85" t="str">
        <f t="shared" si="43"/>
        <v>lokasi</v>
      </c>
      <c r="H352" s="83">
        <v>226</v>
      </c>
      <c r="I352" s="86">
        <v>1</v>
      </c>
      <c r="J352" s="82">
        <v>1</v>
      </c>
      <c r="K352" s="87" t="s">
        <v>1689</v>
      </c>
      <c r="L352" s="82">
        <v>0</v>
      </c>
      <c r="M352" s="28">
        <v>0</v>
      </c>
      <c r="N352" s="88">
        <v>0</v>
      </c>
      <c r="O352" s="82">
        <v>1</v>
      </c>
      <c r="P352" s="82">
        <v>0</v>
      </c>
      <c r="Q352" s="82">
        <v>0</v>
      </c>
      <c r="R352" s="82">
        <v>0</v>
      </c>
      <c r="S352" s="82"/>
      <c r="T352" s="82">
        <v>0</v>
      </c>
      <c r="U352" s="82">
        <v>0</v>
      </c>
      <c r="V352" s="82">
        <v>1</v>
      </c>
      <c r="W352" s="90"/>
      <c r="X352" s="90"/>
      <c r="Y352" s="90"/>
    </row>
    <row r="353" spans="1:25" ht="26.4">
      <c r="A353" s="69">
        <v>1</v>
      </c>
      <c r="B353" s="64" t="s">
        <v>1690</v>
      </c>
      <c r="C353" s="11">
        <v>353</v>
      </c>
      <c r="D353" s="65">
        <v>8</v>
      </c>
      <c r="E353" s="66">
        <v>43644</v>
      </c>
      <c r="F353" s="13" t="str">
        <f>HYPERLINK("https://www.suara.com/entertainment/2019/06/28/103243/ya-ampun-personel-duo-semangka-live-instagram-sampai-pamer-dada ","sumber")</f>
        <v>sumber</v>
      </c>
      <c r="G353" s="13" t="str">
        <f t="shared" si="43"/>
        <v>lokasi</v>
      </c>
      <c r="H353" s="65">
        <v>195</v>
      </c>
      <c r="I353" s="67">
        <v>2</v>
      </c>
      <c r="J353" s="11">
        <v>1</v>
      </c>
      <c r="K353" s="70" t="s">
        <v>1691</v>
      </c>
      <c r="L353" s="11">
        <v>0</v>
      </c>
      <c r="M353" s="11">
        <v>0</v>
      </c>
      <c r="N353" s="15">
        <v>0</v>
      </c>
      <c r="O353" s="11">
        <v>0</v>
      </c>
      <c r="P353" s="11">
        <v>-1</v>
      </c>
      <c r="Q353" s="11" t="s">
        <v>21</v>
      </c>
      <c r="R353" s="11" t="s">
        <v>686</v>
      </c>
      <c r="S353" s="11"/>
      <c r="T353" s="11">
        <v>0</v>
      </c>
      <c r="U353" s="11">
        <v>0</v>
      </c>
      <c r="V353" s="11">
        <v>0</v>
      </c>
      <c r="W353" s="14"/>
      <c r="X353" s="14"/>
      <c r="Y353" s="14"/>
    </row>
    <row r="354" spans="1:25" ht="13.2">
      <c r="A354" s="80">
        <v>1</v>
      </c>
      <c r="B354" s="93" t="s">
        <v>1692</v>
      </c>
      <c r="C354" s="82">
        <v>354</v>
      </c>
      <c r="D354" s="83">
        <v>6</v>
      </c>
      <c r="E354" s="84">
        <v>43647</v>
      </c>
      <c r="F354" s="85" t="str">
        <f>HYPERLINK("https://entertainment.kompas.com/read/2019/07/01/102606210/didampingi-hotman-paris-fairuz-a-rafiq-dan-suami-sambangi-polda-metro ","sumber")</f>
        <v>sumber</v>
      </c>
      <c r="G354" s="85" t="str">
        <f t="shared" si="43"/>
        <v>lokasi</v>
      </c>
      <c r="H354" s="83">
        <v>201</v>
      </c>
      <c r="I354" s="86">
        <v>1</v>
      </c>
      <c r="J354" s="82">
        <v>1</v>
      </c>
      <c r="K354" s="87" t="s">
        <v>1687</v>
      </c>
      <c r="L354" s="82">
        <v>0</v>
      </c>
      <c r="M354" s="28">
        <v>0</v>
      </c>
      <c r="N354" s="88">
        <v>0</v>
      </c>
      <c r="O354" s="82">
        <v>1</v>
      </c>
      <c r="P354" s="82">
        <v>0</v>
      </c>
      <c r="Q354" s="82">
        <v>2</v>
      </c>
      <c r="R354" s="82">
        <v>1</v>
      </c>
      <c r="S354" s="82"/>
      <c r="T354" s="82">
        <v>0</v>
      </c>
      <c r="U354" s="82">
        <v>0</v>
      </c>
      <c r="V354" s="82">
        <v>1</v>
      </c>
      <c r="W354" s="90"/>
      <c r="X354" s="90"/>
      <c r="Y354" s="90"/>
    </row>
    <row r="355" spans="1:25" ht="52.8">
      <c r="A355" s="69">
        <v>1</v>
      </c>
      <c r="B355" s="64" t="s">
        <v>1693</v>
      </c>
      <c r="C355" s="11">
        <v>355</v>
      </c>
      <c r="D355" s="65">
        <v>4</v>
      </c>
      <c r="E355" s="66">
        <v>43651</v>
      </c>
      <c r="F355" s="13" t="str">
        <f>HYPERLINK("https://www.liputan6.com/news/read/4005486/perjalanan-kasus-baiq-nuril-hingga-putusan-pk-ditolak ","sumber")</f>
        <v>sumber</v>
      </c>
      <c r="G355" s="13" t="str">
        <f t="shared" si="43"/>
        <v>lokasi</v>
      </c>
      <c r="H355" s="65">
        <v>1185</v>
      </c>
      <c r="I355" s="67">
        <v>1</v>
      </c>
      <c r="J355" s="11">
        <v>1</v>
      </c>
      <c r="K355" s="70" t="s">
        <v>1694</v>
      </c>
      <c r="L355" s="11">
        <v>0</v>
      </c>
      <c r="M355" s="11">
        <v>1</v>
      </c>
      <c r="N355" s="15">
        <v>0</v>
      </c>
      <c r="O355" s="11">
        <v>1</v>
      </c>
      <c r="P355" s="11">
        <v>0</v>
      </c>
      <c r="Q355" s="11" t="s">
        <v>21</v>
      </c>
      <c r="R355" s="11" t="s">
        <v>377</v>
      </c>
      <c r="S355" s="11"/>
      <c r="T355" s="11">
        <v>0</v>
      </c>
      <c r="U355" s="11">
        <v>0</v>
      </c>
      <c r="V355" s="11">
        <v>1</v>
      </c>
      <c r="W355" s="14"/>
      <c r="X355" s="14"/>
      <c r="Y355" s="14"/>
    </row>
    <row r="356" spans="1:25" ht="66">
      <c r="A356" s="69">
        <v>1</v>
      </c>
      <c r="B356" s="64" t="s">
        <v>1695</v>
      </c>
      <c r="C356" s="11">
        <v>356</v>
      </c>
      <c r="D356" s="65">
        <v>6</v>
      </c>
      <c r="E356" s="66">
        <v>43652</v>
      </c>
      <c r="F356" s="13" t="str">
        <f>HYPERLINK("https://nasional.kompas.com/read/2019/07/06/14384011/komitmen-jokowi-soal-pemberdayaan-perempuan-harus-dibuktikan-lewat-amnesti ","sumber")</f>
        <v>sumber</v>
      </c>
      <c r="G356" s="13" t="str">
        <f t="shared" si="43"/>
        <v>lokasi</v>
      </c>
      <c r="H356" s="65">
        <v>377</v>
      </c>
      <c r="I356" s="67">
        <v>1</v>
      </c>
      <c r="J356" s="11">
        <v>1</v>
      </c>
      <c r="K356" s="70" t="s">
        <v>1696</v>
      </c>
      <c r="L356" s="11">
        <v>0</v>
      </c>
      <c r="M356" s="11">
        <v>1</v>
      </c>
      <c r="N356" s="15">
        <v>0</v>
      </c>
      <c r="O356" s="11">
        <v>0</v>
      </c>
      <c r="P356" s="11">
        <v>0</v>
      </c>
      <c r="Q356" s="11" t="s">
        <v>1697</v>
      </c>
      <c r="R356" s="11" t="s">
        <v>1552</v>
      </c>
      <c r="S356" s="11"/>
      <c r="T356" s="11">
        <v>0</v>
      </c>
      <c r="U356" s="11">
        <v>0</v>
      </c>
      <c r="V356" s="11">
        <v>1</v>
      </c>
      <c r="W356" s="14"/>
      <c r="X356" s="14"/>
      <c r="Y356" s="14"/>
    </row>
    <row r="357" spans="1:25" ht="66">
      <c r="A357" s="69">
        <v>1</v>
      </c>
      <c r="B357" s="64" t="s">
        <v>1698</v>
      </c>
      <c r="C357" s="11">
        <v>357</v>
      </c>
      <c r="D357" s="65">
        <v>4</v>
      </c>
      <c r="E357" s="66">
        <v>43652</v>
      </c>
      <c r="F357" s="13" t="str">
        <f>HYPERLINK("https://www.liputan6.com/news/read/4006115/pengacara-permohonan-amnesti-baiq-nuril-diajukan-minggu-depan ","sumber")</f>
        <v>sumber</v>
      </c>
      <c r="G357" s="13" t="str">
        <f t="shared" si="43"/>
        <v>lokasi</v>
      </c>
      <c r="H357" s="65">
        <v>288</v>
      </c>
      <c r="I357" s="67">
        <v>1</v>
      </c>
      <c r="J357" s="11">
        <v>1</v>
      </c>
      <c r="K357" s="70" t="s">
        <v>1699</v>
      </c>
      <c r="L357" s="11">
        <v>0</v>
      </c>
      <c r="M357" s="11">
        <v>1</v>
      </c>
      <c r="N357" s="15">
        <v>0</v>
      </c>
      <c r="O357" s="11">
        <v>0</v>
      </c>
      <c r="P357" s="11">
        <v>0</v>
      </c>
      <c r="Q357" s="11" t="s">
        <v>619</v>
      </c>
      <c r="R357" s="11" t="s">
        <v>160</v>
      </c>
      <c r="S357" s="11"/>
      <c r="T357" s="11">
        <v>0</v>
      </c>
      <c r="U357" s="11">
        <v>0</v>
      </c>
      <c r="V357" s="11">
        <v>1</v>
      </c>
      <c r="W357" s="14"/>
      <c r="X357" s="14"/>
      <c r="Y357" s="14"/>
    </row>
    <row r="358" spans="1:25" ht="26.4">
      <c r="A358" s="69">
        <v>1</v>
      </c>
      <c r="B358" s="64" t="s">
        <v>1700</v>
      </c>
      <c r="C358" s="11">
        <v>358</v>
      </c>
      <c r="D358" s="65">
        <v>1</v>
      </c>
      <c r="E358" s="66">
        <v>43653</v>
      </c>
      <c r="F358" s="13" t="str">
        <f>HYPERLINK("https://news.detik.com/berita/d-4614175/berkaca-dari-baiq-nuril-ini-point-penting-ruu-penghapusan-kekerasan-seksual ","sumber")</f>
        <v>sumber</v>
      </c>
      <c r="G358" s="13" t="str">
        <f t="shared" si="43"/>
        <v>lokasi</v>
      </c>
      <c r="H358" s="65">
        <v>441</v>
      </c>
      <c r="I358" s="67">
        <v>4</v>
      </c>
      <c r="J358" s="11">
        <v>1</v>
      </c>
      <c r="K358" s="70" t="s">
        <v>1701</v>
      </c>
      <c r="L358" s="11">
        <v>0</v>
      </c>
      <c r="M358" s="11">
        <v>0</v>
      </c>
      <c r="N358" s="15">
        <v>0</v>
      </c>
      <c r="O358" s="11">
        <v>0</v>
      </c>
      <c r="P358" s="11">
        <v>0</v>
      </c>
      <c r="Q358" s="11">
        <v>0</v>
      </c>
      <c r="R358" s="11">
        <v>1</v>
      </c>
      <c r="S358" s="11"/>
      <c r="T358" s="11">
        <v>0</v>
      </c>
      <c r="U358" s="11">
        <v>0</v>
      </c>
      <c r="V358" s="11">
        <v>1</v>
      </c>
      <c r="W358" s="14"/>
      <c r="X358" s="14"/>
      <c r="Y358" s="14"/>
    </row>
    <row r="359" spans="1:25" ht="26.4">
      <c r="A359" s="69">
        <v>1</v>
      </c>
      <c r="B359" s="64" t="s">
        <v>1702</v>
      </c>
      <c r="C359" s="11">
        <v>359</v>
      </c>
      <c r="D359" s="65">
        <v>3</v>
      </c>
      <c r="E359" s="66">
        <v>43653</v>
      </c>
      <c r="F359" s="13" t="str">
        <f>HYPERLINK("https://news.okezone.com/read/2019/07/07/337/2075612/putusan-ma-menolak-pk-dinilai-telah-menindas-keadilan-baiq-nuril ","sumber")</f>
        <v>sumber</v>
      </c>
      <c r="G359" s="13" t="str">
        <f t="shared" si="43"/>
        <v>lokasi</v>
      </c>
      <c r="H359" s="65">
        <v>308</v>
      </c>
      <c r="I359" s="67">
        <v>1</v>
      </c>
      <c r="J359" s="11">
        <v>1</v>
      </c>
      <c r="K359" s="70" t="s">
        <v>1703</v>
      </c>
      <c r="L359" s="11">
        <v>0</v>
      </c>
      <c r="M359" s="28">
        <v>0</v>
      </c>
      <c r="N359" s="15">
        <v>0</v>
      </c>
      <c r="O359" s="11">
        <v>0</v>
      </c>
      <c r="P359" s="11">
        <v>0</v>
      </c>
      <c r="Q359" s="11">
        <v>0</v>
      </c>
      <c r="R359" s="11">
        <v>1</v>
      </c>
      <c r="S359" s="11"/>
      <c r="T359" s="11">
        <v>0</v>
      </c>
      <c r="U359" s="11">
        <v>-1</v>
      </c>
      <c r="V359" s="11">
        <v>1</v>
      </c>
      <c r="W359" s="14"/>
      <c r="X359" s="14"/>
      <c r="Y359" s="14"/>
    </row>
    <row r="360" spans="1:25" ht="26.4">
      <c r="A360" s="69">
        <v>1</v>
      </c>
      <c r="B360" s="64" t="s">
        <v>1704</v>
      </c>
      <c r="C360" s="11">
        <v>360</v>
      </c>
      <c r="D360" s="65">
        <v>5</v>
      </c>
      <c r="E360" s="66">
        <v>43653</v>
      </c>
      <c r="F360" s="13" t="str">
        <f>HYPERLINK("https://tirto.id/ombudsman-sebut-ada-potensi-maladministrasi-kasus-baiq-nurul-di-ma-edKM ","sumber")</f>
        <v>sumber</v>
      </c>
      <c r="G360" s="13" t="str">
        <f t="shared" si="43"/>
        <v>lokasi</v>
      </c>
      <c r="H360" s="65">
        <v>609</v>
      </c>
      <c r="I360" s="67">
        <v>1</v>
      </c>
      <c r="J360" s="11">
        <v>1</v>
      </c>
      <c r="K360" s="70" t="s">
        <v>1705</v>
      </c>
      <c r="L360" s="11">
        <v>0</v>
      </c>
      <c r="M360" s="28">
        <v>0</v>
      </c>
      <c r="N360" s="15">
        <v>0</v>
      </c>
      <c r="O360" s="11">
        <v>0</v>
      </c>
      <c r="P360" s="11">
        <v>0</v>
      </c>
      <c r="Q360" s="11">
        <v>0</v>
      </c>
      <c r="R360" s="11">
        <v>1</v>
      </c>
      <c r="S360" s="11"/>
      <c r="T360" s="11">
        <v>0</v>
      </c>
      <c r="U360" s="11">
        <v>0</v>
      </c>
      <c r="V360" s="11">
        <v>1</v>
      </c>
      <c r="W360" s="14"/>
      <c r="X360" s="14"/>
      <c r="Y360" s="14"/>
    </row>
    <row r="361" spans="1:25" ht="39.6">
      <c r="A361" s="69">
        <v>1</v>
      </c>
      <c r="B361" s="64" t="s">
        <v>1706</v>
      </c>
      <c r="C361" s="11">
        <v>361</v>
      </c>
      <c r="D361" s="65">
        <v>5</v>
      </c>
      <c r="E361" s="66">
        <v>43654</v>
      </c>
      <c r="F361" s="13" t="str">
        <f>HYPERLINK("https://tirto.id/tak-cukup-tampil-di-layar-perempuan-harus-aktif-di-produksi-film-edHc ","sumber")</f>
        <v>sumber</v>
      </c>
      <c r="G361" s="13" t="str">
        <f t="shared" si="43"/>
        <v>lokasi</v>
      </c>
      <c r="H361" s="65">
        <v>690</v>
      </c>
      <c r="I361" s="67">
        <v>2</v>
      </c>
      <c r="J361" s="11">
        <v>1</v>
      </c>
      <c r="K361" s="70" t="s">
        <v>1707</v>
      </c>
      <c r="L361" s="11">
        <v>0</v>
      </c>
      <c r="M361" s="11">
        <v>0</v>
      </c>
      <c r="N361" s="15">
        <v>0</v>
      </c>
      <c r="O361" s="11">
        <v>0</v>
      </c>
      <c r="P361" s="11">
        <v>0</v>
      </c>
      <c r="Q361" s="11" t="s">
        <v>182</v>
      </c>
      <c r="R361" s="11" t="s">
        <v>160</v>
      </c>
      <c r="S361" s="11"/>
      <c r="T361" s="11">
        <v>0</v>
      </c>
      <c r="U361" s="11">
        <v>0</v>
      </c>
      <c r="V361" s="11">
        <v>1</v>
      </c>
      <c r="W361" s="14"/>
      <c r="X361" s="14"/>
      <c r="Y361" s="14"/>
    </row>
    <row r="362" spans="1:25" ht="26.4">
      <c r="A362" s="69">
        <v>1</v>
      </c>
      <c r="B362" s="64" t="s">
        <v>1708</v>
      </c>
      <c r="C362" s="11">
        <v>362</v>
      </c>
      <c r="D362" s="65">
        <v>10</v>
      </c>
      <c r="E362" s="66">
        <v>43655</v>
      </c>
      <c r="F362" s="13" t="str">
        <f>HYPERLINK("https://gaya.tempo.co/read/1222555/pro-kontra-aborsi-di-amerika-bagaimana-dengan-di-indonesia ","sumber")</f>
        <v>sumber</v>
      </c>
      <c r="G362" s="13" t="str">
        <f t="shared" si="43"/>
        <v>lokasi</v>
      </c>
      <c r="H362" s="65">
        <v>326</v>
      </c>
      <c r="I362" s="67">
        <v>4</v>
      </c>
      <c r="J362" s="11">
        <v>1</v>
      </c>
      <c r="K362" s="70" t="s">
        <v>1709</v>
      </c>
      <c r="L362" s="11">
        <v>0</v>
      </c>
      <c r="M362" s="11">
        <v>0</v>
      </c>
      <c r="N362" s="15">
        <v>0</v>
      </c>
      <c r="O362" s="11">
        <v>0</v>
      </c>
      <c r="P362" s="11">
        <v>0</v>
      </c>
      <c r="Q362" s="11">
        <v>0</v>
      </c>
      <c r="R362" s="11">
        <v>0</v>
      </c>
      <c r="S362" s="11"/>
      <c r="T362" s="11">
        <v>0</v>
      </c>
      <c r="U362" s="11">
        <v>0</v>
      </c>
      <c r="V362" s="11">
        <v>1</v>
      </c>
      <c r="W362" s="14"/>
      <c r="X362" s="14"/>
      <c r="Y362" s="14"/>
    </row>
    <row r="363" spans="1:25" ht="39.6">
      <c r="A363" s="69">
        <v>1</v>
      </c>
      <c r="B363" s="64" t="s">
        <v>1710</v>
      </c>
      <c r="C363" s="11">
        <v>363</v>
      </c>
      <c r="D363" s="65">
        <v>8</v>
      </c>
      <c r="E363" s="66">
        <v>43657</v>
      </c>
      <c r="F363" s="13" t="str">
        <f>HYPERLINK("https://www.suara.com/news/2019/07/11/162306/geger-waria-masuk-kementerian-begini-jawaban-pm-malaysia-mahathir ","sumber")</f>
        <v>sumber</v>
      </c>
      <c r="G363" s="13" t="str">
        <f t="shared" si="43"/>
        <v>lokasi</v>
      </c>
      <c r="H363" s="65">
        <v>252</v>
      </c>
      <c r="I363" s="67">
        <v>2</v>
      </c>
      <c r="J363" s="11">
        <v>1</v>
      </c>
      <c r="K363" s="70" t="s">
        <v>1711</v>
      </c>
      <c r="L363" s="11">
        <v>0</v>
      </c>
      <c r="M363" s="11">
        <v>0</v>
      </c>
      <c r="N363" s="15">
        <v>0</v>
      </c>
      <c r="O363" s="11">
        <v>0</v>
      </c>
      <c r="P363" s="11">
        <v>-1</v>
      </c>
      <c r="Q363" s="11" t="s">
        <v>29</v>
      </c>
      <c r="R363" s="11" t="s">
        <v>141</v>
      </c>
      <c r="S363" s="11"/>
      <c r="T363" s="11">
        <v>0</v>
      </c>
      <c r="U363" s="11">
        <v>0</v>
      </c>
      <c r="V363" s="11">
        <v>1</v>
      </c>
      <c r="W363" s="14"/>
      <c r="X363" s="14"/>
      <c r="Y363" s="14"/>
    </row>
    <row r="364" spans="1:25" ht="13.2">
      <c r="A364" s="69">
        <v>1</v>
      </c>
      <c r="B364" s="64" t="s">
        <v>1712</v>
      </c>
      <c r="C364" s="11">
        <v>364</v>
      </c>
      <c r="D364" s="65">
        <v>2</v>
      </c>
      <c r="E364" s="66">
        <v>43663</v>
      </c>
      <c r="F364" s="13" t="str">
        <f>HYPERLINK("https://www.cnnindonesia.com/hiburan/20190717174034-234-413040/polisi-miliki-rekaman-cctv-pelecehan-seksual-lee-min-woo ","sumber")</f>
        <v>sumber</v>
      </c>
      <c r="G364" s="13" t="str">
        <f t="shared" si="43"/>
        <v>lokasi</v>
      </c>
      <c r="H364" s="65">
        <v>248</v>
      </c>
      <c r="I364" s="67">
        <v>1</v>
      </c>
      <c r="J364" s="11">
        <v>1</v>
      </c>
      <c r="K364" s="70" t="s">
        <v>1713</v>
      </c>
      <c r="L364" s="11">
        <v>0</v>
      </c>
      <c r="M364" s="11">
        <v>-1</v>
      </c>
      <c r="N364" s="15">
        <v>0</v>
      </c>
      <c r="O364" s="11">
        <v>0</v>
      </c>
      <c r="P364" s="11">
        <v>0</v>
      </c>
      <c r="Q364" s="11" t="s">
        <v>29</v>
      </c>
      <c r="R364" s="11" t="s">
        <v>653</v>
      </c>
      <c r="S364" s="11"/>
      <c r="T364" s="11">
        <v>0</v>
      </c>
      <c r="U364" s="11">
        <v>0</v>
      </c>
      <c r="V364" s="11">
        <v>1</v>
      </c>
      <c r="W364" s="14"/>
      <c r="X364" s="14"/>
      <c r="Y364" s="14"/>
    </row>
    <row r="365" spans="1:25" ht="39.6">
      <c r="A365" s="80">
        <v>1</v>
      </c>
      <c r="B365" s="93" t="s">
        <v>1714</v>
      </c>
      <c r="C365" s="82">
        <v>365</v>
      </c>
      <c r="D365" s="83">
        <v>5</v>
      </c>
      <c r="E365" s="84">
        <v>43651</v>
      </c>
      <c r="F365" s="85" t="str">
        <f>HYPERLINK("https://tirto.id/soal-pelanggaran-uu-ite-di-kasus-baiq-nuril-dinilai-salah-kaprah-edGg ","sumber")</f>
        <v>sumber</v>
      </c>
      <c r="G365" s="85" t="str">
        <f t="shared" si="43"/>
        <v>lokasi</v>
      </c>
      <c r="H365" s="83">
        <v>316</v>
      </c>
      <c r="I365" s="86">
        <v>1</v>
      </c>
      <c r="J365" s="82">
        <v>1</v>
      </c>
      <c r="K365" s="87" t="s">
        <v>1715</v>
      </c>
      <c r="L365" s="82">
        <v>0</v>
      </c>
      <c r="M365" s="28">
        <v>0</v>
      </c>
      <c r="N365" s="88">
        <v>0</v>
      </c>
      <c r="O365" s="82">
        <v>0</v>
      </c>
      <c r="P365" s="82">
        <v>0</v>
      </c>
      <c r="Q365" s="82" t="s">
        <v>87</v>
      </c>
      <c r="R365" s="89" t="s">
        <v>160</v>
      </c>
      <c r="S365" s="82"/>
      <c r="T365" s="82">
        <v>0</v>
      </c>
      <c r="U365" s="82">
        <v>0</v>
      </c>
      <c r="V365" s="82">
        <v>1</v>
      </c>
      <c r="W365" s="90"/>
      <c r="X365" s="90"/>
      <c r="Y365" s="90"/>
    </row>
    <row r="366" spans="1:25" ht="26.4">
      <c r="A366" s="69">
        <v>1</v>
      </c>
      <c r="B366" s="64" t="s">
        <v>1716</v>
      </c>
      <c r="C366" s="11">
        <v>366</v>
      </c>
      <c r="D366" s="65">
        <v>7</v>
      </c>
      <c r="E366" s="66">
        <v>43666</v>
      </c>
      <c r="F366" s="13" t="str">
        <f>HYPERLINK("https://www.tribunnews.com/nasional/2019/07/20/kpai-kekerasan-seksual-di-sekolah-didominasi-guru-dan-kepala-sekolah ","sumber")</f>
        <v>sumber</v>
      </c>
      <c r="G366" s="13" t="str">
        <f t="shared" si="43"/>
        <v>lokasi</v>
      </c>
      <c r="H366" s="65">
        <v>315</v>
      </c>
      <c r="I366" s="67">
        <v>1</v>
      </c>
      <c r="J366" s="11">
        <v>1</v>
      </c>
      <c r="K366" s="70" t="s">
        <v>1057</v>
      </c>
      <c r="L366" s="11">
        <v>0</v>
      </c>
      <c r="M366" s="11">
        <v>1</v>
      </c>
      <c r="N366" s="15">
        <v>0</v>
      </c>
      <c r="O366" s="11">
        <v>0</v>
      </c>
      <c r="P366" s="11">
        <v>0</v>
      </c>
      <c r="Q366" s="11">
        <v>1</v>
      </c>
      <c r="R366" s="11">
        <v>1</v>
      </c>
      <c r="S366" s="11"/>
      <c r="T366" s="11">
        <v>0</v>
      </c>
      <c r="U366" s="11">
        <v>0</v>
      </c>
      <c r="V366" s="11">
        <v>1</v>
      </c>
      <c r="W366" s="14"/>
      <c r="X366" s="14"/>
      <c r="Y366" s="14"/>
    </row>
    <row r="367" spans="1:25" ht="13.2">
      <c r="A367" s="73">
        <v>2</v>
      </c>
      <c r="B367" s="74" t="s">
        <v>1717</v>
      </c>
      <c r="C367" s="18">
        <v>367</v>
      </c>
      <c r="D367" s="75">
        <v>2</v>
      </c>
      <c r="E367" s="76">
        <v>43668</v>
      </c>
      <c r="F367" s="20" t="str">
        <f>HYPERLINK("https://www.cnnindonesia.com/hiburan/20190721182624-227-414151/day6-ajak-cintai-diri-dalam-the-book-of-us-gravity ","sumber")</f>
        <v>sumber</v>
      </c>
      <c r="G367" s="18" t="s">
        <v>1</v>
      </c>
      <c r="H367" s="75">
        <v>526</v>
      </c>
      <c r="I367" s="77"/>
      <c r="J367" s="18">
        <v>1</v>
      </c>
      <c r="K367" s="78"/>
      <c r="L367" s="19"/>
      <c r="M367" s="19"/>
      <c r="N367" s="19"/>
      <c r="O367" s="19"/>
      <c r="P367" s="19"/>
      <c r="Q367" s="18"/>
      <c r="R367" s="79"/>
      <c r="S367" s="18"/>
      <c r="T367" s="19"/>
      <c r="U367" s="19"/>
      <c r="V367" s="19"/>
      <c r="W367" s="19"/>
      <c r="X367" s="19"/>
      <c r="Y367" s="19"/>
    </row>
    <row r="368" spans="1:25" ht="26.4">
      <c r="A368" s="69">
        <v>1</v>
      </c>
      <c r="B368" s="64" t="s">
        <v>1718</v>
      </c>
      <c r="C368" s="11">
        <v>368</v>
      </c>
      <c r="D368" s="65">
        <v>5</v>
      </c>
      <c r="E368" s="66">
        <v>43669</v>
      </c>
      <c r="F368" s="13" t="str">
        <f>HYPERLINK("https://tirto.id/golkar-beri-sinyal-setujui-amnesti-jokowi-atas-kasus-baiq-nuril-eeSK ","sumber")</f>
        <v>sumber</v>
      </c>
      <c r="G368" s="13" t="str">
        <f t="shared" ref="G368:G373" si="44">HYPERLINK("https://drive.google.com/open?id=15K5sriRJOw0JTPqD9yRZzl0fwZcfdV8X","lokasi")</f>
        <v>lokasi</v>
      </c>
      <c r="H368" s="65">
        <v>257</v>
      </c>
      <c r="I368" s="67">
        <v>4</v>
      </c>
      <c r="J368" s="11">
        <v>1</v>
      </c>
      <c r="K368" s="70" t="s">
        <v>1719</v>
      </c>
      <c r="L368" s="11">
        <v>0</v>
      </c>
      <c r="M368" s="11">
        <v>0</v>
      </c>
      <c r="N368" s="15">
        <v>0</v>
      </c>
      <c r="O368" s="11">
        <v>0</v>
      </c>
      <c r="P368" s="11">
        <v>0</v>
      </c>
      <c r="Q368" s="11">
        <v>0</v>
      </c>
      <c r="R368" s="11">
        <v>1</v>
      </c>
      <c r="S368" s="11"/>
      <c r="T368" s="11">
        <v>0</v>
      </c>
      <c r="U368" s="11">
        <v>0</v>
      </c>
      <c r="V368" s="11">
        <v>1</v>
      </c>
      <c r="W368" s="14"/>
      <c r="X368" s="14"/>
      <c r="Y368" s="14"/>
    </row>
    <row r="369" spans="1:25" ht="13.2">
      <c r="A369" s="80">
        <v>1</v>
      </c>
      <c r="B369" s="93" t="s">
        <v>1720</v>
      </c>
      <c r="C369" s="82">
        <v>369</v>
      </c>
      <c r="D369" s="83">
        <v>9</v>
      </c>
      <c r="E369" s="84">
        <v>43661</v>
      </c>
      <c r="F369" s="85" t="str">
        <f>HYPERLINK("https://nasional.republika.co.id/berita/puo4sr377/baiq-nuril-bacakan-surat-permohonan-ke-jokowi ","sumber")</f>
        <v>sumber</v>
      </c>
      <c r="G369" s="85" t="str">
        <f t="shared" si="44"/>
        <v>lokasi</v>
      </c>
      <c r="H369" s="83">
        <v>79</v>
      </c>
      <c r="I369" s="86">
        <v>1</v>
      </c>
      <c r="J369" s="82">
        <v>1</v>
      </c>
      <c r="K369" s="87" t="s">
        <v>1721</v>
      </c>
      <c r="L369" s="82">
        <v>0</v>
      </c>
      <c r="M369" s="28">
        <v>0</v>
      </c>
      <c r="N369" s="88">
        <v>0</v>
      </c>
      <c r="O369" s="82">
        <v>0</v>
      </c>
      <c r="P369" s="82">
        <v>0</v>
      </c>
      <c r="Q369" s="82">
        <v>2</v>
      </c>
      <c r="R369" s="89">
        <v>1</v>
      </c>
      <c r="S369" s="82"/>
      <c r="T369" s="82">
        <v>0</v>
      </c>
      <c r="U369" s="82">
        <v>0</v>
      </c>
      <c r="V369" s="82">
        <v>1</v>
      </c>
      <c r="W369" s="90"/>
      <c r="X369" s="90"/>
      <c r="Y369" s="90"/>
    </row>
    <row r="370" spans="1:25" ht="13.2">
      <c r="A370" s="69">
        <v>1</v>
      </c>
      <c r="B370" s="64" t="s">
        <v>1722</v>
      </c>
      <c r="C370" s="11">
        <v>370</v>
      </c>
      <c r="D370" s="65">
        <v>8</v>
      </c>
      <c r="E370" s="66">
        <v>43676</v>
      </c>
      <c r="F370" s="13" t="str">
        <f>HYPERLINK("https://www.suara.com/bola/2019/07/30/192025/kasus-dugaan-pemerkosaan-neymar-resmi-dihentikan ","sumber")</f>
        <v>sumber</v>
      </c>
      <c r="G370" s="13" t="str">
        <f t="shared" si="44"/>
        <v>lokasi</v>
      </c>
      <c r="H370" s="65">
        <v>213</v>
      </c>
      <c r="I370" s="67">
        <v>1</v>
      </c>
      <c r="J370" s="11">
        <v>1</v>
      </c>
      <c r="K370" s="70"/>
      <c r="L370" s="11">
        <v>0</v>
      </c>
      <c r="M370" s="11">
        <v>-1</v>
      </c>
      <c r="N370" s="11">
        <v>-1</v>
      </c>
      <c r="O370" s="11">
        <v>1</v>
      </c>
      <c r="P370" s="11">
        <v>0</v>
      </c>
      <c r="Q370" s="11"/>
      <c r="R370" s="11"/>
      <c r="S370" s="11"/>
      <c r="T370" s="11">
        <v>0</v>
      </c>
      <c r="U370" s="11">
        <v>0</v>
      </c>
      <c r="V370" s="11">
        <v>1</v>
      </c>
      <c r="W370" s="14"/>
      <c r="X370" s="14"/>
      <c r="Y370" s="14"/>
    </row>
    <row r="371" spans="1:25" ht="26.4">
      <c r="A371" s="69">
        <v>1</v>
      </c>
      <c r="B371" s="64" t="s">
        <v>1723</v>
      </c>
      <c r="C371" s="11">
        <v>371</v>
      </c>
      <c r="D371" s="65">
        <v>9</v>
      </c>
      <c r="E371" s="66">
        <v>43680</v>
      </c>
      <c r="F371" s="13" t="str">
        <f>HYPERLINK("https://nasional.republika.co.id/berita/pvn7o4415/pemerintah-kaji-revisi-uu-ite ","sumber")</f>
        <v>sumber</v>
      </c>
      <c r="G371" s="13" t="str">
        <f t="shared" si="44"/>
        <v>lokasi</v>
      </c>
      <c r="H371" s="65">
        <v>459</v>
      </c>
      <c r="I371" s="67">
        <v>4</v>
      </c>
      <c r="J371" s="11">
        <v>1</v>
      </c>
      <c r="K371" s="70" t="s">
        <v>1724</v>
      </c>
      <c r="L371" s="11">
        <v>0</v>
      </c>
      <c r="M371" s="11">
        <v>0</v>
      </c>
      <c r="N371" s="15">
        <v>0</v>
      </c>
      <c r="O371" s="11">
        <v>0</v>
      </c>
      <c r="P371" s="11">
        <v>0</v>
      </c>
      <c r="Q371" s="11" t="s">
        <v>87</v>
      </c>
      <c r="R371" s="11" t="s">
        <v>182</v>
      </c>
      <c r="S371" s="11"/>
      <c r="T371" s="11">
        <v>0</v>
      </c>
      <c r="U371" s="11">
        <v>0</v>
      </c>
      <c r="V371" s="11">
        <v>1</v>
      </c>
      <c r="W371" s="14"/>
      <c r="X371" s="14"/>
      <c r="Y371" s="14"/>
    </row>
    <row r="372" spans="1:25" ht="105.6">
      <c r="A372" s="69">
        <v>1</v>
      </c>
      <c r="B372" s="64" t="s">
        <v>1725</v>
      </c>
      <c r="C372" s="11">
        <v>372</v>
      </c>
      <c r="D372" s="65">
        <v>5</v>
      </c>
      <c r="E372" s="66">
        <v>43685</v>
      </c>
      <c r="F372" s="13" t="str">
        <f>HYPERLINK("https://tirto.id/ketika-anak-dan-perempuan-indonesia-masih-terpinggirkan-efE3 ","sumber")</f>
        <v>sumber</v>
      </c>
      <c r="G372" s="13" t="str">
        <f t="shared" si="44"/>
        <v>lokasi</v>
      </c>
      <c r="H372" s="65">
        <v>1915</v>
      </c>
      <c r="I372" s="67">
        <v>2</v>
      </c>
      <c r="J372" s="11">
        <v>1</v>
      </c>
      <c r="K372" s="70" t="s">
        <v>1726</v>
      </c>
      <c r="L372" s="11">
        <v>0</v>
      </c>
      <c r="M372" s="11">
        <v>0</v>
      </c>
      <c r="N372" s="15">
        <v>0</v>
      </c>
      <c r="O372" s="11">
        <v>0</v>
      </c>
      <c r="P372" s="11">
        <v>0</v>
      </c>
      <c r="Q372" s="11" t="s">
        <v>106</v>
      </c>
      <c r="R372" s="11" t="s">
        <v>106</v>
      </c>
      <c r="S372" s="11"/>
      <c r="T372" s="11">
        <v>0</v>
      </c>
      <c r="U372" s="11">
        <v>0</v>
      </c>
      <c r="V372" s="11">
        <v>1</v>
      </c>
      <c r="W372" s="14"/>
      <c r="X372" s="14"/>
      <c r="Y372" s="14"/>
    </row>
    <row r="373" spans="1:25" ht="52.8">
      <c r="A373" s="80">
        <v>1</v>
      </c>
      <c r="B373" s="93" t="s">
        <v>1727</v>
      </c>
      <c r="C373" s="82">
        <v>373</v>
      </c>
      <c r="D373" s="83">
        <v>2</v>
      </c>
      <c r="E373" s="84">
        <v>43704</v>
      </c>
      <c r="F373" s="85" t="str">
        <f>HYPERLINK("https://www.cnnindonesia.com/nasional/20190827122640-32-424979/dpr-minta-idi-laksanakan-putusan-pengadilan-soal-kebiri-kimia ","sumber")</f>
        <v>sumber</v>
      </c>
      <c r="G373" s="85" t="str">
        <f t="shared" si="44"/>
        <v>lokasi</v>
      </c>
      <c r="H373" s="83">
        <v>399</v>
      </c>
      <c r="I373" s="86">
        <v>4</v>
      </c>
      <c r="J373" s="82">
        <v>1</v>
      </c>
      <c r="K373" s="87" t="s">
        <v>1728</v>
      </c>
      <c r="L373" s="82">
        <v>0</v>
      </c>
      <c r="M373" s="82">
        <v>0</v>
      </c>
      <c r="N373" s="88">
        <v>0</v>
      </c>
      <c r="O373" s="82">
        <v>0</v>
      </c>
      <c r="P373" s="82">
        <v>0</v>
      </c>
      <c r="Q373" s="82" t="s">
        <v>29</v>
      </c>
      <c r="R373" s="89" t="s">
        <v>29</v>
      </c>
      <c r="S373" s="82"/>
      <c r="T373" s="82">
        <v>0</v>
      </c>
      <c r="U373" s="82">
        <v>0</v>
      </c>
      <c r="V373" s="82">
        <v>1</v>
      </c>
      <c r="W373" s="90"/>
      <c r="X373" s="90"/>
      <c r="Y373" s="90"/>
    </row>
    <row r="374" spans="1:25" ht="13.2">
      <c r="A374" s="73">
        <v>2</v>
      </c>
      <c r="B374" s="74" t="s">
        <v>1729</v>
      </c>
      <c r="C374" s="18">
        <v>374</v>
      </c>
      <c r="D374" s="75">
        <v>4</v>
      </c>
      <c r="E374" s="76">
        <v>43690</v>
      </c>
      <c r="F374" s="20" t="str">
        <f>HYPERLINK("https://www.liputan6.com/global/read/4036256/disidang-pelaku-serangan-teroris-masjid-di-norwegia-mengaku-tak-bersalah ","sumber")</f>
        <v>sumber</v>
      </c>
      <c r="G374" s="18" t="s">
        <v>1</v>
      </c>
      <c r="H374" s="75">
        <v>586</v>
      </c>
      <c r="I374" s="77"/>
      <c r="J374" s="18">
        <v>1</v>
      </c>
      <c r="K374" s="78"/>
      <c r="L374" s="19"/>
      <c r="M374" s="19"/>
      <c r="N374" s="19"/>
      <c r="O374" s="19"/>
      <c r="P374" s="19"/>
      <c r="Q374" s="18"/>
      <c r="R374" s="79"/>
      <c r="S374" s="18"/>
      <c r="T374" s="19"/>
      <c r="U374" s="19"/>
      <c r="V374" s="19"/>
      <c r="W374" s="19"/>
      <c r="X374" s="19"/>
      <c r="Y374" s="19"/>
    </row>
    <row r="375" spans="1:25" ht="26.4">
      <c r="A375" s="80">
        <v>1</v>
      </c>
      <c r="B375" s="93" t="s">
        <v>1730</v>
      </c>
      <c r="C375" s="82">
        <v>375</v>
      </c>
      <c r="D375" s="83">
        <v>10</v>
      </c>
      <c r="E375" s="84">
        <v>43690</v>
      </c>
      <c r="F375" s="85" t="str">
        <f>HYPERLINK("https://metro.tempo.co/read/1235200/ade-armando-putusan-kasus-kekerasan-seksual-rizky-amelia-ganjil ","sumber")</f>
        <v>sumber</v>
      </c>
      <c r="G375" s="85" t="str">
        <f t="shared" ref="G375:G379" si="45">HYPERLINK("https://drive.google.com/open?id=15K5sriRJOw0JTPqD9yRZzl0fwZcfdV8X","lokasi")</f>
        <v>lokasi</v>
      </c>
      <c r="H375" s="83">
        <v>322</v>
      </c>
      <c r="I375" s="86">
        <v>1</v>
      </c>
      <c r="J375" s="82">
        <v>1</v>
      </c>
      <c r="K375" s="87" t="s">
        <v>1731</v>
      </c>
      <c r="L375" s="82">
        <v>0</v>
      </c>
      <c r="M375" s="28">
        <v>0</v>
      </c>
      <c r="N375" s="88">
        <v>0</v>
      </c>
      <c r="O375" s="82">
        <v>1</v>
      </c>
      <c r="P375" s="82">
        <v>0</v>
      </c>
      <c r="Q375" s="82">
        <v>0</v>
      </c>
      <c r="R375" s="89">
        <v>1</v>
      </c>
      <c r="S375" s="82"/>
      <c r="T375" s="82">
        <v>0</v>
      </c>
      <c r="U375" s="82">
        <v>0</v>
      </c>
      <c r="V375" s="82">
        <v>1</v>
      </c>
      <c r="W375" s="90"/>
      <c r="X375" s="90"/>
      <c r="Y375" s="90"/>
    </row>
    <row r="376" spans="1:25" ht="26.4">
      <c r="A376" s="69">
        <v>1</v>
      </c>
      <c r="B376" s="64" t="s">
        <v>1732</v>
      </c>
      <c r="C376" s="11">
        <v>376</v>
      </c>
      <c r="D376" s="65">
        <v>6</v>
      </c>
      <c r="E376" s="66">
        <v>43692</v>
      </c>
      <c r="F376" s="13" t="str">
        <f>HYPERLINK("https://regional.kompas.com/read/2019/08/15/14160071/ibu-rumah-tangga-dicabuli-tetangga-saat-hendak-buang-air-di-toilet ","sumber")</f>
        <v>sumber</v>
      </c>
      <c r="G376" s="13" t="str">
        <f t="shared" si="45"/>
        <v>lokasi</v>
      </c>
      <c r="H376" s="65">
        <v>225</v>
      </c>
      <c r="I376" s="67">
        <v>1</v>
      </c>
      <c r="J376" s="11">
        <v>1</v>
      </c>
      <c r="K376" s="70" t="s">
        <v>1733</v>
      </c>
      <c r="L376" s="11">
        <v>0</v>
      </c>
      <c r="M376" s="11">
        <v>-1</v>
      </c>
      <c r="N376" s="15">
        <v>0</v>
      </c>
      <c r="O376" s="11">
        <v>0</v>
      </c>
      <c r="P376" s="11">
        <v>0</v>
      </c>
      <c r="Q376" s="11">
        <v>0</v>
      </c>
      <c r="R376" s="11">
        <v>0</v>
      </c>
      <c r="S376" s="11" t="s">
        <v>1734</v>
      </c>
      <c r="T376" s="11">
        <v>1</v>
      </c>
      <c r="U376" s="11">
        <v>0</v>
      </c>
      <c r="V376" s="11">
        <v>1</v>
      </c>
      <c r="W376" s="14"/>
      <c r="X376" s="14"/>
      <c r="Y376" s="14"/>
    </row>
    <row r="377" spans="1:25" ht="79.2">
      <c r="A377" s="69">
        <v>1</v>
      </c>
      <c r="B377" s="64" t="s">
        <v>1735</v>
      </c>
      <c r="C377" s="11">
        <v>377</v>
      </c>
      <c r="D377" s="65">
        <v>7</v>
      </c>
      <c r="E377" s="66">
        <v>43692</v>
      </c>
      <c r="F377" s="13" t="str">
        <f>HYPERLINK("https://www.tribunnews.com/regional/2019/08/15/dijual-suami-untuk-layanan-threesome-begini-kondisi-sang-istri-yang-sedang-hamil-4-bulan ","sumber")</f>
        <v>sumber</v>
      </c>
      <c r="G377" s="13" t="str">
        <f t="shared" si="45"/>
        <v>lokasi</v>
      </c>
      <c r="H377" s="65">
        <v>197</v>
      </c>
      <c r="I377" s="67">
        <v>1</v>
      </c>
      <c r="J377" s="11">
        <v>1</v>
      </c>
      <c r="K377" s="70" t="s">
        <v>1736</v>
      </c>
      <c r="L377" s="11">
        <v>0</v>
      </c>
      <c r="M377" s="11">
        <v>-1</v>
      </c>
      <c r="N377" s="11">
        <v>-1</v>
      </c>
      <c r="O377" s="11">
        <v>-1</v>
      </c>
      <c r="P377" s="11">
        <v>-1</v>
      </c>
      <c r="Q377" s="11" t="s">
        <v>57</v>
      </c>
      <c r="R377" s="11" t="s">
        <v>1737</v>
      </c>
      <c r="S377" s="11" t="s">
        <v>1738</v>
      </c>
      <c r="T377" s="11">
        <v>3</v>
      </c>
      <c r="U377" s="11">
        <v>-1</v>
      </c>
      <c r="V377" s="11">
        <v>0</v>
      </c>
      <c r="W377" s="14"/>
      <c r="X377" s="14"/>
      <c r="Y377" s="14"/>
    </row>
    <row r="378" spans="1:25" ht="66">
      <c r="A378" s="69">
        <v>1</v>
      </c>
      <c r="B378" s="64" t="s">
        <v>1739</v>
      </c>
      <c r="C378" s="11">
        <v>378</v>
      </c>
      <c r="D378" s="65">
        <v>2</v>
      </c>
      <c r="E378" s="66">
        <v>43698</v>
      </c>
      <c r="F378" s="13" t="str">
        <f>HYPERLINK("https://www.cnnindonesia.com/nasional/20190820132516-12-423005/polisi-sebut-pak-ogah-pelecehan-seks-kabur-ke-luar-kota ","sumber")</f>
        <v>sumber</v>
      </c>
      <c r="G378" s="13" t="str">
        <f t="shared" si="45"/>
        <v>lokasi</v>
      </c>
      <c r="H378" s="65">
        <v>240</v>
      </c>
      <c r="I378" s="67">
        <v>1</v>
      </c>
      <c r="J378" s="11">
        <v>1</v>
      </c>
      <c r="K378" s="70" t="s">
        <v>1740</v>
      </c>
      <c r="L378" s="11">
        <v>0</v>
      </c>
      <c r="M378" s="11">
        <v>-1</v>
      </c>
      <c r="N378" s="15">
        <v>0</v>
      </c>
      <c r="O378" s="11">
        <v>1</v>
      </c>
      <c r="P378" s="11">
        <v>0</v>
      </c>
      <c r="Q378" s="11" t="s">
        <v>29</v>
      </c>
      <c r="R378" s="11" t="s">
        <v>29</v>
      </c>
      <c r="S378" s="11"/>
      <c r="T378" s="11">
        <v>0</v>
      </c>
      <c r="U378" s="11">
        <v>0</v>
      </c>
      <c r="V378" s="11">
        <v>1</v>
      </c>
      <c r="W378" s="14"/>
      <c r="X378" s="14"/>
      <c r="Y378" s="14"/>
    </row>
    <row r="379" spans="1:25" ht="13.2">
      <c r="A379" s="69">
        <v>1</v>
      </c>
      <c r="B379" s="64" t="s">
        <v>1741</v>
      </c>
      <c r="C379" s="11">
        <v>379</v>
      </c>
      <c r="D379" s="65">
        <v>8</v>
      </c>
      <c r="E379" s="66">
        <v>43700</v>
      </c>
      <c r="F379" s="13" t="str">
        <f>HYPERLINK("https://www.suara.com/entertainment/2019/08/23/163613/pelecehan-pabrik-susu-aura-kasih-mencak-mencak-hubungi-yan-widjaya ","sumber")</f>
        <v>sumber</v>
      </c>
      <c r="G379" s="13" t="str">
        <f t="shared" si="45"/>
        <v>lokasi</v>
      </c>
      <c r="H379" s="65">
        <v>247</v>
      </c>
      <c r="I379" s="67">
        <v>1</v>
      </c>
      <c r="J379" s="11">
        <v>1</v>
      </c>
      <c r="K379" s="70" t="s">
        <v>1742</v>
      </c>
      <c r="L379" s="11">
        <v>0</v>
      </c>
      <c r="M379" s="11">
        <v>-1</v>
      </c>
      <c r="N379" s="15">
        <v>0</v>
      </c>
      <c r="O379" s="11">
        <v>0</v>
      </c>
      <c r="P379" s="11">
        <v>-1</v>
      </c>
      <c r="Q379" s="11">
        <v>0</v>
      </c>
      <c r="R379" s="11">
        <v>-1</v>
      </c>
      <c r="S379" s="11"/>
      <c r="T379" s="11">
        <v>0</v>
      </c>
      <c r="U379" s="11">
        <v>0</v>
      </c>
      <c r="V379" s="11">
        <v>0</v>
      </c>
      <c r="W379" s="14"/>
      <c r="X379" s="14"/>
      <c r="Y379" s="14"/>
    </row>
    <row r="380" spans="1:25" ht="13.2">
      <c r="A380" s="73">
        <v>2</v>
      </c>
      <c r="B380" s="74" t="s">
        <v>1743</v>
      </c>
      <c r="C380" s="18">
        <v>380</v>
      </c>
      <c r="D380" s="75">
        <v>10</v>
      </c>
      <c r="E380" s="76">
        <v>43701</v>
      </c>
      <c r="F380" s="20" t="str">
        <f>HYPERLINK("https://dunia.tempo.co/read/1239776/google-melarang-karyawan-diskusi-politik ","sumber")</f>
        <v>sumber</v>
      </c>
      <c r="G380" s="18" t="s">
        <v>1</v>
      </c>
      <c r="H380" s="75">
        <v>268</v>
      </c>
      <c r="I380" s="77"/>
      <c r="J380" s="18">
        <v>1</v>
      </c>
      <c r="K380" s="78"/>
      <c r="L380" s="19"/>
      <c r="M380" s="19"/>
      <c r="N380" s="19"/>
      <c r="O380" s="19"/>
      <c r="P380" s="19"/>
      <c r="Q380" s="18"/>
      <c r="R380" s="79"/>
      <c r="S380" s="18"/>
      <c r="T380" s="19"/>
      <c r="U380" s="19"/>
      <c r="V380" s="19"/>
      <c r="W380" s="19"/>
      <c r="X380" s="19"/>
      <c r="Y380" s="19"/>
    </row>
    <row r="381" spans="1:25" ht="79.2">
      <c r="A381" s="80">
        <v>1</v>
      </c>
      <c r="B381" s="93" t="s">
        <v>1744</v>
      </c>
      <c r="C381" s="82">
        <v>381</v>
      </c>
      <c r="D381" s="83">
        <v>5</v>
      </c>
      <c r="E381" s="84">
        <v>43705</v>
      </c>
      <c r="F381" s="85" t="str">
        <f>HYPERLINK("https://tirto.id/dpr-tak-serius-bahas-ruu-pks-hanya-dihadiri-tiga-orang-eg9X ","sumber")</f>
        <v>sumber</v>
      </c>
      <c r="G381" s="85" t="str">
        <f t="shared" ref="G381:G384" si="46">HYPERLINK("https://drive.google.com/open?id=15K5sriRJOw0JTPqD9yRZzl0fwZcfdV8X","lokasi")</f>
        <v>lokasi</v>
      </c>
      <c r="H381" s="83">
        <v>482</v>
      </c>
      <c r="I381" s="86">
        <v>4</v>
      </c>
      <c r="J381" s="82">
        <v>1</v>
      </c>
      <c r="K381" s="87" t="s">
        <v>1745</v>
      </c>
      <c r="L381" s="82">
        <v>0</v>
      </c>
      <c r="M381" s="82">
        <v>0</v>
      </c>
      <c r="N381" s="88">
        <v>0</v>
      </c>
      <c r="O381" s="82">
        <v>0</v>
      </c>
      <c r="P381" s="82">
        <v>0</v>
      </c>
      <c r="Q381" s="82" t="s">
        <v>68</v>
      </c>
      <c r="R381" s="89" t="s">
        <v>748</v>
      </c>
      <c r="S381" s="82"/>
      <c r="T381" s="82">
        <v>0</v>
      </c>
      <c r="U381" s="82">
        <v>0</v>
      </c>
      <c r="V381" s="82">
        <v>1</v>
      </c>
      <c r="W381" s="90"/>
      <c r="X381" s="90"/>
      <c r="Y381" s="90"/>
    </row>
    <row r="382" spans="1:25" ht="79.2">
      <c r="A382" s="69">
        <v>1</v>
      </c>
      <c r="B382" s="64" t="s">
        <v>1746</v>
      </c>
      <c r="C382" s="11">
        <v>382</v>
      </c>
      <c r="D382" s="65">
        <v>10</v>
      </c>
      <c r="E382" s="66">
        <v>43707</v>
      </c>
      <c r="F382" s="13" t="str">
        <f>HYPERLINK("https://metro.tempo.co/read/1242129/kasus-pemerkosaan-siswi-sd-ini-permintaan-komnas-anak-ke-polisi ","sumber")</f>
        <v>sumber</v>
      </c>
      <c r="G382" s="13" t="str">
        <f t="shared" si="46"/>
        <v>lokasi</v>
      </c>
      <c r="H382" s="65">
        <v>307</v>
      </c>
      <c r="I382" s="67">
        <v>1</v>
      </c>
      <c r="J382" s="11">
        <v>1</v>
      </c>
      <c r="K382" s="70" t="s">
        <v>1747</v>
      </c>
      <c r="L382" s="11">
        <v>0</v>
      </c>
      <c r="M382" s="28">
        <v>0</v>
      </c>
      <c r="N382" s="15">
        <v>0</v>
      </c>
      <c r="O382" s="11">
        <v>0</v>
      </c>
      <c r="P382" s="11">
        <v>0</v>
      </c>
      <c r="Q382" s="11" t="s">
        <v>29</v>
      </c>
      <c r="R382" s="11" t="s">
        <v>68</v>
      </c>
      <c r="S382" s="11"/>
      <c r="T382" s="11">
        <v>0</v>
      </c>
      <c r="U382" s="11">
        <v>0</v>
      </c>
      <c r="V382" s="11">
        <v>1</v>
      </c>
      <c r="W382" s="14"/>
      <c r="X382" s="14"/>
      <c r="Y382" s="14"/>
    </row>
    <row r="383" spans="1:25" ht="26.4">
      <c r="A383" s="80">
        <v>1</v>
      </c>
      <c r="B383" s="93" t="s">
        <v>1748</v>
      </c>
      <c r="C383" s="82">
        <v>383</v>
      </c>
      <c r="D383" s="83">
        <v>1</v>
      </c>
      <c r="E383" s="84">
        <v>43687</v>
      </c>
      <c r="F383" s="85" t="str">
        <f>HYPERLINK("https://news.detik.com/berita/d-4660377/kpai-desak-polisi-tangkap-pelaku-begal-payudara-di-bintaro-tangsel ","sumber")</f>
        <v>sumber</v>
      </c>
      <c r="G383" s="85" t="str">
        <f t="shared" si="46"/>
        <v>lokasi</v>
      </c>
      <c r="H383" s="83">
        <v>297</v>
      </c>
      <c r="I383" s="86">
        <v>1</v>
      </c>
      <c r="J383" s="82">
        <v>1</v>
      </c>
      <c r="K383" s="87" t="s">
        <v>1749</v>
      </c>
      <c r="L383" s="82">
        <v>0</v>
      </c>
      <c r="M383" s="28">
        <v>0</v>
      </c>
      <c r="N383" s="88">
        <v>0</v>
      </c>
      <c r="O383" s="82">
        <v>1</v>
      </c>
      <c r="P383" s="82">
        <v>0</v>
      </c>
      <c r="Q383" s="82">
        <v>1</v>
      </c>
      <c r="R383" s="89">
        <v>1</v>
      </c>
      <c r="S383" s="82"/>
      <c r="T383" s="82">
        <v>0</v>
      </c>
      <c r="U383" s="82">
        <v>0</v>
      </c>
      <c r="V383" s="82">
        <v>1</v>
      </c>
      <c r="W383" s="90"/>
      <c r="X383" s="90"/>
      <c r="Y383" s="90"/>
    </row>
    <row r="384" spans="1:25" ht="26.4">
      <c r="A384" s="69">
        <v>1</v>
      </c>
      <c r="B384" s="64" t="s">
        <v>1750</v>
      </c>
      <c r="C384" s="11">
        <v>384</v>
      </c>
      <c r="D384" s="65">
        <v>8</v>
      </c>
      <c r="E384" s="66">
        <v>43709</v>
      </c>
      <c r="F384" s="13" t="str">
        <f>HYPERLINK("https://www.suara.com/entertainment/2019/09/01/114508/ayah-vanessa-angel-curhat-di-medsos-unggah-foto-anaknya-berbikini ","sumber")</f>
        <v>sumber</v>
      </c>
      <c r="G384" s="13" t="str">
        <f t="shared" si="46"/>
        <v>lokasi</v>
      </c>
      <c r="H384" s="65">
        <v>259</v>
      </c>
      <c r="I384" s="67">
        <v>2</v>
      </c>
      <c r="J384" s="11">
        <v>1</v>
      </c>
      <c r="K384" s="70" t="s">
        <v>1751</v>
      </c>
      <c r="L384" s="11">
        <v>0</v>
      </c>
      <c r="M384" s="11">
        <v>0</v>
      </c>
      <c r="N384" s="15">
        <v>0</v>
      </c>
      <c r="O384" s="11">
        <v>0</v>
      </c>
      <c r="P384" s="11">
        <v>-1</v>
      </c>
      <c r="Q384" s="11">
        <v>0</v>
      </c>
      <c r="R384" s="11">
        <v>-1</v>
      </c>
      <c r="S384" s="11"/>
      <c r="T384" s="11">
        <v>0</v>
      </c>
      <c r="U384" s="11">
        <v>-1</v>
      </c>
      <c r="V384" s="11">
        <v>0</v>
      </c>
      <c r="W384" s="14"/>
      <c r="X384" s="14"/>
      <c r="Y384" s="14"/>
    </row>
    <row r="385" spans="1:25" ht="13.2">
      <c r="A385" s="73">
        <v>2</v>
      </c>
      <c r="B385" s="74" t="s">
        <v>1752</v>
      </c>
      <c r="C385" s="18">
        <v>385</v>
      </c>
      <c r="D385" s="75">
        <v>1</v>
      </c>
      <c r="E385" s="76">
        <v>43710</v>
      </c>
      <c r="F385" s="20" t="str">
        <f>HYPERLINK("https://hot.detik.com/detiktv/d-4690942/di-bully-karena-kasus-sang-kakak-adik-vanessa-angel-pindah-sekolah ","sumber")</f>
        <v>sumber</v>
      </c>
      <c r="G385" s="18" t="s">
        <v>1</v>
      </c>
      <c r="H385" s="75">
        <v>38</v>
      </c>
      <c r="I385" s="77"/>
      <c r="J385" s="18">
        <v>1</v>
      </c>
      <c r="K385" s="78"/>
      <c r="L385" s="19"/>
      <c r="M385" s="19"/>
      <c r="N385" s="19"/>
      <c r="O385" s="19"/>
      <c r="P385" s="19"/>
      <c r="Q385" s="18"/>
      <c r="R385" s="19"/>
      <c r="S385" s="19"/>
      <c r="T385" s="19"/>
      <c r="U385" s="19"/>
      <c r="V385" s="19"/>
      <c r="W385" s="19"/>
      <c r="X385" s="19"/>
      <c r="Y385" s="19"/>
    </row>
    <row r="386" spans="1:25" ht="145.19999999999999">
      <c r="A386" s="80">
        <v>1</v>
      </c>
      <c r="B386" s="93" t="s">
        <v>1753</v>
      </c>
      <c r="C386" s="82">
        <v>386</v>
      </c>
      <c r="D386" s="83">
        <v>9</v>
      </c>
      <c r="E386" s="84">
        <v>43710</v>
      </c>
      <c r="F386" s="85" t="str">
        <f>HYPERLINK("https://nasional.republika.co.id/berita/px71dg382/57-kasus-kekerasan-seksual-dialami-korban-bencana-sulteng ","sumber")</f>
        <v>sumber</v>
      </c>
      <c r="G386" s="85" t="str">
        <f t="shared" ref="G386:G387" si="47">HYPERLINK("https://drive.google.com/open?id=15K5sriRJOw0JTPqD9yRZzl0fwZcfdV8X","lokasi")</f>
        <v>lokasi</v>
      </c>
      <c r="H386" s="95">
        <v>76</v>
      </c>
      <c r="I386" s="86">
        <v>1</v>
      </c>
      <c r="J386" s="82">
        <v>1</v>
      </c>
      <c r="K386" s="87" t="s">
        <v>1754</v>
      </c>
      <c r="L386" s="82">
        <v>0</v>
      </c>
      <c r="M386" s="28">
        <v>0</v>
      </c>
      <c r="N386" s="88">
        <v>0</v>
      </c>
      <c r="O386" s="82">
        <v>0</v>
      </c>
      <c r="P386" s="82">
        <v>0</v>
      </c>
      <c r="Q386" s="82" t="s">
        <v>160</v>
      </c>
      <c r="R386" s="89" t="s">
        <v>160</v>
      </c>
      <c r="S386" s="82"/>
      <c r="T386" s="82">
        <v>0</v>
      </c>
      <c r="U386" s="82">
        <v>0</v>
      </c>
      <c r="V386" s="82">
        <v>1</v>
      </c>
      <c r="W386" s="90"/>
      <c r="X386" s="90"/>
      <c r="Y386" s="90"/>
    </row>
    <row r="387" spans="1:25" ht="26.4">
      <c r="A387" s="80">
        <v>1</v>
      </c>
      <c r="B387" s="93" t="s">
        <v>1755</v>
      </c>
      <c r="C387" s="82">
        <v>387</v>
      </c>
      <c r="D387" s="83">
        <v>9</v>
      </c>
      <c r="E387" s="84">
        <v>43711</v>
      </c>
      <c r="F387" s="85" t="str">
        <f>HYPERLINK("https://nasional.republika.co.id/berita/px8gxg0/kasus-pelecehan-menimpa-siswi-smp-pelaku-masih-keluarga ","sumber")</f>
        <v>sumber</v>
      </c>
      <c r="G387" s="85" t="str">
        <f t="shared" si="47"/>
        <v>lokasi</v>
      </c>
      <c r="H387" s="83">
        <v>200</v>
      </c>
      <c r="I387" s="86">
        <v>1</v>
      </c>
      <c r="J387" s="82">
        <v>1</v>
      </c>
      <c r="K387" s="87" t="s">
        <v>1756</v>
      </c>
      <c r="L387" s="82">
        <v>0</v>
      </c>
      <c r="M387" s="28">
        <v>0</v>
      </c>
      <c r="N387" s="88">
        <v>0</v>
      </c>
      <c r="O387" s="82">
        <v>1</v>
      </c>
      <c r="P387" s="82">
        <v>0</v>
      </c>
      <c r="Q387" s="82">
        <v>0</v>
      </c>
      <c r="R387" s="89">
        <v>0</v>
      </c>
      <c r="S387" s="82"/>
      <c r="T387" s="82">
        <v>0</v>
      </c>
      <c r="U387" s="82">
        <v>0</v>
      </c>
      <c r="V387" s="82">
        <v>1</v>
      </c>
      <c r="W387" s="90"/>
      <c r="X387" s="90"/>
      <c r="Y387" s="90"/>
    </row>
    <row r="388" spans="1:25" ht="13.2">
      <c r="A388" s="73">
        <v>2</v>
      </c>
      <c r="B388" s="74" t="s">
        <v>1757</v>
      </c>
      <c r="C388" s="18">
        <v>388</v>
      </c>
      <c r="D388" s="75">
        <v>2</v>
      </c>
      <c r="E388" s="76">
        <v>43712</v>
      </c>
      <c r="F388" s="20" t="str">
        <f>HYPERLINK("https://www.cnnindonesia.com/hiburan/20190904030222-227-427315/keamanan-alasan-pentagon-batal-konser-di-hong-kong ","sumber")</f>
        <v>sumber</v>
      </c>
      <c r="G388" s="18" t="s">
        <v>1</v>
      </c>
      <c r="H388" s="75">
        <v>362</v>
      </c>
      <c r="I388" s="77"/>
      <c r="J388" s="18">
        <v>1</v>
      </c>
      <c r="K388" s="78"/>
      <c r="L388" s="19"/>
      <c r="M388" s="19"/>
      <c r="N388" s="19"/>
      <c r="O388" s="19"/>
      <c r="P388" s="19"/>
      <c r="Q388" s="18"/>
      <c r="R388" s="79"/>
      <c r="S388" s="18"/>
      <c r="T388" s="19"/>
      <c r="U388" s="19"/>
      <c r="V388" s="19"/>
      <c r="W388" s="19"/>
      <c r="X388" s="19"/>
      <c r="Y388" s="19"/>
    </row>
    <row r="389" spans="1:25" ht="52.8">
      <c r="A389" s="69">
        <v>1</v>
      </c>
      <c r="B389" s="64" t="s">
        <v>1758</v>
      </c>
      <c r="C389" s="11">
        <v>389</v>
      </c>
      <c r="D389" s="65">
        <v>9</v>
      </c>
      <c r="E389" s="66">
        <v>43712</v>
      </c>
      <c r="F389" s="13" t="str">
        <f>HYPERLINK("https://nasional.republika.co.id/berita/px9npq368/ruu-penghapusan-kekerasan-seksual-disinkronisasi-rkuhp ","sumber")</f>
        <v>sumber</v>
      </c>
      <c r="G389" s="13" t="str">
        <f t="shared" ref="G389:G393" si="48">HYPERLINK("https://drive.google.com/open?id=15K5sriRJOw0JTPqD9yRZzl0fwZcfdV8X","lokasi")</f>
        <v>lokasi</v>
      </c>
      <c r="H389" s="65">
        <v>42</v>
      </c>
      <c r="I389" s="67">
        <v>4</v>
      </c>
      <c r="J389" s="11">
        <v>1</v>
      </c>
      <c r="K389" s="70" t="s">
        <v>1759</v>
      </c>
      <c r="L389" s="11">
        <v>0</v>
      </c>
      <c r="M389" s="11">
        <v>0</v>
      </c>
      <c r="N389" s="15">
        <v>0</v>
      </c>
      <c r="O389" s="11">
        <v>0</v>
      </c>
      <c r="P389" s="11">
        <v>0</v>
      </c>
      <c r="Q389" s="11" t="s">
        <v>29</v>
      </c>
      <c r="R389" s="11" t="s">
        <v>30</v>
      </c>
      <c r="S389" s="11"/>
      <c r="T389" s="11">
        <v>0</v>
      </c>
      <c r="U389" s="11">
        <v>0</v>
      </c>
      <c r="V389" s="11">
        <v>1</v>
      </c>
      <c r="W389" s="14"/>
      <c r="X389" s="14"/>
      <c r="Y389" s="14"/>
    </row>
    <row r="390" spans="1:25" ht="66">
      <c r="A390" s="69">
        <v>1</v>
      </c>
      <c r="B390" s="64" t="s">
        <v>302</v>
      </c>
      <c r="C390" s="11">
        <v>390</v>
      </c>
      <c r="D390" s="65">
        <v>5</v>
      </c>
      <c r="E390" s="66">
        <v>43712</v>
      </c>
      <c r="F390" s="13" t="str">
        <f>HYPERLINK("https://tirto.id/rkuhp-paksa-pasangan-sah-bersetubuh-terancam-12-tahun-penjara-ehtW ","sumber")</f>
        <v>sumber</v>
      </c>
      <c r="G390" s="13" t="str">
        <f t="shared" si="48"/>
        <v>lokasi</v>
      </c>
      <c r="H390" s="65">
        <v>812</v>
      </c>
      <c r="I390" s="67">
        <v>4</v>
      </c>
      <c r="J390" s="11">
        <v>1</v>
      </c>
      <c r="K390" s="70" t="s">
        <v>1760</v>
      </c>
      <c r="L390" s="11">
        <v>0</v>
      </c>
      <c r="M390" s="11">
        <v>0</v>
      </c>
      <c r="N390" s="15">
        <v>0</v>
      </c>
      <c r="O390" s="11">
        <v>0</v>
      </c>
      <c r="P390" s="11">
        <v>0</v>
      </c>
      <c r="Q390" s="11" t="s">
        <v>29</v>
      </c>
      <c r="R390" s="11" t="s">
        <v>68</v>
      </c>
      <c r="S390" s="11"/>
      <c r="T390" s="11">
        <v>0</v>
      </c>
      <c r="U390" s="11">
        <v>0</v>
      </c>
      <c r="V390" s="11">
        <v>1</v>
      </c>
      <c r="W390" s="14"/>
      <c r="X390" s="14"/>
      <c r="Y390" s="14"/>
    </row>
    <row r="391" spans="1:25" ht="13.2">
      <c r="A391" s="69">
        <v>1</v>
      </c>
      <c r="B391" s="64" t="s">
        <v>1761</v>
      </c>
      <c r="C391" s="11">
        <v>391</v>
      </c>
      <c r="D391" s="65">
        <v>4</v>
      </c>
      <c r="E391" s="66">
        <v>43734</v>
      </c>
      <c r="F391" s="13" t="str">
        <f>HYPERLINK("https://www.liputan6.com/showbiz/read/4072188/perselingkuhan-hingga-pemerkosaan-ini-5-pengakuan-demi-moore-soal-masa-lalunya ","sumber")</f>
        <v>sumber</v>
      </c>
      <c r="G391" s="13" t="str">
        <f t="shared" si="48"/>
        <v>lokasi</v>
      </c>
      <c r="H391" s="65">
        <v>543</v>
      </c>
      <c r="I391" s="67">
        <v>2</v>
      </c>
      <c r="J391" s="11">
        <v>1</v>
      </c>
      <c r="K391" s="70" t="s">
        <v>1762</v>
      </c>
      <c r="L391" s="11">
        <v>0</v>
      </c>
      <c r="M391" s="11">
        <v>0</v>
      </c>
      <c r="N391" s="15">
        <v>0</v>
      </c>
      <c r="O391" s="11">
        <v>1</v>
      </c>
      <c r="P391" s="11">
        <v>0</v>
      </c>
      <c r="Q391" s="11">
        <v>2</v>
      </c>
      <c r="R391" s="11">
        <v>1</v>
      </c>
      <c r="S391" s="11"/>
      <c r="T391" s="11">
        <v>0</v>
      </c>
      <c r="U391" s="11">
        <v>0</v>
      </c>
      <c r="V391" s="11">
        <v>0</v>
      </c>
      <c r="W391" s="14"/>
      <c r="X391" s="14"/>
      <c r="Y391" s="14"/>
    </row>
    <row r="392" spans="1:25" ht="26.4">
      <c r="A392" s="69">
        <v>1</v>
      </c>
      <c r="B392" s="64" t="s">
        <v>1763</v>
      </c>
      <c r="C392" s="11">
        <v>392</v>
      </c>
      <c r="D392" s="65">
        <v>8</v>
      </c>
      <c r="E392" s="66">
        <v>43734</v>
      </c>
      <c r="F392" s="13" t="str">
        <f>HYPERLINK("https://microsite.suara.com/dpr/2019/09/26/110809/ketua-dpr-pastikan-ruu-p-ks-ditunda ","sumber")</f>
        <v>sumber</v>
      </c>
      <c r="G392" s="13" t="str">
        <f t="shared" si="48"/>
        <v>lokasi</v>
      </c>
      <c r="H392" s="65">
        <v>177</v>
      </c>
      <c r="I392" s="67">
        <v>4</v>
      </c>
      <c r="J392" s="11">
        <v>1</v>
      </c>
      <c r="K392" s="70" t="s">
        <v>1764</v>
      </c>
      <c r="L392" s="11">
        <v>0</v>
      </c>
      <c r="M392" s="11">
        <v>0</v>
      </c>
      <c r="N392" s="15">
        <v>0</v>
      </c>
      <c r="O392" s="11">
        <v>0</v>
      </c>
      <c r="P392" s="11">
        <v>0</v>
      </c>
      <c r="Q392" s="11">
        <v>0</v>
      </c>
      <c r="R392" s="11">
        <v>0</v>
      </c>
      <c r="S392" s="11"/>
      <c r="T392" s="11">
        <v>0</v>
      </c>
      <c r="U392" s="11">
        <v>0</v>
      </c>
      <c r="V392" s="11">
        <v>1</v>
      </c>
      <c r="W392" s="14"/>
      <c r="X392" s="14"/>
      <c r="Y392" s="14"/>
    </row>
    <row r="393" spans="1:25" ht="52.8">
      <c r="A393" s="69">
        <v>1</v>
      </c>
      <c r="B393" s="64" t="s">
        <v>1765</v>
      </c>
      <c r="C393" s="11">
        <v>393</v>
      </c>
      <c r="D393" s="65">
        <v>8</v>
      </c>
      <c r="E393" s="66">
        <v>43736</v>
      </c>
      <c r="F393" s="13" t="str">
        <f>HYPERLINK("https://jatim.suara.com/read/2019/09/28/185913/aksi-ibnu-colek-payudara-mahasiswi-mbak-boleh-minta-nomor-teleponnya ","sumber")</f>
        <v>sumber</v>
      </c>
      <c r="G393" s="13" t="str">
        <f t="shared" si="48"/>
        <v>lokasi</v>
      </c>
      <c r="H393" s="65">
        <v>257</v>
      </c>
      <c r="I393" s="67">
        <v>1</v>
      </c>
      <c r="J393" s="11">
        <v>1</v>
      </c>
      <c r="K393" s="70" t="s">
        <v>1766</v>
      </c>
      <c r="L393" s="11">
        <v>0</v>
      </c>
      <c r="M393" s="11">
        <v>-1</v>
      </c>
      <c r="N393" s="15">
        <v>0</v>
      </c>
      <c r="O393" s="11">
        <v>-1</v>
      </c>
      <c r="P393" s="11">
        <v>-1</v>
      </c>
      <c r="Q393" s="11" t="s">
        <v>29</v>
      </c>
      <c r="R393" s="11" t="s">
        <v>653</v>
      </c>
      <c r="S393" s="11" t="s">
        <v>1767</v>
      </c>
      <c r="T393" s="11">
        <v>1</v>
      </c>
      <c r="U393" s="11">
        <v>0</v>
      </c>
      <c r="V393" s="11">
        <v>1</v>
      </c>
      <c r="W393" s="14"/>
      <c r="X393" s="14"/>
      <c r="Y393" s="14"/>
    </row>
    <row r="394" spans="1:25" ht="13.2">
      <c r="A394" s="73">
        <v>2</v>
      </c>
      <c r="B394" s="74" t="s">
        <v>846</v>
      </c>
      <c r="C394" s="18">
        <v>394</v>
      </c>
      <c r="D394" s="75">
        <v>2</v>
      </c>
      <c r="E394" s="76">
        <v>43742</v>
      </c>
      <c r="F394" s="20" t="str">
        <f>HYPERLINK("https://www.cnnindonesia.com/internasional/20191004042454-120-436627/aksi-protes-di-irak-menewaskan-28-orang-ribuan-terluka ","sumber")</f>
        <v>sumber</v>
      </c>
      <c r="G394" s="99" t="s">
        <v>1</v>
      </c>
      <c r="H394" s="75">
        <v>337</v>
      </c>
      <c r="I394" s="91"/>
      <c r="J394" s="18">
        <v>4</v>
      </c>
      <c r="K394" s="92"/>
      <c r="L394" s="18"/>
      <c r="M394" s="18"/>
      <c r="N394" s="18"/>
      <c r="O394" s="18"/>
      <c r="P394" s="18"/>
      <c r="Q394" s="18"/>
      <c r="R394" s="18"/>
      <c r="S394" s="18"/>
      <c r="T394" s="18"/>
      <c r="U394" s="18"/>
      <c r="V394" s="18"/>
      <c r="W394" s="19"/>
      <c r="X394" s="19"/>
      <c r="Y394" s="19"/>
    </row>
    <row r="395" spans="1:25" ht="13.2">
      <c r="A395" s="73">
        <v>2</v>
      </c>
      <c r="B395" s="74" t="s">
        <v>1768</v>
      </c>
      <c r="C395" s="18">
        <v>395</v>
      </c>
      <c r="D395" s="75">
        <v>4</v>
      </c>
      <c r="E395" s="76">
        <v>43742</v>
      </c>
      <c r="F395" s="20" t="str">
        <f>HYPERLINK("https://www.liputan6.com/global/read/4078478/ribuan-pendemo-lanjut-protes-anti-pemerintah-irak-korban-tewas-30-orang-lebih ","sumber")</f>
        <v>sumber</v>
      </c>
      <c r="G395" s="99" t="s">
        <v>1</v>
      </c>
      <c r="H395" s="75">
        <v>679</v>
      </c>
      <c r="I395" s="91"/>
      <c r="J395" s="18">
        <v>4</v>
      </c>
      <c r="K395" s="92"/>
      <c r="L395" s="18"/>
      <c r="M395" s="18"/>
      <c r="N395" s="18"/>
      <c r="O395" s="18"/>
      <c r="P395" s="18"/>
      <c r="Q395" s="18"/>
      <c r="R395" s="18"/>
      <c r="S395" s="18"/>
      <c r="T395" s="18"/>
      <c r="U395" s="18"/>
      <c r="V395" s="18"/>
      <c r="W395" s="19"/>
      <c r="X395" s="19"/>
      <c r="Y395" s="19"/>
    </row>
    <row r="396" spans="1:25" ht="13.2">
      <c r="A396" s="73">
        <v>2</v>
      </c>
      <c r="B396" s="74" t="s">
        <v>1769</v>
      </c>
      <c r="C396" s="18">
        <v>396</v>
      </c>
      <c r="D396" s="75">
        <v>2</v>
      </c>
      <c r="E396" s="76">
        <v>43745</v>
      </c>
      <c r="F396" s="20" t="str">
        <f>HYPERLINK("https://www.cnnindonesia.com/internasional/20191007040523-120-437300/demonstrasi-di-irak-kembali-telan-8-korban-tewas ","sumber")</f>
        <v>sumber</v>
      </c>
      <c r="G396" s="99" t="s">
        <v>1</v>
      </c>
      <c r="H396" s="75">
        <v>235</v>
      </c>
      <c r="I396" s="91"/>
      <c r="J396" s="18">
        <v>4</v>
      </c>
      <c r="K396" s="92"/>
      <c r="L396" s="18"/>
      <c r="M396" s="18"/>
      <c r="N396" s="18"/>
      <c r="O396" s="18"/>
      <c r="P396" s="18"/>
      <c r="Q396" s="18"/>
      <c r="R396" s="18"/>
      <c r="S396" s="18"/>
      <c r="T396" s="18"/>
      <c r="U396" s="18"/>
      <c r="V396" s="18"/>
      <c r="W396" s="19"/>
      <c r="X396" s="19"/>
      <c r="Y396" s="19"/>
    </row>
    <row r="397" spans="1:25" ht="13.2">
      <c r="A397" s="73">
        <v>2</v>
      </c>
      <c r="B397" s="74" t="s">
        <v>1770</v>
      </c>
      <c r="C397" s="18">
        <v>397</v>
      </c>
      <c r="D397" s="75">
        <v>10</v>
      </c>
      <c r="E397" s="76">
        <v>43745</v>
      </c>
      <c r="F397" s="20" t="str">
        <f>HYPERLINK("https://dunia.tempo.co/read/1256619/warga-irak-tuntut-reformasi-ekonomi-untuk-atasi-kemiskinan ","sumber")</f>
        <v>sumber</v>
      </c>
      <c r="G397" s="99" t="s">
        <v>1</v>
      </c>
      <c r="H397" s="75">
        <v>383</v>
      </c>
      <c r="I397" s="91"/>
      <c r="J397" s="18">
        <v>4</v>
      </c>
      <c r="K397" s="92"/>
      <c r="L397" s="18"/>
      <c r="M397" s="18"/>
      <c r="N397" s="18"/>
      <c r="O397" s="18"/>
      <c r="P397" s="18"/>
      <c r="Q397" s="18"/>
      <c r="R397" s="18"/>
      <c r="S397" s="18"/>
      <c r="T397" s="18"/>
      <c r="U397" s="18"/>
      <c r="V397" s="18"/>
      <c r="W397" s="19"/>
      <c r="X397" s="19"/>
      <c r="Y397" s="19"/>
    </row>
    <row r="398" spans="1:25" ht="13.2">
      <c r="A398" s="73">
        <v>2</v>
      </c>
      <c r="B398" s="74" t="s">
        <v>1771</v>
      </c>
      <c r="C398" s="18">
        <v>398</v>
      </c>
      <c r="D398" s="75">
        <v>9</v>
      </c>
      <c r="E398" s="76">
        <v>43791</v>
      </c>
      <c r="F398" s="20" t="str">
        <f>HYPERLINK("https://internasional.republika.co.id/berita/q1dcn2/kritik-profesor-australia-indonesia-susah-terima-perbedaan ","sumber")</f>
        <v>sumber</v>
      </c>
      <c r="G398" s="99" t="s">
        <v>1</v>
      </c>
      <c r="H398" s="75">
        <v>719</v>
      </c>
      <c r="I398" s="91"/>
      <c r="J398" s="18">
        <v>4</v>
      </c>
      <c r="K398" s="92"/>
      <c r="L398" s="18"/>
      <c r="M398" s="18"/>
      <c r="N398" s="18"/>
      <c r="O398" s="18"/>
      <c r="P398" s="18"/>
      <c r="Q398" s="18"/>
      <c r="R398" s="18"/>
      <c r="S398" s="18"/>
      <c r="T398" s="18"/>
      <c r="U398" s="18"/>
      <c r="V398" s="18"/>
      <c r="W398" s="19"/>
      <c r="X398" s="19"/>
      <c r="Y398" s="19"/>
    </row>
    <row r="399" spans="1:25" ht="13.2">
      <c r="A399" s="69">
        <v>1</v>
      </c>
      <c r="B399" s="64" t="s">
        <v>1772</v>
      </c>
      <c r="C399" s="11">
        <v>399</v>
      </c>
      <c r="D399" s="65">
        <v>5</v>
      </c>
      <c r="E399" s="66">
        <v>43795</v>
      </c>
      <c r="F399" s="13" t="str">
        <f>HYPERLINK("https://tirto.id/benarkah-inggris-kini-lebih-bernuansa-islami-emiH","sumber")</f>
        <v>sumber</v>
      </c>
      <c r="G399" s="13" t="str">
        <f t="shared" ref="G399:G400" si="49">HYPERLINK("https://drive.google.com/open?id=15K5sriRJOw0JTPqD9yRZzl0fwZcfdV8X","lokasi")</f>
        <v>lokasi</v>
      </c>
      <c r="H399" s="65">
        <v>1332</v>
      </c>
      <c r="I399" s="67">
        <v>2</v>
      </c>
      <c r="J399" s="11">
        <v>4</v>
      </c>
      <c r="K399" s="70"/>
      <c r="L399" s="11">
        <v>0</v>
      </c>
      <c r="M399" s="11">
        <v>0</v>
      </c>
      <c r="N399" s="15">
        <v>0</v>
      </c>
      <c r="O399" s="11">
        <v>0</v>
      </c>
      <c r="P399" s="11">
        <v>0</v>
      </c>
      <c r="Q399" s="11"/>
      <c r="R399" s="11"/>
      <c r="S399" s="11"/>
      <c r="T399" s="11">
        <v>0</v>
      </c>
      <c r="U399" s="11">
        <v>0</v>
      </c>
      <c r="V399" s="11">
        <v>1</v>
      </c>
      <c r="W399" s="14"/>
      <c r="X399" s="14"/>
      <c r="Y399" s="14"/>
    </row>
    <row r="400" spans="1:25" ht="26.4">
      <c r="A400" s="69">
        <v>1</v>
      </c>
      <c r="B400" s="64" t="s">
        <v>1773</v>
      </c>
      <c r="C400" s="11">
        <v>400</v>
      </c>
      <c r="D400" s="65">
        <v>10</v>
      </c>
      <c r="E400" s="66">
        <v>43811</v>
      </c>
      <c r="F400" s="13" t="str">
        <f>HYPERLINK("https://nasional.tempo.co/read/1283044/mahfud-md-sebut-era-jokowi-tak-ada-pelanggaran-ham-kontras-menyesatkan ","sumber")</f>
        <v>sumber</v>
      </c>
      <c r="G400" s="13" t="str">
        <f t="shared" si="49"/>
        <v>lokasi</v>
      </c>
      <c r="H400" s="65">
        <v>295</v>
      </c>
      <c r="I400" s="67">
        <v>4</v>
      </c>
      <c r="J400" s="11">
        <v>4</v>
      </c>
      <c r="K400" s="70" t="s">
        <v>1774</v>
      </c>
      <c r="L400" s="11">
        <v>0</v>
      </c>
      <c r="M400" s="11">
        <v>0</v>
      </c>
      <c r="N400" s="15">
        <v>0</v>
      </c>
      <c r="O400" s="11">
        <v>0</v>
      </c>
      <c r="P400" s="11">
        <v>0</v>
      </c>
      <c r="Q400" s="11">
        <v>0</v>
      </c>
      <c r="R400" s="11">
        <v>1</v>
      </c>
      <c r="S400" s="11"/>
      <c r="T400" s="11">
        <v>0</v>
      </c>
      <c r="U400" s="11">
        <v>0</v>
      </c>
      <c r="V400" s="11">
        <v>1</v>
      </c>
      <c r="W400" s="14"/>
      <c r="X400" s="14"/>
      <c r="Y400" s="14"/>
    </row>
    <row r="401" spans="1:25" ht="13.2">
      <c r="A401" s="73">
        <v>2</v>
      </c>
      <c r="B401" s="74" t="s">
        <v>1775</v>
      </c>
      <c r="C401" s="18">
        <v>401</v>
      </c>
      <c r="D401" s="75">
        <v>6</v>
      </c>
      <c r="E401" s="76">
        <v>43813</v>
      </c>
      <c r="F401" s="20" t="str">
        <f>HYPERLINK("https://edukasi.kompas.com/read/2019/12/14/16560431/anak-pedagang-sayur-berhasil-kuliah-di-amerika-ini-kisahnya ","sumber")</f>
        <v>sumber</v>
      </c>
      <c r="G401" s="99" t="s">
        <v>1</v>
      </c>
      <c r="H401" s="75">
        <v>226</v>
      </c>
      <c r="I401" s="91"/>
      <c r="J401" s="18">
        <v>4</v>
      </c>
      <c r="K401" s="92"/>
      <c r="L401" s="18"/>
      <c r="M401" s="18"/>
      <c r="N401" s="18"/>
      <c r="O401" s="18"/>
      <c r="P401" s="18"/>
      <c r="Q401" s="18"/>
      <c r="R401" s="18"/>
      <c r="S401" s="18"/>
      <c r="T401" s="18"/>
      <c r="U401" s="18"/>
      <c r="V401" s="18"/>
      <c r="W401" s="19"/>
      <c r="X401" s="19"/>
      <c r="Y401" s="19"/>
    </row>
    <row r="402" spans="1:25" ht="13.2">
      <c r="A402" s="73">
        <v>2</v>
      </c>
      <c r="B402" s="74" t="s">
        <v>1776</v>
      </c>
      <c r="C402" s="18">
        <v>402</v>
      </c>
      <c r="D402" s="75">
        <v>9</v>
      </c>
      <c r="E402" s="76">
        <v>43816</v>
      </c>
      <c r="F402" s="20" t="str">
        <f>HYPERLINK("https://trendtek.republika.co.id/berita/q2n42n368/arkeolog-temukan-candi-bangsa-romawi-kuno-di-italia ","sumber")</f>
        <v>sumber</v>
      </c>
      <c r="G402" s="99" t="s">
        <v>1</v>
      </c>
      <c r="H402" s="75">
        <v>481</v>
      </c>
      <c r="I402" s="91"/>
      <c r="J402" s="18">
        <v>4</v>
      </c>
      <c r="K402" s="92"/>
      <c r="L402" s="18"/>
      <c r="M402" s="18"/>
      <c r="N402" s="18"/>
      <c r="O402" s="18"/>
      <c r="P402" s="18"/>
      <c r="Q402" s="18"/>
      <c r="R402" s="18"/>
      <c r="S402" s="18"/>
      <c r="T402" s="18"/>
      <c r="U402" s="18"/>
      <c r="V402" s="18"/>
      <c r="W402" s="19"/>
      <c r="X402" s="19"/>
      <c r="Y402" s="19"/>
    </row>
    <row r="403" spans="1:25" ht="39.6">
      <c r="A403" s="69">
        <v>1</v>
      </c>
      <c r="B403" s="64" t="s">
        <v>1777</v>
      </c>
      <c r="C403" s="11">
        <v>403</v>
      </c>
      <c r="D403" s="65">
        <v>8</v>
      </c>
      <c r="E403" s="66">
        <v>43819</v>
      </c>
      <c r="F403" s="13" t="str">
        <f>HYPERLINK("https://jogja.suara.com/read/2019/12/20/205457/usai-di-berbah-densus-88-anti-teror-geledah-rumah-terduga-di-mlati-sleman ","sumber")</f>
        <v>sumber</v>
      </c>
      <c r="G403" s="13" t="str">
        <f t="shared" ref="G403:G404" si="50">HYPERLINK("https://drive.google.com/open?id=15K5sriRJOw0JTPqD9yRZzl0fwZcfdV8X","lokasi")</f>
        <v>lokasi</v>
      </c>
      <c r="H403" s="65">
        <v>396</v>
      </c>
      <c r="I403" s="67">
        <v>1</v>
      </c>
      <c r="J403" s="11">
        <v>4</v>
      </c>
      <c r="K403" s="70" t="s">
        <v>1778</v>
      </c>
      <c r="L403" s="11">
        <v>0</v>
      </c>
      <c r="M403" s="11">
        <v>-1</v>
      </c>
      <c r="N403" s="15">
        <v>0</v>
      </c>
      <c r="O403" s="11">
        <v>0</v>
      </c>
      <c r="P403" s="11">
        <v>0</v>
      </c>
      <c r="Q403" s="11" t="s">
        <v>29</v>
      </c>
      <c r="R403" s="11" t="s">
        <v>29</v>
      </c>
      <c r="S403" s="11"/>
      <c r="T403" s="11">
        <v>0</v>
      </c>
      <c r="U403" s="11">
        <v>-1</v>
      </c>
      <c r="V403" s="11">
        <v>1</v>
      </c>
      <c r="W403" s="14"/>
      <c r="X403" s="14"/>
      <c r="Y403" s="14"/>
    </row>
    <row r="404" spans="1:25" ht="13.2">
      <c r="A404" s="69">
        <v>1</v>
      </c>
      <c r="B404" s="64" t="s">
        <v>1779</v>
      </c>
      <c r="C404" s="11">
        <v>404</v>
      </c>
      <c r="D404" s="65">
        <v>1</v>
      </c>
      <c r="E404" s="66">
        <v>43821</v>
      </c>
      <c r="F404" s="13" t="str">
        <f>HYPERLINK("https://hot.detik.com/celeb/d-4831732/haddad-alwi-maafkan-orang-yang-tuding-dirinya-pengikut-syiah ","sumber")</f>
        <v>sumber</v>
      </c>
      <c r="G404" s="13" t="str">
        <f t="shared" si="50"/>
        <v>lokasi</v>
      </c>
      <c r="H404" s="65">
        <v>200</v>
      </c>
      <c r="I404" s="67">
        <v>2</v>
      </c>
      <c r="J404" s="11">
        <v>4</v>
      </c>
      <c r="K404" s="70" t="s">
        <v>865</v>
      </c>
      <c r="L404" s="11">
        <v>0</v>
      </c>
      <c r="M404" s="11">
        <v>0</v>
      </c>
      <c r="N404" s="15">
        <v>0</v>
      </c>
      <c r="O404" s="11">
        <v>0</v>
      </c>
      <c r="P404" s="11">
        <v>0</v>
      </c>
      <c r="Q404" s="11">
        <v>0</v>
      </c>
      <c r="R404" s="11">
        <v>0</v>
      </c>
      <c r="S404" s="11"/>
      <c r="T404" s="11">
        <v>0</v>
      </c>
      <c r="U404" s="11">
        <v>0</v>
      </c>
      <c r="V404" s="11">
        <v>0</v>
      </c>
      <c r="W404" s="14"/>
      <c r="X404" s="14"/>
      <c r="Y404" s="14"/>
    </row>
    <row r="405" spans="1:25" ht="13.2">
      <c r="A405" s="73">
        <v>2</v>
      </c>
      <c r="B405" s="74" t="s">
        <v>1780</v>
      </c>
      <c r="C405" s="18">
        <v>405</v>
      </c>
      <c r="D405" s="75">
        <v>4</v>
      </c>
      <c r="E405" s="76">
        <v>43822</v>
      </c>
      <c r="F405" s="20" t="str">
        <f>HYPERLINK("https://www.liputan6.com/global/read/4140094/kaleidoskop-global-2019-7-teror-yang-gegerkan-dunia","sumber")</f>
        <v>sumber</v>
      </c>
      <c r="G405" s="99" t="s">
        <v>1</v>
      </c>
      <c r="H405" s="75">
        <v>1218</v>
      </c>
      <c r="I405" s="100"/>
      <c r="J405" s="18">
        <v>4</v>
      </c>
      <c r="K405" s="92"/>
      <c r="L405" s="18"/>
      <c r="M405" s="18"/>
      <c r="N405" s="18"/>
      <c r="O405" s="18"/>
      <c r="P405" s="18"/>
      <c r="Q405" s="18"/>
      <c r="R405" s="18"/>
      <c r="S405" s="18"/>
      <c r="T405" s="18"/>
      <c r="U405" s="18"/>
      <c r="V405" s="18"/>
      <c r="W405" s="19"/>
      <c r="X405" s="19"/>
      <c r="Y405" s="19"/>
    </row>
    <row r="406" spans="1:25" ht="13.2">
      <c r="A406" s="73">
        <v>2</v>
      </c>
      <c r="B406" s="74" t="s">
        <v>1781</v>
      </c>
      <c r="C406" s="18">
        <v>406</v>
      </c>
      <c r="D406" s="75">
        <v>10</v>
      </c>
      <c r="E406" s="76">
        <v>43829</v>
      </c>
      <c r="F406" s="20" t="str">
        <f>HYPERLINK("https://dunia.tempo.co/read/1289152/amerika-serang-milisi-iran-di-irak-suriah-pakai-rudal-presisi","sumber")</f>
        <v>sumber</v>
      </c>
      <c r="G406" s="99" t="s">
        <v>1</v>
      </c>
      <c r="H406" s="75">
        <v>278</v>
      </c>
      <c r="I406" s="100"/>
      <c r="J406" s="18">
        <v>4</v>
      </c>
      <c r="K406" s="92"/>
      <c r="L406" s="18"/>
      <c r="M406" s="18"/>
      <c r="N406" s="18"/>
      <c r="O406" s="18"/>
      <c r="P406" s="18"/>
      <c r="Q406" s="18"/>
      <c r="R406" s="18"/>
      <c r="S406" s="18"/>
      <c r="T406" s="18"/>
      <c r="U406" s="18"/>
      <c r="V406" s="18"/>
      <c r="W406" s="19"/>
      <c r="X406" s="19"/>
      <c r="Y406" s="19"/>
    </row>
    <row r="407" spans="1:25" ht="26.4">
      <c r="A407" s="69">
        <v>1</v>
      </c>
      <c r="B407" s="64" t="s">
        <v>1782</v>
      </c>
      <c r="C407" s="11">
        <v>407</v>
      </c>
      <c r="D407" s="65">
        <v>4</v>
      </c>
      <c r="E407" s="66">
        <v>43741</v>
      </c>
      <c r="F407" s="13" t="str">
        <f>HYPERLINK("https://www.liputan6.com/bisnis/read/4077437/rekrutmen-cpns-2019-dibuka-minggu-keempat-oktober","sumber")</f>
        <v>sumber</v>
      </c>
      <c r="G407" s="13" t="str">
        <f>HYPERLINK("https://drive.google.com/open?id=15K5sriRJOw0JTPqD9yRZzl0fwZcfdV8X","lokasi")</f>
        <v>lokasi</v>
      </c>
      <c r="H407" s="65">
        <v>570</v>
      </c>
      <c r="I407" s="67">
        <v>2</v>
      </c>
      <c r="J407" s="11">
        <v>2</v>
      </c>
      <c r="K407" s="70" t="s">
        <v>1783</v>
      </c>
      <c r="L407" s="11">
        <v>0</v>
      </c>
      <c r="M407" s="11">
        <v>0</v>
      </c>
      <c r="N407" s="15">
        <v>0</v>
      </c>
      <c r="O407" s="11">
        <v>0</v>
      </c>
      <c r="P407" s="11">
        <v>0</v>
      </c>
      <c r="Q407" s="11">
        <v>0</v>
      </c>
      <c r="R407" s="11">
        <v>1</v>
      </c>
      <c r="S407" s="11"/>
      <c r="T407" s="11">
        <v>0</v>
      </c>
      <c r="U407" s="11">
        <v>0</v>
      </c>
      <c r="V407" s="11">
        <v>1</v>
      </c>
      <c r="W407" s="14"/>
      <c r="X407" s="14"/>
      <c r="Y407" s="14"/>
    </row>
    <row r="408" spans="1:25" ht="13.2">
      <c r="A408" s="73">
        <v>2</v>
      </c>
      <c r="B408" s="74" t="s">
        <v>1784</v>
      </c>
      <c r="C408" s="18">
        <v>408</v>
      </c>
      <c r="D408" s="75">
        <v>2</v>
      </c>
      <c r="E408" s="76">
        <v>43742</v>
      </c>
      <c r="F408" s="20" t="str">
        <f>HYPERLINK("https://www.cnnindonesia.com/internasional/20191004154318-134-436807/pesawat-kargo-mendarat-darurat-di-ukraina-lima-orang-tewas","sumber")</f>
        <v>sumber</v>
      </c>
      <c r="G408" s="99" t="s">
        <v>1</v>
      </c>
      <c r="H408" s="75">
        <v>229</v>
      </c>
      <c r="I408" s="100"/>
      <c r="J408" s="18">
        <v>2</v>
      </c>
      <c r="K408" s="92"/>
      <c r="L408" s="18"/>
      <c r="M408" s="18"/>
      <c r="N408" s="18"/>
      <c r="O408" s="18"/>
      <c r="P408" s="18"/>
      <c r="Q408" s="18"/>
      <c r="R408" s="18"/>
      <c r="S408" s="18"/>
      <c r="T408" s="18"/>
      <c r="U408" s="18"/>
      <c r="V408" s="18"/>
      <c r="W408" s="19"/>
      <c r="X408" s="19"/>
      <c r="Y408" s="19"/>
    </row>
    <row r="409" spans="1:25" ht="13.2">
      <c r="A409" s="69">
        <v>1</v>
      </c>
      <c r="B409" s="64" t="s">
        <v>1785</v>
      </c>
      <c r="C409" s="11">
        <v>409</v>
      </c>
      <c r="D409" s="65">
        <v>10</v>
      </c>
      <c r="E409" s="66">
        <v>43742</v>
      </c>
      <c r="F409" s="13" t="str">
        <f>HYPERLINK("https://gaya.tempo.co/read/1255602/dampak-politik-merasa-gila-hingga-hilang-kesabaran","sumber")</f>
        <v>sumber</v>
      </c>
      <c r="G409" s="13" t="str">
        <f t="shared" ref="G409:G411" si="51">HYPERLINK("https://drive.google.com/open?id=15K5sriRJOw0JTPqD9yRZzl0fwZcfdV8X","lokasi")</f>
        <v>lokasi</v>
      </c>
      <c r="H409" s="65">
        <v>377</v>
      </c>
      <c r="I409" s="101">
        <v>2</v>
      </c>
      <c r="J409" s="11">
        <v>2</v>
      </c>
      <c r="K409" s="70" t="s">
        <v>1786</v>
      </c>
      <c r="L409" s="11">
        <v>0</v>
      </c>
      <c r="M409" s="11">
        <v>0</v>
      </c>
      <c r="N409" s="15">
        <v>0</v>
      </c>
      <c r="O409" s="11">
        <v>0</v>
      </c>
      <c r="P409" s="11">
        <v>0</v>
      </c>
      <c r="Q409" s="11">
        <v>0</v>
      </c>
      <c r="R409" s="11">
        <v>0</v>
      </c>
      <c r="S409" s="11"/>
      <c r="T409" s="11">
        <v>0</v>
      </c>
      <c r="U409" s="11">
        <v>0</v>
      </c>
      <c r="V409" s="11">
        <v>1</v>
      </c>
      <c r="W409" s="14"/>
      <c r="X409" s="14"/>
      <c r="Y409" s="14"/>
    </row>
    <row r="410" spans="1:25" ht="13.2">
      <c r="A410" s="69">
        <v>1</v>
      </c>
      <c r="B410" s="64" t="s">
        <v>1787</v>
      </c>
      <c r="C410" s="11">
        <v>410</v>
      </c>
      <c r="D410" s="65">
        <v>4</v>
      </c>
      <c r="E410" s="66">
        <v>43743</v>
      </c>
      <c r="F410" s="13" t="str">
        <f>HYPERLINK("https://www.liputan6.com/citizen6/read/4065336/aturan-mobil-listrik-akan-diberi-suara-palsu-jadi-sorotan-begini-saran-warganet","sumber")</f>
        <v>sumber</v>
      </c>
      <c r="G410" s="13" t="str">
        <f t="shared" si="51"/>
        <v>lokasi</v>
      </c>
      <c r="H410" s="65">
        <v>211</v>
      </c>
      <c r="I410" s="102">
        <v>4</v>
      </c>
      <c r="J410" s="11">
        <v>2</v>
      </c>
      <c r="K410" s="70" t="s">
        <v>1788</v>
      </c>
      <c r="L410" s="11">
        <v>0</v>
      </c>
      <c r="M410" s="11">
        <v>0</v>
      </c>
      <c r="N410" s="15">
        <v>0</v>
      </c>
      <c r="O410" s="11">
        <v>0</v>
      </c>
      <c r="P410" s="11">
        <v>0</v>
      </c>
      <c r="Q410" s="11">
        <v>0</v>
      </c>
      <c r="R410" s="11">
        <v>0</v>
      </c>
      <c r="S410" s="11" t="s">
        <v>1789</v>
      </c>
      <c r="T410" s="11">
        <v>1</v>
      </c>
      <c r="U410" s="11">
        <v>0</v>
      </c>
      <c r="V410" s="11">
        <v>1</v>
      </c>
      <c r="W410" s="14"/>
      <c r="X410" s="14"/>
      <c r="Y410" s="14"/>
    </row>
    <row r="411" spans="1:25" ht="39.6">
      <c r="A411" s="69">
        <v>1</v>
      </c>
      <c r="B411" s="64" t="s">
        <v>1790</v>
      </c>
      <c r="C411" s="11">
        <v>411</v>
      </c>
      <c r="D411" s="65">
        <v>8</v>
      </c>
      <c r="E411" s="66">
        <v>43743</v>
      </c>
      <c r="F411" s="13" t="str">
        <f>HYPERLINK("https://www.suara.com/lifestyle/2019/10/05/125315/pertama-kali-lihat-pantai-ekspresi-bahagia-kakek-93-tahun-jadi-viral","sumber")</f>
        <v>sumber</v>
      </c>
      <c r="G411" s="13" t="str">
        <f t="shared" si="51"/>
        <v>lokasi</v>
      </c>
      <c r="H411" s="65">
        <v>305</v>
      </c>
      <c r="I411" s="102">
        <v>2</v>
      </c>
      <c r="J411" s="11">
        <v>2</v>
      </c>
      <c r="K411" s="70" t="s">
        <v>1791</v>
      </c>
      <c r="L411" s="11">
        <v>0</v>
      </c>
      <c r="M411" s="11">
        <v>0</v>
      </c>
      <c r="N411" s="15">
        <v>0</v>
      </c>
      <c r="O411" s="11">
        <v>0</v>
      </c>
      <c r="P411" s="11">
        <v>0</v>
      </c>
      <c r="Q411" s="11" t="s">
        <v>1792</v>
      </c>
      <c r="R411" s="11" t="s">
        <v>21</v>
      </c>
      <c r="S411" s="11"/>
      <c r="T411" s="11">
        <v>0</v>
      </c>
      <c r="U411" s="11">
        <v>0</v>
      </c>
      <c r="V411" s="11">
        <v>0</v>
      </c>
      <c r="W411" s="14"/>
      <c r="X411" s="14"/>
      <c r="Y411" s="14"/>
    </row>
    <row r="412" spans="1:25" ht="13.2">
      <c r="A412" s="73">
        <v>2</v>
      </c>
      <c r="B412" s="74" t="s">
        <v>1793</v>
      </c>
      <c r="C412" s="18">
        <v>412</v>
      </c>
      <c r="D412" s="75">
        <v>2</v>
      </c>
      <c r="E412" s="76">
        <v>43744</v>
      </c>
      <c r="F412" s="20" t="str">
        <f>HYPERLINK("https://www.cnnindonesia.com/internasional/20191006084707-134-437143/kuasai-mal-di-paris-aktivis-iklim-ribut-dengan-polisi","sumber")</f>
        <v>sumber</v>
      </c>
      <c r="G412" s="99" t="s">
        <v>1</v>
      </c>
      <c r="H412" s="75">
        <v>380</v>
      </c>
      <c r="I412" s="103"/>
      <c r="J412" s="18">
        <v>2</v>
      </c>
      <c r="K412" s="92"/>
      <c r="L412" s="18"/>
      <c r="M412" s="18"/>
      <c r="N412" s="18"/>
      <c r="O412" s="18"/>
      <c r="P412" s="18"/>
      <c r="Q412" s="18"/>
      <c r="R412" s="18"/>
      <c r="S412" s="18"/>
      <c r="T412" s="18"/>
      <c r="U412" s="18"/>
      <c r="V412" s="18"/>
      <c r="W412" s="19"/>
      <c r="X412" s="19"/>
      <c r="Y412" s="19"/>
    </row>
    <row r="413" spans="1:25" ht="13.2">
      <c r="A413" s="73">
        <v>2</v>
      </c>
      <c r="B413" s="74" t="s">
        <v>1794</v>
      </c>
      <c r="C413" s="18">
        <v>413</v>
      </c>
      <c r="D413" s="75">
        <v>8</v>
      </c>
      <c r="E413" s="76">
        <v>43744</v>
      </c>
      <c r="F413" s="20" t="str">
        <f>HYPERLINK("https://www.suara.com/tekno/2019/10/06/212000/ini-9-fakta-perjalanan-dua-tahun-tik-tok-di-indonesia","sumber")</f>
        <v>sumber</v>
      </c>
      <c r="G413" s="99" t="s">
        <v>1</v>
      </c>
      <c r="H413" s="75">
        <v>616</v>
      </c>
      <c r="I413" s="103"/>
      <c r="J413" s="18">
        <v>2</v>
      </c>
      <c r="K413" s="92"/>
      <c r="L413" s="18"/>
      <c r="M413" s="18"/>
      <c r="N413" s="18"/>
      <c r="O413" s="18"/>
      <c r="P413" s="18"/>
      <c r="Q413" s="18"/>
      <c r="R413" s="18"/>
      <c r="S413" s="18"/>
      <c r="T413" s="18"/>
      <c r="U413" s="18"/>
      <c r="V413" s="18"/>
      <c r="W413" s="19"/>
      <c r="X413" s="19"/>
      <c r="Y413" s="19"/>
    </row>
    <row r="414" spans="1:25" ht="13.2">
      <c r="A414" s="73">
        <v>2</v>
      </c>
      <c r="B414" s="74" t="s">
        <v>1795</v>
      </c>
      <c r="C414" s="18">
        <v>414</v>
      </c>
      <c r="D414" s="75">
        <v>10</v>
      </c>
      <c r="E414" s="76">
        <v>43744</v>
      </c>
      <c r="F414" s="20" t="str">
        <f>HYPERLINK("https://nasional.tempo.co/read/1256427/survei-desak-jokowi-terbitkan-perpu-kpk-lsi-semoga-didengar","sumber")</f>
        <v>sumber</v>
      </c>
      <c r="G414" s="99" t="s">
        <v>1</v>
      </c>
      <c r="H414" s="75">
        <v>220</v>
      </c>
      <c r="I414" s="103"/>
      <c r="J414" s="18">
        <v>2</v>
      </c>
      <c r="K414" s="92"/>
      <c r="L414" s="18"/>
      <c r="M414" s="18"/>
      <c r="N414" s="18"/>
      <c r="O414" s="18"/>
      <c r="P414" s="18"/>
      <c r="Q414" s="18"/>
      <c r="R414" s="18"/>
      <c r="S414" s="18"/>
      <c r="T414" s="18"/>
      <c r="U414" s="18"/>
      <c r="V414" s="18"/>
      <c r="W414" s="19"/>
      <c r="X414" s="19"/>
      <c r="Y414" s="19"/>
    </row>
    <row r="415" spans="1:25" ht="26.4">
      <c r="A415" s="80">
        <v>1</v>
      </c>
      <c r="B415" s="81" t="s">
        <v>1796</v>
      </c>
      <c r="C415" s="82">
        <v>415</v>
      </c>
      <c r="D415" s="83">
        <v>7</v>
      </c>
      <c r="E415" s="84">
        <v>43744</v>
      </c>
      <c r="F415" s="85" t="str">
        <f>HYPERLINK("https://www.tribunnews.com/regional/2019/10/06/sederet-fakta-bocah-12-tahun-dikurung-di-bekas-kandang-ayam","sumber")</f>
        <v>sumber</v>
      </c>
      <c r="G415" s="85" t="str">
        <f>HYPERLINK("https://drive.google.com/open?id=15K5sriRJOw0JTPqD9yRZzl0fwZcfdV8X","lokasi")</f>
        <v>lokasi</v>
      </c>
      <c r="H415" s="83">
        <v>181</v>
      </c>
      <c r="I415" s="104">
        <v>1</v>
      </c>
      <c r="J415" s="82">
        <v>2</v>
      </c>
      <c r="K415" s="87" t="s">
        <v>1797</v>
      </c>
      <c r="L415" s="82">
        <v>0</v>
      </c>
      <c r="M415" s="28">
        <v>0</v>
      </c>
      <c r="N415" s="88">
        <v>0</v>
      </c>
      <c r="O415" s="82">
        <v>0</v>
      </c>
      <c r="P415" s="82">
        <v>0</v>
      </c>
      <c r="Q415" s="82" t="s">
        <v>87</v>
      </c>
      <c r="R415" s="82" t="s">
        <v>29</v>
      </c>
      <c r="S415" s="82"/>
      <c r="T415" s="82">
        <v>0</v>
      </c>
      <c r="U415" s="82">
        <v>0</v>
      </c>
      <c r="V415" s="82">
        <v>1</v>
      </c>
      <c r="W415" s="90"/>
      <c r="X415" s="90"/>
      <c r="Y415" s="90"/>
    </row>
    <row r="416" spans="1:25" ht="13.2">
      <c r="A416" s="73">
        <v>2</v>
      </c>
      <c r="B416" s="74" t="s">
        <v>1798</v>
      </c>
      <c r="C416" s="18">
        <v>416</v>
      </c>
      <c r="D416" s="75">
        <v>1</v>
      </c>
      <c r="E416" s="76">
        <v>43745</v>
      </c>
      <c r="F416" s="20" t="str">
        <f>HYPERLINK("https://hot.detik.com/movie/d-4736974/joker-terinspirasi-dari-film-ini","sumber")</f>
        <v>sumber</v>
      </c>
      <c r="G416" s="99" t="s">
        <v>1</v>
      </c>
      <c r="H416" s="75">
        <v>488</v>
      </c>
      <c r="I416" s="103"/>
      <c r="J416" s="18">
        <v>2</v>
      </c>
      <c r="K416" s="92"/>
      <c r="L416" s="18"/>
      <c r="M416" s="18"/>
      <c r="N416" s="18"/>
      <c r="O416" s="18"/>
      <c r="P416" s="18"/>
      <c r="Q416" s="18"/>
      <c r="R416" s="18"/>
      <c r="S416" s="18"/>
      <c r="T416" s="18"/>
      <c r="U416" s="18"/>
      <c r="V416" s="18"/>
      <c r="W416" s="19"/>
      <c r="X416" s="19"/>
      <c r="Y416" s="19"/>
    </row>
    <row r="417" spans="1:25" ht="39.6">
      <c r="A417" s="69">
        <v>1</v>
      </c>
      <c r="B417" s="64" t="s">
        <v>1799</v>
      </c>
      <c r="C417" s="11">
        <v>417</v>
      </c>
      <c r="D417" s="65">
        <v>8</v>
      </c>
      <c r="E417" s="66">
        <v>43745</v>
      </c>
      <c r="F417" s="13" t="str">
        <f>HYPERLINK("https://www.suara.com/health/2019/10/07/201000/dokter-jiwa-usul-percobaan-bunuh-diri-ditanggung-bpjs-ini-alasannya","sumber")</f>
        <v>sumber</v>
      </c>
      <c r="G417" s="13" t="str">
        <f t="shared" ref="G417:G423" si="52">HYPERLINK("https://drive.google.com/open?id=15K5sriRJOw0JTPqD9yRZzl0fwZcfdV8X","lokasi")</f>
        <v>lokasi</v>
      </c>
      <c r="H417" s="65">
        <v>312</v>
      </c>
      <c r="I417" s="102">
        <v>4</v>
      </c>
      <c r="J417" s="11">
        <v>2</v>
      </c>
      <c r="K417" s="70" t="s">
        <v>1800</v>
      </c>
      <c r="L417" s="11">
        <v>0</v>
      </c>
      <c r="M417" s="11">
        <v>0</v>
      </c>
      <c r="N417" s="15">
        <v>0</v>
      </c>
      <c r="O417" s="11">
        <v>0</v>
      </c>
      <c r="P417" s="11">
        <v>0</v>
      </c>
      <c r="Q417" s="11">
        <v>0</v>
      </c>
      <c r="R417" s="11">
        <v>0</v>
      </c>
      <c r="S417" s="11"/>
      <c r="T417" s="11">
        <v>0</v>
      </c>
      <c r="U417" s="11">
        <v>0</v>
      </c>
      <c r="V417" s="11">
        <v>1</v>
      </c>
      <c r="W417" s="14"/>
      <c r="X417" s="14"/>
      <c r="Y417" s="14"/>
    </row>
    <row r="418" spans="1:25" ht="13.2">
      <c r="A418" s="80">
        <v>1</v>
      </c>
      <c r="B418" s="81" t="s">
        <v>1801</v>
      </c>
      <c r="C418" s="82">
        <v>418</v>
      </c>
      <c r="D418" s="83">
        <v>10</v>
      </c>
      <c r="E418" s="84">
        <v>43787</v>
      </c>
      <c r="F418" s="85" t="str">
        <f>HYPERLINK("https://difabel.tempo.co/read/1273656/syarat-khusus-untuk-penyandang-disabilitas-saat-daftar-cpns-2019","sumber")</f>
        <v>sumber</v>
      </c>
      <c r="G418" s="85" t="str">
        <f t="shared" si="52"/>
        <v>lokasi</v>
      </c>
      <c r="H418" s="83">
        <v>245</v>
      </c>
      <c r="I418" s="104">
        <v>4</v>
      </c>
      <c r="J418" s="82">
        <v>2</v>
      </c>
      <c r="K418" s="87"/>
      <c r="L418" s="82">
        <v>0</v>
      </c>
      <c r="M418" s="82">
        <v>0</v>
      </c>
      <c r="N418" s="88">
        <v>0</v>
      </c>
      <c r="O418" s="82">
        <v>0</v>
      </c>
      <c r="P418" s="82">
        <v>0</v>
      </c>
      <c r="Q418" s="82"/>
      <c r="R418" s="82"/>
      <c r="S418" s="82"/>
      <c r="T418" s="82">
        <v>0</v>
      </c>
      <c r="U418" s="82">
        <v>0</v>
      </c>
      <c r="V418" s="82">
        <v>1</v>
      </c>
      <c r="W418" s="90"/>
      <c r="X418" s="90"/>
      <c r="Y418" s="90"/>
    </row>
    <row r="419" spans="1:25" ht="39.6">
      <c r="A419" s="80">
        <v>1</v>
      </c>
      <c r="B419" s="81" t="s">
        <v>1802</v>
      </c>
      <c r="C419" s="82">
        <v>419</v>
      </c>
      <c r="D419" s="83">
        <v>2</v>
      </c>
      <c r="E419" s="84">
        <v>43789</v>
      </c>
      <c r="F419" s="85" t="str">
        <f>HYPERLINK("https://www.cnnindonesia.com/gaya-hidup/20191120094447-255-449880/dokter-jiwa-pelaku-teror-sperma-bisa-jadi-ekshibisionis","sumber")</f>
        <v>sumber</v>
      </c>
      <c r="G419" s="85" t="str">
        <f t="shared" si="52"/>
        <v>lokasi</v>
      </c>
      <c r="H419" s="83">
        <v>501</v>
      </c>
      <c r="I419" s="104">
        <v>1</v>
      </c>
      <c r="J419" s="82">
        <v>2</v>
      </c>
      <c r="K419" s="87" t="s">
        <v>1803</v>
      </c>
      <c r="L419" s="82">
        <v>0</v>
      </c>
      <c r="M419" s="82">
        <v>1</v>
      </c>
      <c r="N419" s="88">
        <v>0</v>
      </c>
      <c r="O419" s="82">
        <v>0</v>
      </c>
      <c r="P419" s="82">
        <v>0</v>
      </c>
      <c r="Q419" s="82" t="s">
        <v>21</v>
      </c>
      <c r="R419" s="82" t="s">
        <v>21</v>
      </c>
      <c r="S419" s="82"/>
      <c r="T419" s="82">
        <v>0</v>
      </c>
      <c r="U419" s="82">
        <v>0</v>
      </c>
      <c r="V419" s="82">
        <v>1</v>
      </c>
      <c r="W419" s="90"/>
      <c r="X419" s="90"/>
      <c r="Y419" s="90"/>
    </row>
    <row r="420" spans="1:25" ht="18.75" customHeight="1">
      <c r="A420" s="80">
        <v>1</v>
      </c>
      <c r="B420" s="81" t="s">
        <v>1804</v>
      </c>
      <c r="C420" s="82">
        <v>420</v>
      </c>
      <c r="D420" s="83">
        <v>8</v>
      </c>
      <c r="E420" s="84">
        <v>43748</v>
      </c>
      <c r="F420" s="85" t="str">
        <f>HYPERLINK("https://www.suara.com/health/2019/10/10/071500/joker-pilih-berhenti-minum-obat-untuk-kondisi-mentalnya-apa-efeknya","sumber")</f>
        <v>sumber</v>
      </c>
      <c r="G420" s="85" t="str">
        <f t="shared" si="52"/>
        <v>lokasi</v>
      </c>
      <c r="H420" s="83">
        <v>248</v>
      </c>
      <c r="I420" s="104">
        <v>2</v>
      </c>
      <c r="J420" s="82">
        <v>2</v>
      </c>
      <c r="K420" s="87" t="s">
        <v>1805</v>
      </c>
      <c r="L420" s="82">
        <v>0</v>
      </c>
      <c r="M420" s="82">
        <v>0</v>
      </c>
      <c r="N420" s="88">
        <v>0</v>
      </c>
      <c r="O420" s="82">
        <v>0</v>
      </c>
      <c r="P420" s="82">
        <v>0</v>
      </c>
      <c r="Q420" s="82">
        <v>0</v>
      </c>
      <c r="R420" s="82">
        <v>0</v>
      </c>
      <c r="S420" s="82"/>
      <c r="T420" s="82">
        <v>0</v>
      </c>
      <c r="U420" s="82">
        <v>0</v>
      </c>
      <c r="V420" s="82">
        <v>1</v>
      </c>
      <c r="W420" s="90"/>
      <c r="X420" s="90"/>
      <c r="Y420" s="90"/>
    </row>
    <row r="421" spans="1:25" ht="13.2">
      <c r="A421" s="69">
        <v>1</v>
      </c>
      <c r="B421" s="64" t="s">
        <v>899</v>
      </c>
      <c r="C421" s="11">
        <v>421</v>
      </c>
      <c r="D421" s="65">
        <v>1</v>
      </c>
      <c r="E421" s="66">
        <v>43787</v>
      </c>
      <c r="F421" s="13" t="str">
        <f>HYPERLINK("https://news.detik.com/berita-jawa-tengah/d-4789150/cerita-warga-soal-temuan-mayat-remaja-terkubur-di-pekarangan-rumah","sumber")</f>
        <v>sumber</v>
      </c>
      <c r="G421" s="13" t="str">
        <f t="shared" si="52"/>
        <v>lokasi</v>
      </c>
      <c r="H421" s="65">
        <v>220</v>
      </c>
      <c r="I421" s="102">
        <v>1</v>
      </c>
      <c r="J421" s="11">
        <v>2</v>
      </c>
      <c r="K421" s="70" t="s">
        <v>1806</v>
      </c>
      <c r="L421" s="11">
        <v>0</v>
      </c>
      <c r="M421" s="11">
        <v>-1</v>
      </c>
      <c r="N421" s="15">
        <v>0</v>
      </c>
      <c r="O421" s="11">
        <v>0</v>
      </c>
      <c r="P421" s="11">
        <v>0</v>
      </c>
      <c r="Q421" s="11">
        <v>0</v>
      </c>
      <c r="R421" s="11">
        <v>-1</v>
      </c>
      <c r="S421" s="11"/>
      <c r="T421" s="11">
        <v>0</v>
      </c>
      <c r="U421" s="11">
        <v>0</v>
      </c>
      <c r="V421" s="11">
        <v>1</v>
      </c>
      <c r="W421" s="14"/>
      <c r="X421" s="14"/>
      <c r="Y421" s="14"/>
    </row>
    <row r="422" spans="1:25" ht="26.4">
      <c r="A422" s="80">
        <v>1</v>
      </c>
      <c r="B422" s="93" t="s">
        <v>1807</v>
      </c>
      <c r="C422" s="82">
        <v>422</v>
      </c>
      <c r="D422" s="83">
        <v>8</v>
      </c>
      <c r="E422" s="84">
        <v>43787</v>
      </c>
      <c r="F422" s="85" t="str">
        <f>HYPERLINK("https://www.suara.com/news/2019/11/18/145314/tukang-servis-ac-peneror-air-keras-incar-pelajar-dan-pedagang-sayur ","sumber")</f>
        <v>sumber</v>
      </c>
      <c r="G422" s="85" t="str">
        <f t="shared" si="52"/>
        <v>lokasi</v>
      </c>
      <c r="H422" s="83">
        <v>457</v>
      </c>
      <c r="I422" s="104">
        <v>1</v>
      </c>
      <c r="J422" s="82">
        <v>2</v>
      </c>
      <c r="K422" s="87" t="s">
        <v>1808</v>
      </c>
      <c r="L422" s="82">
        <v>0</v>
      </c>
      <c r="M422" s="28">
        <v>0</v>
      </c>
      <c r="N422" s="88">
        <v>0</v>
      </c>
      <c r="O422" s="82">
        <v>0</v>
      </c>
      <c r="P422" s="82">
        <v>0</v>
      </c>
      <c r="Q422" s="82">
        <v>0</v>
      </c>
      <c r="R422" s="82">
        <v>0</v>
      </c>
      <c r="S422" s="82"/>
      <c r="T422" s="82">
        <v>0</v>
      </c>
      <c r="U422" s="82">
        <v>0</v>
      </c>
      <c r="V422" s="82">
        <v>1</v>
      </c>
      <c r="W422" s="90"/>
      <c r="X422" s="90"/>
      <c r="Y422" s="90"/>
    </row>
    <row r="423" spans="1:25" ht="26.4">
      <c r="A423" s="69">
        <v>1</v>
      </c>
      <c r="B423" s="64" t="s">
        <v>1809</v>
      </c>
      <c r="C423" s="11">
        <v>423</v>
      </c>
      <c r="D423" s="65">
        <v>2</v>
      </c>
      <c r="E423" s="66">
        <v>43789</v>
      </c>
      <c r="F423" s="13" t="str">
        <f>HYPERLINK("https://www.cnnindonesia.com/gaya-hidup/20191120111006-255-449902/mengenal-ekshibisionisme-gangguan-jiwa-pamer-alat-kelamin","sumber")</f>
        <v>sumber</v>
      </c>
      <c r="G423" s="13" t="str">
        <f t="shared" si="52"/>
        <v>lokasi</v>
      </c>
      <c r="H423" s="65">
        <v>728</v>
      </c>
      <c r="I423" s="102">
        <v>2</v>
      </c>
      <c r="J423" s="11">
        <v>2</v>
      </c>
      <c r="K423" s="70" t="s">
        <v>1810</v>
      </c>
      <c r="L423" s="11">
        <v>0</v>
      </c>
      <c r="M423" s="11">
        <v>0</v>
      </c>
      <c r="N423" s="15">
        <v>0</v>
      </c>
      <c r="O423" s="11">
        <v>0</v>
      </c>
      <c r="P423" s="11">
        <v>0</v>
      </c>
      <c r="Q423" s="11">
        <v>0</v>
      </c>
      <c r="R423" s="11">
        <v>0</v>
      </c>
      <c r="S423" s="11"/>
      <c r="T423" s="11">
        <v>0</v>
      </c>
      <c r="U423" s="11">
        <v>0</v>
      </c>
      <c r="V423" s="11">
        <v>1</v>
      </c>
      <c r="W423" s="14"/>
      <c r="X423" s="14"/>
      <c r="Y423" s="14"/>
    </row>
    <row r="424" spans="1:25" ht="13.2">
      <c r="A424" s="73">
        <v>2</v>
      </c>
      <c r="B424" s="74" t="s">
        <v>1811</v>
      </c>
      <c r="C424" s="18">
        <v>424</v>
      </c>
      <c r="D424" s="75">
        <v>3</v>
      </c>
      <c r="E424" s="76">
        <v>43789</v>
      </c>
      <c r="F424" s="20" t="str">
        <f>HYPERLINK("https://nasional.okezone.com/read/2019/11/20/337/2132048/proses-pelimpahan-berkas-perkara-surya-anta-cs-disebut-cacat-prosedural","sumber")</f>
        <v>sumber</v>
      </c>
      <c r="G424" s="99" t="s">
        <v>1</v>
      </c>
      <c r="H424" s="75">
        <v>291</v>
      </c>
      <c r="I424" s="103"/>
      <c r="J424" s="18">
        <v>2</v>
      </c>
      <c r="K424" s="92"/>
      <c r="L424" s="18"/>
      <c r="M424" s="18"/>
      <c r="N424" s="18"/>
      <c r="O424" s="18"/>
      <c r="P424" s="18"/>
      <c r="Q424" s="18"/>
      <c r="R424" s="18"/>
      <c r="S424" s="18"/>
      <c r="T424" s="18"/>
      <c r="U424" s="18"/>
      <c r="V424" s="18"/>
      <c r="W424" s="19"/>
      <c r="X424" s="19"/>
      <c r="Y424" s="19"/>
    </row>
    <row r="425" spans="1:25" ht="13.2">
      <c r="A425" s="69">
        <v>1</v>
      </c>
      <c r="B425" s="64" t="s">
        <v>1812</v>
      </c>
      <c r="C425" s="11">
        <v>425</v>
      </c>
      <c r="D425" s="65">
        <v>2</v>
      </c>
      <c r="E425" s="66">
        <v>43791</v>
      </c>
      <c r="F425" s="13" t="str">
        <f>HYPERLINK("https://www.cnnindonesia.com/nasional/20191122123837-25-450579/pemprov-dki-berikan-pangan-murah-bagi-warga-melalui-jakgrosir","sumber")</f>
        <v>sumber</v>
      </c>
      <c r="G425" s="13" t="str">
        <f t="shared" ref="G425:G428" si="53">HYPERLINK("https://drive.google.com/open?id=15K5sriRJOw0JTPqD9yRZzl0fwZcfdV8X","lokasi")</f>
        <v>lokasi</v>
      </c>
      <c r="H425" s="65">
        <v>389</v>
      </c>
      <c r="I425" s="102">
        <v>4</v>
      </c>
      <c r="J425" s="11">
        <v>2</v>
      </c>
      <c r="K425" s="70" t="s">
        <v>1813</v>
      </c>
      <c r="L425" s="11">
        <v>0</v>
      </c>
      <c r="M425" s="11">
        <v>0</v>
      </c>
      <c r="N425" s="15">
        <v>0</v>
      </c>
      <c r="O425" s="11">
        <v>0</v>
      </c>
      <c r="P425" s="11">
        <v>0</v>
      </c>
      <c r="Q425" s="11">
        <v>0</v>
      </c>
      <c r="R425" s="11">
        <v>0</v>
      </c>
      <c r="S425" s="11"/>
      <c r="T425" s="11">
        <v>0</v>
      </c>
      <c r="U425" s="11">
        <v>0</v>
      </c>
      <c r="V425" s="11">
        <v>1</v>
      </c>
      <c r="W425" s="14"/>
      <c r="X425" s="14"/>
      <c r="Y425" s="14"/>
    </row>
    <row r="426" spans="1:25" ht="39.6">
      <c r="A426" s="80">
        <v>1</v>
      </c>
      <c r="B426" s="93" t="s">
        <v>1814</v>
      </c>
      <c r="C426" s="82">
        <v>426</v>
      </c>
      <c r="D426" s="83">
        <v>6</v>
      </c>
      <c r="E426" s="84">
        <v>43791</v>
      </c>
      <c r="F426" s="85" t="str">
        <f>HYPERLINK("https://edukasi.kompas.com/read/2019/11/22/09440131/angkie-yudistia-staf-khusus-jokowi-kisah-titik-bangkit-di-kampus-dan ","sumber")</f>
        <v>sumber</v>
      </c>
      <c r="G426" s="85" t="str">
        <f t="shared" si="53"/>
        <v>lokasi</v>
      </c>
      <c r="H426" s="83">
        <v>249</v>
      </c>
      <c r="I426" s="104">
        <v>2</v>
      </c>
      <c r="J426" s="82">
        <v>2</v>
      </c>
      <c r="K426" s="87" t="s">
        <v>1815</v>
      </c>
      <c r="L426" s="82">
        <v>0</v>
      </c>
      <c r="M426" s="82">
        <v>0</v>
      </c>
      <c r="N426" s="88">
        <v>0</v>
      </c>
      <c r="O426" s="82">
        <v>0</v>
      </c>
      <c r="P426" s="82">
        <v>0</v>
      </c>
      <c r="Q426" s="82">
        <v>2</v>
      </c>
      <c r="R426" s="82">
        <v>1</v>
      </c>
      <c r="S426" s="82"/>
      <c r="T426" s="82">
        <v>0</v>
      </c>
      <c r="U426" s="82">
        <v>0</v>
      </c>
      <c r="V426" s="82">
        <v>1</v>
      </c>
      <c r="W426" s="90"/>
      <c r="X426" s="90"/>
      <c r="Y426" s="90"/>
    </row>
    <row r="427" spans="1:25" ht="26.4">
      <c r="A427" s="69">
        <v>1</v>
      </c>
      <c r="B427" s="64" t="s">
        <v>1816</v>
      </c>
      <c r="C427" s="11">
        <v>427</v>
      </c>
      <c r="D427" s="65">
        <v>7</v>
      </c>
      <c r="E427" s="66">
        <v>43791</v>
      </c>
      <c r="F427" s="13" t="str">
        <f>HYPERLINK("https://www.tribunnews.com/nasional/2019/11/22/jadi-satu-satunya-staf-khusus-presiden-penyandang-disabilitas-angkie-yudistia-dapat-tugas-khusus","sumber")</f>
        <v>sumber</v>
      </c>
      <c r="G427" s="13" t="str">
        <f t="shared" si="53"/>
        <v>lokasi</v>
      </c>
      <c r="H427" s="65">
        <v>208</v>
      </c>
      <c r="I427" s="102">
        <v>2</v>
      </c>
      <c r="J427" s="11">
        <v>2</v>
      </c>
      <c r="K427" s="70" t="s">
        <v>1817</v>
      </c>
      <c r="L427" s="11">
        <v>0</v>
      </c>
      <c r="M427" s="11">
        <v>0</v>
      </c>
      <c r="N427" s="15">
        <v>0</v>
      </c>
      <c r="O427" s="11">
        <v>0</v>
      </c>
      <c r="P427" s="11">
        <v>0</v>
      </c>
      <c r="Q427" s="11">
        <v>0</v>
      </c>
      <c r="R427" s="11">
        <v>1</v>
      </c>
      <c r="S427" s="11"/>
      <c r="T427" s="11">
        <v>0</v>
      </c>
      <c r="U427" s="11">
        <v>0</v>
      </c>
      <c r="V427" s="11">
        <v>1</v>
      </c>
      <c r="W427" s="14"/>
      <c r="X427" s="14"/>
      <c r="Y427" s="14"/>
    </row>
    <row r="428" spans="1:25" ht="26.4">
      <c r="A428" s="69">
        <v>1</v>
      </c>
      <c r="B428" s="64" t="s">
        <v>1818</v>
      </c>
      <c r="C428" s="11">
        <v>428</v>
      </c>
      <c r="D428" s="65">
        <v>6</v>
      </c>
      <c r="E428" s="66">
        <v>43792</v>
      </c>
      <c r="F428" s="13" t="str">
        <f>HYPERLINK("https://regional.kompas.com/read/2019/11/23/14140031/-cinta-ditolak-siswa-smk-tusuk-guru-sejarah-polisi--diduga-gangguan-jiwa","sumber")</f>
        <v>sumber</v>
      </c>
      <c r="G428" s="13" t="str">
        <f t="shared" si="53"/>
        <v>lokasi</v>
      </c>
      <c r="H428" s="65">
        <v>176</v>
      </c>
      <c r="I428" s="102">
        <v>1</v>
      </c>
      <c r="J428" s="11">
        <v>2</v>
      </c>
      <c r="K428" s="70" t="s">
        <v>1819</v>
      </c>
      <c r="L428" s="11">
        <v>0</v>
      </c>
      <c r="M428" s="28">
        <v>0</v>
      </c>
      <c r="N428" s="15">
        <v>0</v>
      </c>
      <c r="O428" s="11">
        <v>-1</v>
      </c>
      <c r="P428" s="11">
        <v>0</v>
      </c>
      <c r="Q428" s="11">
        <v>0</v>
      </c>
      <c r="R428" s="11">
        <v>0</v>
      </c>
      <c r="S428" s="11"/>
      <c r="T428" s="11">
        <v>0</v>
      </c>
      <c r="U428" s="11">
        <v>0</v>
      </c>
      <c r="V428" s="11">
        <v>1</v>
      </c>
      <c r="W428" s="14"/>
      <c r="X428" s="14"/>
      <c r="Y428" s="14"/>
    </row>
    <row r="429" spans="1:25" ht="13.2">
      <c r="A429" s="73">
        <v>2</v>
      </c>
      <c r="B429" s="74" t="s">
        <v>922</v>
      </c>
      <c r="C429" s="18">
        <v>429</v>
      </c>
      <c r="D429" s="75">
        <v>9</v>
      </c>
      <c r="E429" s="76">
        <v>43792</v>
      </c>
      <c r="F429" s="20" t="str">
        <f>HYPERLINK("https://trendtek.republika.co.id/berita/q1dqjd456/pameran-teknologi-masa-depan-disrupto-2019-hadir-di-jakarta","sumber")</f>
        <v>sumber</v>
      </c>
      <c r="G429" s="99" t="s">
        <v>1</v>
      </c>
      <c r="H429" s="75">
        <v>717</v>
      </c>
      <c r="I429" s="103"/>
      <c r="J429" s="18">
        <v>2</v>
      </c>
      <c r="K429" s="92"/>
      <c r="L429" s="18"/>
      <c r="M429" s="18"/>
      <c r="N429" s="18"/>
      <c r="O429" s="18"/>
      <c r="P429" s="18"/>
      <c r="Q429" s="18"/>
      <c r="R429" s="18"/>
      <c r="S429" s="18"/>
      <c r="T429" s="18"/>
      <c r="U429" s="18"/>
      <c r="V429" s="18"/>
      <c r="W429" s="19"/>
      <c r="X429" s="19"/>
      <c r="Y429" s="19"/>
    </row>
    <row r="430" spans="1:25" ht="13.2">
      <c r="A430" s="73">
        <v>2</v>
      </c>
      <c r="B430" s="74" t="s">
        <v>1820</v>
      </c>
      <c r="C430" s="18">
        <v>430</v>
      </c>
      <c r="D430" s="75">
        <v>8</v>
      </c>
      <c r="E430" s="76">
        <v>43792</v>
      </c>
      <c r="F430" s="20" t="str">
        <f>HYPERLINK("https://www.suara.com/lifestyle/2019/11/23/071952/kate-middleton-pakai-baju-bekas-dan-4-berita-lainnya","sumber")</f>
        <v>sumber</v>
      </c>
      <c r="G430" s="99" t="s">
        <v>1</v>
      </c>
      <c r="H430" s="75">
        <v>408</v>
      </c>
      <c r="I430" s="103"/>
      <c r="J430" s="18">
        <v>2</v>
      </c>
      <c r="K430" s="92"/>
      <c r="L430" s="18"/>
      <c r="M430" s="18"/>
      <c r="N430" s="18"/>
      <c r="O430" s="18"/>
      <c r="P430" s="18"/>
      <c r="Q430" s="18"/>
      <c r="R430" s="18"/>
      <c r="S430" s="18"/>
      <c r="T430" s="18"/>
      <c r="U430" s="18"/>
      <c r="V430" s="18"/>
      <c r="W430" s="19"/>
      <c r="X430" s="19"/>
      <c r="Y430" s="19"/>
    </row>
    <row r="431" spans="1:25" ht="13.2">
      <c r="A431" s="73">
        <v>2</v>
      </c>
      <c r="B431" s="74" t="s">
        <v>1821</v>
      </c>
      <c r="C431" s="18">
        <v>431</v>
      </c>
      <c r="D431" s="75">
        <v>4</v>
      </c>
      <c r="E431" s="76">
        <v>43793</v>
      </c>
      <c r="F431" s="20" t="str">
        <f>HYPERLINK("https://www.liputan6.com/showbiz/read/4117687/nikita-mirzani-buka-baju-di-mal-billy-syahputra-orang-gila","sumber")</f>
        <v>sumber</v>
      </c>
      <c r="G431" s="99" t="s">
        <v>1</v>
      </c>
      <c r="H431" s="75">
        <v>282</v>
      </c>
      <c r="I431" s="103"/>
      <c r="J431" s="18">
        <v>2</v>
      </c>
      <c r="K431" s="92"/>
      <c r="L431" s="18"/>
      <c r="M431" s="18"/>
      <c r="N431" s="18"/>
      <c r="O431" s="18"/>
      <c r="P431" s="18"/>
      <c r="Q431" s="18"/>
      <c r="R431" s="18"/>
      <c r="S431" s="18"/>
      <c r="T431" s="18"/>
      <c r="U431" s="18"/>
      <c r="V431" s="18"/>
      <c r="W431" s="19"/>
      <c r="X431" s="19"/>
      <c r="Y431" s="19"/>
    </row>
    <row r="432" spans="1:25" ht="13.2">
      <c r="A432" s="69">
        <v>1</v>
      </c>
      <c r="B432" s="64" t="s">
        <v>1822</v>
      </c>
      <c r="C432" s="11">
        <v>432</v>
      </c>
      <c r="D432" s="65">
        <v>10</v>
      </c>
      <c r="E432" s="66">
        <v>43793</v>
      </c>
      <c r="F432" s="13" t="str">
        <f>HYPERLINK("https://seleb.tempo.co/read/1275924/angkie-yudistia-takut-salah-paham-saat-diminta-jadi-staf-khusus-jokowi","sumber")</f>
        <v>sumber</v>
      </c>
      <c r="G432" s="13" t="str">
        <f>HYPERLINK("https://drive.google.com/open?id=15K5sriRJOw0JTPqD9yRZzl0fwZcfdV8X","lokasi")</f>
        <v>lokasi</v>
      </c>
      <c r="H432" s="65">
        <v>527</v>
      </c>
      <c r="I432" s="102">
        <v>2</v>
      </c>
      <c r="J432" s="11">
        <v>2</v>
      </c>
      <c r="K432" s="70" t="s">
        <v>914</v>
      </c>
      <c r="L432" s="11">
        <v>0</v>
      </c>
      <c r="M432" s="11">
        <v>0</v>
      </c>
      <c r="N432" s="15">
        <v>0</v>
      </c>
      <c r="O432" s="11">
        <v>0</v>
      </c>
      <c r="P432" s="11">
        <v>0</v>
      </c>
      <c r="Q432" s="11">
        <v>2</v>
      </c>
      <c r="R432" s="11">
        <v>1</v>
      </c>
      <c r="S432" s="11"/>
      <c r="T432" s="11">
        <v>0</v>
      </c>
      <c r="U432" s="11">
        <v>0</v>
      </c>
      <c r="V432" s="11">
        <v>1</v>
      </c>
      <c r="W432" s="14"/>
      <c r="X432" s="14"/>
      <c r="Y432" s="14"/>
    </row>
    <row r="433" spans="1:25" ht="13.2">
      <c r="A433" s="73">
        <v>2</v>
      </c>
      <c r="B433" s="74" t="s">
        <v>1823</v>
      </c>
      <c r="C433" s="18">
        <v>433</v>
      </c>
      <c r="D433" s="75">
        <v>5</v>
      </c>
      <c r="E433" s="76">
        <v>43814</v>
      </c>
      <c r="F433" s="20" t="str">
        <f>HYPERLINK("https://tirto.id/kapal-perempuan-minta-nadiem-makariem-tangani-3-masalah-pendidikan-entj","sumber")</f>
        <v>sumber</v>
      </c>
      <c r="G433" s="99" t="s">
        <v>1</v>
      </c>
      <c r="H433" s="75">
        <v>461</v>
      </c>
      <c r="I433" s="103"/>
      <c r="J433" s="18">
        <v>2</v>
      </c>
      <c r="K433" s="92"/>
      <c r="L433" s="18"/>
      <c r="M433" s="18"/>
      <c r="N433" s="18"/>
      <c r="O433" s="18"/>
      <c r="P433" s="18"/>
      <c r="Q433" s="18"/>
      <c r="R433" s="18"/>
      <c r="S433" s="18"/>
      <c r="T433" s="18"/>
      <c r="U433" s="18"/>
      <c r="V433" s="18"/>
      <c r="W433" s="19"/>
      <c r="X433" s="19"/>
      <c r="Y433" s="19"/>
    </row>
    <row r="434" spans="1:25" ht="26.4">
      <c r="A434" s="69">
        <v>1</v>
      </c>
      <c r="B434" s="64" t="s">
        <v>1824</v>
      </c>
      <c r="C434" s="11">
        <v>434</v>
      </c>
      <c r="D434" s="65">
        <v>2</v>
      </c>
      <c r="E434" s="66">
        <v>43816</v>
      </c>
      <c r="F434" s="13" t="str">
        <f>HYPERLINK("https://www.cnnindonesia.com/internasional/20191216115208-106-457326/menteri-malaysia-perjuangkan-pendidikan-kelompok-difabel","sumber")</f>
        <v>sumber</v>
      </c>
      <c r="G434" s="13" t="str">
        <f t="shared" ref="G434:G437" si="54">HYPERLINK("https://drive.google.com/open?id=15K5sriRJOw0JTPqD9yRZzl0fwZcfdV8X","lokasi")</f>
        <v>lokasi</v>
      </c>
      <c r="H434" s="65">
        <v>270</v>
      </c>
      <c r="I434" s="102">
        <v>4</v>
      </c>
      <c r="J434" s="11">
        <v>2</v>
      </c>
      <c r="K434" s="70" t="s">
        <v>1825</v>
      </c>
      <c r="L434" s="11">
        <v>0</v>
      </c>
      <c r="M434" s="11">
        <v>0</v>
      </c>
      <c r="N434" s="15">
        <v>0</v>
      </c>
      <c r="O434" s="11">
        <v>0</v>
      </c>
      <c r="P434" s="11">
        <v>0</v>
      </c>
      <c r="Q434" s="11">
        <v>0</v>
      </c>
      <c r="R434" s="11">
        <v>1</v>
      </c>
      <c r="S434" s="11"/>
      <c r="T434" s="11">
        <v>0</v>
      </c>
      <c r="U434" s="11">
        <v>0</v>
      </c>
      <c r="V434" s="11">
        <v>1</v>
      </c>
      <c r="W434" s="14"/>
      <c r="X434" s="14"/>
      <c r="Y434" s="14"/>
    </row>
    <row r="435" spans="1:25" ht="39.6">
      <c r="A435" s="80">
        <v>1</v>
      </c>
      <c r="B435" s="81" t="s">
        <v>1826</v>
      </c>
      <c r="C435" s="82">
        <v>435</v>
      </c>
      <c r="D435" s="83">
        <v>1</v>
      </c>
      <c r="E435" s="84">
        <v>43811</v>
      </c>
      <c r="F435" s="85" t="str">
        <f>HYPERLINK("https://health.detik.com/berita-detikhealth/d-4820194/soal-ig-live-bunuh-diri-aida-saskia-kenapa-manajer-bilang-cuma-prank","sumber")</f>
        <v>sumber</v>
      </c>
      <c r="G435" s="85" t="str">
        <f t="shared" si="54"/>
        <v>lokasi</v>
      </c>
      <c r="H435" s="83">
        <v>527</v>
      </c>
      <c r="I435" s="104">
        <v>1</v>
      </c>
      <c r="J435" s="82">
        <v>2</v>
      </c>
      <c r="K435" s="87" t="s">
        <v>1827</v>
      </c>
      <c r="L435" s="82">
        <v>0</v>
      </c>
      <c r="M435" s="82">
        <v>1</v>
      </c>
      <c r="N435" s="88">
        <v>0</v>
      </c>
      <c r="O435" s="82">
        <v>0</v>
      </c>
      <c r="P435" s="82">
        <v>0</v>
      </c>
      <c r="Q435" s="82" t="s">
        <v>29</v>
      </c>
      <c r="R435" s="82" t="s">
        <v>182</v>
      </c>
      <c r="S435" s="82"/>
      <c r="T435" s="82">
        <v>0</v>
      </c>
      <c r="U435" s="82">
        <v>0</v>
      </c>
      <c r="V435" s="82">
        <v>0</v>
      </c>
      <c r="W435" s="90"/>
      <c r="X435" s="90"/>
      <c r="Y435" s="90"/>
    </row>
    <row r="436" spans="1:25" ht="105.6">
      <c r="A436" s="80">
        <v>1</v>
      </c>
      <c r="B436" s="81" t="s">
        <v>1828</v>
      </c>
      <c r="C436" s="82">
        <v>436</v>
      </c>
      <c r="D436" s="83">
        <v>4</v>
      </c>
      <c r="E436" s="84">
        <v>43811</v>
      </c>
      <c r="F436" s="85" t="str">
        <f>HYPERLINK("https://www.liputan6.com/lifestyle/read/4131931/mendobrak-stereotip-penyandang-disabilitas-bagian-1","sumber")</f>
        <v>sumber</v>
      </c>
      <c r="G436" s="85" t="str">
        <f t="shared" si="54"/>
        <v>lokasi</v>
      </c>
      <c r="H436" s="83">
        <v>611</v>
      </c>
      <c r="I436" s="104">
        <v>3</v>
      </c>
      <c r="J436" s="82">
        <v>2</v>
      </c>
      <c r="K436" s="87" t="s">
        <v>1829</v>
      </c>
      <c r="L436" s="82">
        <v>0</v>
      </c>
      <c r="M436" s="82">
        <v>0</v>
      </c>
      <c r="N436" s="88">
        <v>0</v>
      </c>
      <c r="O436" s="82">
        <v>0</v>
      </c>
      <c r="P436" s="82">
        <v>0</v>
      </c>
      <c r="Q436" s="82" t="s">
        <v>1830</v>
      </c>
      <c r="R436" s="82" t="s">
        <v>1026</v>
      </c>
      <c r="S436" s="82"/>
      <c r="T436" s="82">
        <v>0</v>
      </c>
      <c r="U436" s="82">
        <v>0</v>
      </c>
      <c r="V436" s="82">
        <v>1</v>
      </c>
      <c r="W436" s="90"/>
      <c r="X436" s="90"/>
      <c r="Y436" s="90"/>
    </row>
    <row r="437" spans="1:25" ht="132">
      <c r="A437" s="69">
        <v>1</v>
      </c>
      <c r="B437" s="64" t="s">
        <v>1831</v>
      </c>
      <c r="C437" s="11">
        <v>437</v>
      </c>
      <c r="D437" s="65">
        <v>7</v>
      </c>
      <c r="E437" s="66">
        <v>43819</v>
      </c>
      <c r="F437" s="13" t="str">
        <f>HYPERLINK("https://www.tribunnews.com/kesehatan/2019/12/20/katarak-dapat-menurunkan-produktivitas-penderita-mau-bikin-ini-itu-susah","sumber")</f>
        <v>sumber</v>
      </c>
      <c r="G437" s="13" t="str">
        <f t="shared" si="54"/>
        <v>lokasi</v>
      </c>
      <c r="H437" s="65">
        <v>689</v>
      </c>
      <c r="I437" s="102">
        <v>2</v>
      </c>
      <c r="J437" s="11">
        <v>2</v>
      </c>
      <c r="K437" s="70" t="s">
        <v>1832</v>
      </c>
      <c r="L437" s="11">
        <v>0</v>
      </c>
      <c r="M437" s="11">
        <v>0</v>
      </c>
      <c r="N437" s="15">
        <v>0</v>
      </c>
      <c r="O437" s="11">
        <v>0</v>
      </c>
      <c r="P437" s="11">
        <v>0</v>
      </c>
      <c r="Q437" s="11" t="s">
        <v>245</v>
      </c>
      <c r="R437" s="11" t="s">
        <v>1833</v>
      </c>
      <c r="S437" s="11"/>
      <c r="T437" s="11">
        <v>0</v>
      </c>
      <c r="U437" s="11">
        <v>0</v>
      </c>
      <c r="V437" s="11">
        <v>1</v>
      </c>
      <c r="W437" s="14"/>
      <c r="X437" s="14"/>
      <c r="Y437" s="14"/>
    </row>
    <row r="438" spans="1:25" ht="13.2">
      <c r="A438" s="73">
        <v>2</v>
      </c>
      <c r="B438" s="74" t="s">
        <v>1834</v>
      </c>
      <c r="C438" s="18">
        <v>438</v>
      </c>
      <c r="D438" s="75">
        <v>5</v>
      </c>
      <c r="E438" s="76">
        <v>43820</v>
      </c>
      <c r="F438" s="20" t="str">
        <f>HYPERLINK("https://tirto.id/sinopsis-kasam-21-desember-putusan-sidang-hak-asuh-natasya-ditunda-eoij","sumber")</f>
        <v>sumber</v>
      </c>
      <c r="G438" s="99" t="s">
        <v>1</v>
      </c>
      <c r="H438" s="75">
        <v>669</v>
      </c>
      <c r="I438" s="103"/>
      <c r="J438" s="18">
        <v>2</v>
      </c>
      <c r="K438" s="92"/>
      <c r="L438" s="18"/>
      <c r="M438" s="18"/>
      <c r="N438" s="18"/>
      <c r="O438" s="18"/>
      <c r="P438" s="18"/>
      <c r="Q438" s="18"/>
      <c r="R438" s="18"/>
      <c r="S438" s="18"/>
      <c r="T438" s="18"/>
      <c r="U438" s="18"/>
      <c r="V438" s="18"/>
      <c r="W438" s="19"/>
      <c r="X438" s="19"/>
      <c r="Y438" s="19"/>
    </row>
    <row r="439" spans="1:25" ht="26.4">
      <c r="A439" s="80">
        <v>1</v>
      </c>
      <c r="B439" s="81" t="s">
        <v>1835</v>
      </c>
      <c r="C439" s="82">
        <v>439</v>
      </c>
      <c r="D439" s="83">
        <v>3</v>
      </c>
      <c r="E439" s="84">
        <v>43821</v>
      </c>
      <c r="F439" s="85" t="str">
        <f>HYPERLINK("https://news.okezone.com/read/2019/12/22/65/2144837/tak-membeda-bedakan-untar-terbuka-untuk-mahasiswa-berkebutuhan-khusus","sumber")</f>
        <v>sumber</v>
      </c>
      <c r="G439" s="85" t="str">
        <f t="shared" ref="G439:G443" si="55">HYPERLINK("https://drive.google.com/open?id=15K5sriRJOw0JTPqD9yRZzl0fwZcfdV8X","lokasi")</f>
        <v>lokasi</v>
      </c>
      <c r="H439" s="83">
        <v>244</v>
      </c>
      <c r="I439" s="104">
        <v>2</v>
      </c>
      <c r="J439" s="82">
        <v>2</v>
      </c>
      <c r="K439" s="87" t="s">
        <v>1836</v>
      </c>
      <c r="L439" s="82">
        <v>0</v>
      </c>
      <c r="M439" s="82">
        <v>0</v>
      </c>
      <c r="N439" s="88">
        <v>0</v>
      </c>
      <c r="O439" s="82">
        <v>0</v>
      </c>
      <c r="P439" s="82">
        <v>0</v>
      </c>
      <c r="Q439" s="82">
        <v>0</v>
      </c>
      <c r="R439" s="82">
        <v>1</v>
      </c>
      <c r="S439" s="82"/>
      <c r="T439" s="82">
        <v>0</v>
      </c>
      <c r="U439" s="82">
        <v>0</v>
      </c>
      <c r="V439" s="82">
        <v>1</v>
      </c>
      <c r="W439" s="90"/>
      <c r="X439" s="90"/>
      <c r="Y439" s="90"/>
    </row>
    <row r="440" spans="1:25" ht="26.4">
      <c r="A440" s="69">
        <v>1</v>
      </c>
      <c r="B440" s="64" t="s">
        <v>1837</v>
      </c>
      <c r="C440" s="11">
        <v>440</v>
      </c>
      <c r="D440" s="65">
        <v>8</v>
      </c>
      <c r="E440" s="66">
        <v>43824</v>
      </c>
      <c r="F440" s="13" t="str">
        <f>HYPERLINK("https://www.suara.com/news/2019/12/25/103427/cerita-toleransi-muslim-gaza-bantu-bahagiakan-warga-kristen-saat-natal","sumber")</f>
        <v>sumber</v>
      </c>
      <c r="G440" s="13" t="str">
        <f t="shared" si="55"/>
        <v>lokasi</v>
      </c>
      <c r="H440" s="65">
        <v>343</v>
      </c>
      <c r="I440" s="102">
        <v>3</v>
      </c>
      <c r="J440" s="11">
        <v>2</v>
      </c>
      <c r="K440" s="70" t="s">
        <v>1838</v>
      </c>
      <c r="L440" s="11">
        <v>0</v>
      </c>
      <c r="M440" s="11">
        <v>0</v>
      </c>
      <c r="N440" s="15">
        <v>0</v>
      </c>
      <c r="O440" s="11">
        <v>0</v>
      </c>
      <c r="P440" s="11">
        <v>0</v>
      </c>
      <c r="Q440" s="11">
        <v>1</v>
      </c>
      <c r="R440" s="11">
        <v>1</v>
      </c>
      <c r="S440" s="11"/>
      <c r="T440" s="11">
        <v>0</v>
      </c>
      <c r="U440" s="11">
        <v>0</v>
      </c>
      <c r="V440" s="11">
        <v>1</v>
      </c>
      <c r="W440" s="14"/>
      <c r="X440" s="14"/>
      <c r="Y440" s="14"/>
    </row>
    <row r="441" spans="1:25" ht="92.4">
      <c r="A441" s="80">
        <v>1</v>
      </c>
      <c r="B441" s="81" t="s">
        <v>1839</v>
      </c>
      <c r="C441" s="82">
        <v>441</v>
      </c>
      <c r="D441" s="83">
        <v>4</v>
      </c>
      <c r="E441" s="84">
        <v>43819</v>
      </c>
      <c r="F441" s="85" t="str">
        <f>HYPERLINK("https://www.liputan6.com/bisnis/read/4138828/kemenhub-berikan-17-tiket-mudik-gratis-untuk-disabilitas-gunakan-pesawat","sumber")</f>
        <v>sumber</v>
      </c>
      <c r="G441" s="85" t="str">
        <f t="shared" si="55"/>
        <v>lokasi</v>
      </c>
      <c r="H441" s="83">
        <v>415</v>
      </c>
      <c r="I441" s="104">
        <v>3</v>
      </c>
      <c r="J441" s="82">
        <v>2</v>
      </c>
      <c r="K441" s="87" t="s">
        <v>1840</v>
      </c>
      <c r="L441" s="82">
        <v>0</v>
      </c>
      <c r="M441" s="82">
        <v>0</v>
      </c>
      <c r="N441" s="88">
        <v>0</v>
      </c>
      <c r="O441" s="82">
        <v>0</v>
      </c>
      <c r="P441" s="82">
        <v>0</v>
      </c>
      <c r="Q441" s="82" t="s">
        <v>29</v>
      </c>
      <c r="R441" s="82" t="s">
        <v>68</v>
      </c>
      <c r="S441" s="82"/>
      <c r="T441" s="82">
        <v>0</v>
      </c>
      <c r="U441" s="82">
        <v>0</v>
      </c>
      <c r="V441" s="82">
        <v>1</v>
      </c>
      <c r="W441" s="90"/>
      <c r="X441" s="90"/>
      <c r="Y441" s="90"/>
    </row>
    <row r="442" spans="1:25" ht="39.6">
      <c r="A442" s="80">
        <v>1</v>
      </c>
      <c r="B442" s="81" t="s">
        <v>1841</v>
      </c>
      <c r="C442" s="82">
        <v>442</v>
      </c>
      <c r="D442" s="83">
        <v>6</v>
      </c>
      <c r="E442" s="84">
        <v>43814</v>
      </c>
      <c r="F442" s="85" t="str">
        <f>HYPERLINK("https://regional.kompas.com/read/2019/12/15/14121481/kisah-tunanetra-merawat-anak-dan-istri-gangguan-jiwa-berharap-belas-kasihan","sumber")</f>
        <v>sumber</v>
      </c>
      <c r="G442" s="85" t="str">
        <f t="shared" si="55"/>
        <v>lokasi</v>
      </c>
      <c r="H442" s="83">
        <v>180</v>
      </c>
      <c r="I442" s="104">
        <v>2</v>
      </c>
      <c r="J442" s="82">
        <v>2</v>
      </c>
      <c r="K442" s="87" t="s">
        <v>1842</v>
      </c>
      <c r="L442" s="82">
        <v>0</v>
      </c>
      <c r="M442" s="82">
        <v>0</v>
      </c>
      <c r="N442" s="88">
        <v>0</v>
      </c>
      <c r="O442" s="82">
        <v>0</v>
      </c>
      <c r="P442" s="82">
        <v>0</v>
      </c>
      <c r="Q442" s="82" t="s">
        <v>178</v>
      </c>
      <c r="R442" s="82" t="s">
        <v>182</v>
      </c>
      <c r="S442" s="82"/>
      <c r="T442" s="82">
        <v>0</v>
      </c>
      <c r="U442" s="82">
        <v>0</v>
      </c>
      <c r="V442" s="82">
        <v>1</v>
      </c>
      <c r="W442" s="90"/>
      <c r="X442" s="90"/>
      <c r="Y442" s="90"/>
    </row>
    <row r="443" spans="1:25" ht="52.8">
      <c r="A443" s="80">
        <v>1</v>
      </c>
      <c r="B443" s="93" t="s">
        <v>1843</v>
      </c>
      <c r="C443" s="82">
        <v>443</v>
      </c>
      <c r="D443" s="83">
        <v>9</v>
      </c>
      <c r="E443" s="84">
        <v>43821</v>
      </c>
      <c r="F443" s="85" t="str">
        <f>HYPERLINK("https://republika.co.id/berita/q2w2up8218000/tersangka-perusak-alquran-di-tasikmalaya-idap-gangguan-jiwa ","sumber")</f>
        <v>sumber</v>
      </c>
      <c r="G443" s="85" t="str">
        <f t="shared" si="55"/>
        <v>lokasi</v>
      </c>
      <c r="H443" s="83">
        <v>24</v>
      </c>
      <c r="I443" s="104">
        <v>1</v>
      </c>
      <c r="J443" s="82">
        <v>2</v>
      </c>
      <c r="K443" s="87" t="s">
        <v>1844</v>
      </c>
      <c r="L443" s="82">
        <v>0</v>
      </c>
      <c r="M443" s="82">
        <v>-1</v>
      </c>
      <c r="N443" s="88">
        <v>0</v>
      </c>
      <c r="O443" s="82">
        <v>0</v>
      </c>
      <c r="P443" s="82">
        <v>0</v>
      </c>
      <c r="Q443" s="82" t="s">
        <v>29</v>
      </c>
      <c r="R443" s="82" t="s">
        <v>29</v>
      </c>
      <c r="S443" s="82"/>
      <c r="T443" s="82">
        <v>0</v>
      </c>
      <c r="U443" s="82">
        <v>0</v>
      </c>
      <c r="V443" s="82">
        <v>0</v>
      </c>
      <c r="W443" s="90"/>
      <c r="X443" s="90"/>
      <c r="Y443" s="90"/>
    </row>
    <row r="444" spans="1:25" ht="13.2">
      <c r="A444" s="73">
        <v>2</v>
      </c>
      <c r="B444" s="74" t="s">
        <v>1845</v>
      </c>
      <c r="C444" s="18">
        <v>444</v>
      </c>
      <c r="D444" s="75">
        <v>2</v>
      </c>
      <c r="E444" s="76">
        <v>43829</v>
      </c>
      <c r="F444" s="20" t="str">
        <f>HYPERLINK("https://www.cnnindonesia.com/olahraga/20191230073234-178-460879/liverpool-dibantu-var-hingga-khabib-puji-ronaldo","sumber")</f>
        <v>sumber</v>
      </c>
      <c r="G444" s="99" t="s">
        <v>1</v>
      </c>
      <c r="H444" s="75">
        <v>310</v>
      </c>
      <c r="I444" s="103"/>
      <c r="J444" s="18">
        <v>2</v>
      </c>
      <c r="K444" s="92"/>
      <c r="L444" s="18"/>
      <c r="M444" s="18"/>
      <c r="N444" s="18"/>
      <c r="O444" s="18"/>
      <c r="P444" s="18"/>
      <c r="Q444" s="18"/>
      <c r="R444" s="18"/>
      <c r="S444" s="18"/>
      <c r="T444" s="18"/>
      <c r="U444" s="18"/>
      <c r="V444" s="18"/>
      <c r="W444" s="19"/>
      <c r="X444" s="19"/>
      <c r="Y444" s="19"/>
    </row>
    <row r="445" spans="1:25" ht="105.6">
      <c r="A445" s="69">
        <v>1</v>
      </c>
      <c r="B445" s="64" t="s">
        <v>1846</v>
      </c>
      <c r="C445" s="11">
        <v>445</v>
      </c>
      <c r="D445" s="65">
        <v>9</v>
      </c>
      <c r="E445" s="66">
        <v>43829</v>
      </c>
      <c r="F445" s="13" t="str">
        <f>HYPERLINK("https://republika.co.id/berita/q3aaie370/lrt-wajah-baru-transportasi-di-jakarta","sumber")</f>
        <v>sumber</v>
      </c>
      <c r="G445" s="13" t="str">
        <f t="shared" ref="G445:G450" si="56">HYPERLINK("https://drive.google.com/open?id=15K5sriRJOw0JTPqD9yRZzl0fwZcfdV8X","lokasi")</f>
        <v>lokasi</v>
      </c>
      <c r="H445" s="65">
        <v>717</v>
      </c>
      <c r="I445" s="102">
        <v>2</v>
      </c>
      <c r="J445" s="11">
        <v>3</v>
      </c>
      <c r="K445" s="70" t="s">
        <v>1847</v>
      </c>
      <c r="L445" s="11">
        <v>0</v>
      </c>
      <c r="M445" s="11">
        <v>0</v>
      </c>
      <c r="N445" s="15">
        <v>0</v>
      </c>
      <c r="O445" s="11">
        <v>0</v>
      </c>
      <c r="P445" s="11">
        <v>0</v>
      </c>
      <c r="Q445" s="11" t="s">
        <v>57</v>
      </c>
      <c r="R445" s="11" t="s">
        <v>57</v>
      </c>
      <c r="S445" s="11"/>
      <c r="T445" s="11">
        <v>0</v>
      </c>
      <c r="U445" s="11">
        <v>0</v>
      </c>
      <c r="V445" s="11">
        <v>1</v>
      </c>
      <c r="W445" s="14"/>
      <c r="X445" s="14"/>
      <c r="Y445" s="14"/>
    </row>
    <row r="446" spans="1:25" ht="13.2">
      <c r="A446" s="69">
        <v>1</v>
      </c>
      <c r="B446" s="64" t="s">
        <v>1848</v>
      </c>
      <c r="C446" s="11">
        <v>446</v>
      </c>
      <c r="D446" s="65">
        <v>10</v>
      </c>
      <c r="E446" s="66">
        <v>43829</v>
      </c>
      <c r="F446" s="13" t="str">
        <f>HYPERLINK("https://difabel.tempo.co/read/1289204/tips-guru-slb-ajarkan-siswa-jangan-pernah-bilang-salah","sumber")</f>
        <v>sumber</v>
      </c>
      <c r="G446" s="13" t="str">
        <f t="shared" si="56"/>
        <v>lokasi</v>
      </c>
      <c r="H446" s="65">
        <v>261</v>
      </c>
      <c r="I446" s="102">
        <v>2</v>
      </c>
      <c r="J446" s="11">
        <v>2</v>
      </c>
      <c r="K446" s="70" t="s">
        <v>1849</v>
      </c>
      <c r="L446" s="11">
        <v>0</v>
      </c>
      <c r="M446" s="11">
        <v>0</v>
      </c>
      <c r="N446" s="15">
        <v>0</v>
      </c>
      <c r="O446" s="11">
        <v>0</v>
      </c>
      <c r="P446" s="11">
        <v>0</v>
      </c>
      <c r="Q446" s="11">
        <v>1</v>
      </c>
      <c r="R446" s="11">
        <v>1</v>
      </c>
      <c r="S446" s="11"/>
      <c r="T446" s="11">
        <v>0</v>
      </c>
      <c r="U446" s="11">
        <v>0</v>
      </c>
      <c r="V446" s="11">
        <v>1</v>
      </c>
      <c r="W446" s="14"/>
      <c r="X446" s="14"/>
      <c r="Y446" s="14"/>
    </row>
    <row r="447" spans="1:25" ht="13.2">
      <c r="A447" s="69">
        <v>1</v>
      </c>
      <c r="B447" s="64" t="s">
        <v>1850</v>
      </c>
      <c r="C447" s="11">
        <v>447</v>
      </c>
      <c r="D447" s="65">
        <v>4</v>
      </c>
      <c r="E447" s="66">
        <v>43741</v>
      </c>
      <c r="F447" s="13" t="str">
        <f>HYPERLINK("https://www.liputan6.com/showbiz/read/4077715/sebelum-joaquin-phoenix-joker-diperankan-3-aktor-kaliber-oscar-ini","sumber")</f>
        <v>sumber</v>
      </c>
      <c r="G447" s="13" t="str">
        <f t="shared" si="56"/>
        <v>lokasi</v>
      </c>
      <c r="H447" s="65">
        <v>418</v>
      </c>
      <c r="I447" s="102">
        <v>2</v>
      </c>
      <c r="J447" s="11"/>
      <c r="K447" s="70"/>
      <c r="L447" s="11">
        <v>0</v>
      </c>
      <c r="M447" s="11">
        <v>0</v>
      </c>
      <c r="N447" s="15">
        <v>0</v>
      </c>
      <c r="O447" s="11">
        <v>0</v>
      </c>
      <c r="P447" s="11">
        <v>0</v>
      </c>
      <c r="Q447" s="11"/>
      <c r="R447" s="11"/>
      <c r="S447" s="11"/>
      <c r="T447" s="11">
        <v>0</v>
      </c>
      <c r="U447" s="11">
        <v>0</v>
      </c>
      <c r="V447" s="11">
        <v>1</v>
      </c>
      <c r="W447" s="14"/>
      <c r="X447" s="14"/>
      <c r="Y447" s="14"/>
    </row>
    <row r="448" spans="1:25" ht="13.2">
      <c r="A448" s="69">
        <v>1</v>
      </c>
      <c r="B448" s="64" t="s">
        <v>1851</v>
      </c>
      <c r="C448" s="11">
        <v>448</v>
      </c>
      <c r="D448" s="65">
        <v>8</v>
      </c>
      <c r="E448" s="66">
        <v>43741</v>
      </c>
      <c r="F448" s="13" t="str">
        <f>HYPERLINK("https://www.suara.com/entertainment/2019/10/03/060500/widi-mulia-terhibur-lihat-akting-suami-jadi-transgender","sumber")</f>
        <v>sumber</v>
      </c>
      <c r="G448" s="13" t="str">
        <f t="shared" si="56"/>
        <v>lokasi</v>
      </c>
      <c r="H448" s="65">
        <v>153</v>
      </c>
      <c r="I448" s="102">
        <v>2</v>
      </c>
      <c r="J448" s="11">
        <v>3</v>
      </c>
      <c r="K448" s="70" t="s">
        <v>1852</v>
      </c>
      <c r="L448" s="11">
        <v>0</v>
      </c>
      <c r="M448" s="11">
        <v>0</v>
      </c>
      <c r="N448" s="15">
        <v>0</v>
      </c>
      <c r="O448" s="11">
        <v>0</v>
      </c>
      <c r="P448" s="11">
        <v>0</v>
      </c>
      <c r="Q448" s="11">
        <v>0</v>
      </c>
      <c r="R448" s="11">
        <v>-1</v>
      </c>
      <c r="S448" s="11"/>
      <c r="T448" s="11">
        <v>0</v>
      </c>
      <c r="U448" s="11">
        <v>0</v>
      </c>
      <c r="V448" s="11">
        <v>1</v>
      </c>
      <c r="W448" s="14"/>
      <c r="X448" s="14"/>
      <c r="Y448" s="14"/>
    </row>
    <row r="449" spans="1:25" ht="66">
      <c r="A449" s="80">
        <v>1</v>
      </c>
      <c r="B449" s="81" t="s">
        <v>1853</v>
      </c>
      <c r="C449" s="82">
        <v>449</v>
      </c>
      <c r="D449" s="83">
        <v>7</v>
      </c>
      <c r="E449" s="84">
        <v>43741</v>
      </c>
      <c r="F449" s="85" t="str">
        <f>HYPERLINK("https://www.tribunnews.com/regional/2019/10/03/7-fakta-kasus-bocah-tewas-disiksa-pelaku-lgbt-kecurigaan-kronologi-ancaman-pelaku-hingga-bukti","sumber")</f>
        <v>sumber</v>
      </c>
      <c r="G449" s="85" t="str">
        <f t="shared" si="56"/>
        <v>lokasi</v>
      </c>
      <c r="H449" s="83">
        <v>170</v>
      </c>
      <c r="I449" s="104">
        <v>1</v>
      </c>
      <c r="J449" s="82">
        <v>3</v>
      </c>
      <c r="K449" s="87" t="s">
        <v>1854</v>
      </c>
      <c r="L449" s="82">
        <v>0</v>
      </c>
      <c r="M449" s="82">
        <v>1</v>
      </c>
      <c r="N449" s="88">
        <v>0</v>
      </c>
      <c r="O449" s="82">
        <v>0</v>
      </c>
      <c r="P449" s="82">
        <v>-1</v>
      </c>
      <c r="Q449" s="82" t="s">
        <v>21</v>
      </c>
      <c r="R449" s="82" t="s">
        <v>21</v>
      </c>
      <c r="S449" s="82"/>
      <c r="T449" s="82">
        <v>0</v>
      </c>
      <c r="U449" s="82">
        <v>-1</v>
      </c>
      <c r="V449" s="82">
        <v>1</v>
      </c>
      <c r="W449" s="90"/>
      <c r="X449" s="90"/>
      <c r="Y449" s="90"/>
    </row>
    <row r="450" spans="1:25" ht="13.2">
      <c r="A450" s="69">
        <v>1</v>
      </c>
      <c r="B450" s="64" t="s">
        <v>1855</v>
      </c>
      <c r="C450" s="11">
        <v>450</v>
      </c>
      <c r="D450" s="65">
        <v>8</v>
      </c>
      <c r="E450" s="66">
        <v>43742</v>
      </c>
      <c r="F450" s="13" t="str">
        <f>HYPERLINK("https://www.suara.com/lifestyle/2019/10/04/144458/tuntut-iphone-pemuda-rusia-ini-mengaku-dipaksa-jadi-suka-sesama-jenis","sumber")</f>
        <v>sumber</v>
      </c>
      <c r="G450" s="13" t="str">
        <f t="shared" si="56"/>
        <v>lokasi</v>
      </c>
      <c r="H450" s="65">
        <v>308</v>
      </c>
      <c r="I450" s="102">
        <v>1</v>
      </c>
      <c r="J450" s="11"/>
      <c r="K450" s="70" t="s">
        <v>1856</v>
      </c>
      <c r="L450" s="11">
        <v>0</v>
      </c>
      <c r="M450" s="28">
        <v>0</v>
      </c>
      <c r="N450" s="15">
        <v>0</v>
      </c>
      <c r="O450" s="11">
        <v>0</v>
      </c>
      <c r="P450" s="11">
        <v>0</v>
      </c>
      <c r="Q450" s="11">
        <v>0</v>
      </c>
      <c r="R450" s="11">
        <v>-1</v>
      </c>
      <c r="S450" s="11"/>
      <c r="T450" s="11">
        <v>0</v>
      </c>
      <c r="U450" s="11">
        <v>0</v>
      </c>
      <c r="V450" s="11">
        <v>1</v>
      </c>
      <c r="W450" s="14"/>
      <c r="X450" s="14"/>
      <c r="Y450" s="14"/>
    </row>
    <row r="451" spans="1:25" ht="13.2">
      <c r="A451" s="73">
        <v>2</v>
      </c>
      <c r="B451" s="74" t="s">
        <v>1857</v>
      </c>
      <c r="C451" s="18">
        <v>451</v>
      </c>
      <c r="D451" s="75">
        <v>1</v>
      </c>
      <c r="E451" s="76">
        <v>43745</v>
      </c>
      <c r="F451" s="20" t="str">
        <f>HYPERLINK("https://hot.detik.com/celeb/d-4736869/ashiaaap-victoria-beckham-tutup-channel-youtube","sumber")</f>
        <v>sumber</v>
      </c>
      <c r="G451" s="99" t="s">
        <v>1</v>
      </c>
      <c r="H451" s="75">
        <v>1641</v>
      </c>
      <c r="I451" s="103"/>
      <c r="J451" s="18">
        <v>3</v>
      </c>
      <c r="K451" s="92"/>
      <c r="L451" s="18"/>
      <c r="M451" s="18"/>
      <c r="N451" s="18"/>
      <c r="O451" s="18"/>
      <c r="P451" s="18"/>
      <c r="Q451" s="18"/>
      <c r="R451" s="18"/>
      <c r="S451" s="18"/>
      <c r="T451" s="18"/>
      <c r="U451" s="18"/>
      <c r="V451" s="18"/>
      <c r="W451" s="19"/>
      <c r="X451" s="19"/>
      <c r="Y451" s="19"/>
    </row>
    <row r="452" spans="1:25" ht="13.2">
      <c r="A452" s="69">
        <v>1</v>
      </c>
      <c r="B452" s="64" t="s">
        <v>1858</v>
      </c>
      <c r="C452" s="11">
        <v>452</v>
      </c>
      <c r="D452" s="65">
        <v>2</v>
      </c>
      <c r="E452" s="66">
        <v>43746</v>
      </c>
      <c r="F452" s="13" t="str">
        <f>HYPERLINK("https://www.cnnindonesia.com/teknologi/20191007082909-185-437330/orientasi-seks-berubah-pria-rusia-tuntut-apple-rp128-juta","sumber")</f>
        <v>sumber</v>
      </c>
      <c r="G452" s="13" t="str">
        <f t="shared" ref="G452:G454" si="57">HYPERLINK("https://drive.google.com/open?id=15K5sriRJOw0JTPqD9yRZzl0fwZcfdV8X","lokasi")</f>
        <v>lokasi</v>
      </c>
      <c r="H452" s="65">
        <v>284</v>
      </c>
      <c r="I452" s="102">
        <v>1</v>
      </c>
      <c r="J452" s="11">
        <v>3</v>
      </c>
      <c r="K452" s="70" t="s">
        <v>1859</v>
      </c>
      <c r="L452" s="11">
        <v>0</v>
      </c>
      <c r="M452" s="28">
        <v>0</v>
      </c>
      <c r="N452" s="15">
        <v>0</v>
      </c>
      <c r="O452" s="11">
        <v>0</v>
      </c>
      <c r="P452" s="11">
        <v>0</v>
      </c>
      <c r="Q452" s="11">
        <v>0</v>
      </c>
      <c r="R452" s="11">
        <v>-1</v>
      </c>
      <c r="S452" s="11"/>
      <c r="T452" s="11">
        <v>0</v>
      </c>
      <c r="U452" s="11">
        <v>0</v>
      </c>
      <c r="V452" s="11">
        <v>1</v>
      </c>
      <c r="W452" s="14"/>
      <c r="X452" s="14"/>
      <c r="Y452" s="14"/>
    </row>
    <row r="453" spans="1:25" ht="26.4">
      <c r="A453" s="69">
        <v>1</v>
      </c>
      <c r="B453" s="64" t="s">
        <v>1860</v>
      </c>
      <c r="C453" s="11">
        <v>453</v>
      </c>
      <c r="D453" s="65">
        <v>7</v>
      </c>
      <c r="E453" s="66">
        <v>43746</v>
      </c>
      <c r="F453" s="13" t="str">
        <f>HYPERLINK("https://www.tribunnews.com/regional/2019/10/08/jaringan-prostitusi-di-cipanas-ini-jajakan-psk-berkeliling-pakai-mobil-sasarannya-wna","sumber")</f>
        <v>sumber</v>
      </c>
      <c r="G453" s="13" t="str">
        <f t="shared" si="57"/>
        <v>lokasi</v>
      </c>
      <c r="H453" s="65">
        <v>272</v>
      </c>
      <c r="I453" s="102">
        <v>1</v>
      </c>
      <c r="J453" s="11">
        <v>3</v>
      </c>
      <c r="K453" s="70" t="s">
        <v>1861</v>
      </c>
      <c r="L453" s="11">
        <v>0</v>
      </c>
      <c r="M453" s="28">
        <v>0</v>
      </c>
      <c r="N453" s="15">
        <v>0</v>
      </c>
      <c r="O453" s="11">
        <v>0</v>
      </c>
      <c r="P453" s="11">
        <v>0</v>
      </c>
      <c r="Q453" s="11">
        <v>0</v>
      </c>
      <c r="R453" s="11">
        <v>1</v>
      </c>
      <c r="S453" s="11"/>
      <c r="T453" s="11">
        <v>0</v>
      </c>
      <c r="U453" s="11">
        <v>0</v>
      </c>
      <c r="V453" s="11">
        <v>1</v>
      </c>
      <c r="W453" s="14"/>
      <c r="X453" s="14"/>
      <c r="Y453" s="14"/>
    </row>
    <row r="454" spans="1:25" ht="26.4">
      <c r="A454" s="69">
        <v>1</v>
      </c>
      <c r="B454" s="64" t="s">
        <v>1862</v>
      </c>
      <c r="C454" s="11">
        <v>454</v>
      </c>
      <c r="D454" s="65">
        <v>1</v>
      </c>
      <c r="E454" s="66">
        <v>43747</v>
      </c>
      <c r="F454" s="13" t="str">
        <f>HYPERLINK("https://news.detik.com/berita-jawa-barat/d-4739071/bongkar-prostitusi-vila-bunga-cianjur-polisi-jawab-tantangan-warganet","sumber")</f>
        <v>sumber</v>
      </c>
      <c r="G454" s="13" t="str">
        <f t="shared" si="57"/>
        <v>lokasi</v>
      </c>
      <c r="H454" s="65">
        <v>351</v>
      </c>
      <c r="I454" s="102">
        <v>1</v>
      </c>
      <c r="J454" s="11">
        <v>3</v>
      </c>
      <c r="K454" s="70" t="s">
        <v>1861</v>
      </c>
      <c r="L454" s="11">
        <v>0</v>
      </c>
      <c r="M454" s="28">
        <v>0</v>
      </c>
      <c r="N454" s="15">
        <v>0</v>
      </c>
      <c r="O454" s="11">
        <v>0</v>
      </c>
      <c r="P454" s="11">
        <v>0</v>
      </c>
      <c r="Q454" s="11">
        <v>0</v>
      </c>
      <c r="R454" s="11">
        <v>1</v>
      </c>
      <c r="S454" s="11"/>
      <c r="T454" s="11">
        <v>0</v>
      </c>
      <c r="U454" s="11">
        <v>0</v>
      </c>
      <c r="V454" s="11">
        <v>1</v>
      </c>
      <c r="W454" s="14"/>
      <c r="X454" s="14"/>
      <c r="Y454" s="14"/>
    </row>
    <row r="455" spans="1:25" ht="13.2">
      <c r="A455" s="73">
        <v>2</v>
      </c>
      <c r="B455" s="74" t="s">
        <v>1863</v>
      </c>
      <c r="C455" s="18">
        <v>455</v>
      </c>
      <c r="D455" s="75">
        <v>6</v>
      </c>
      <c r="E455" s="76">
        <v>43747</v>
      </c>
      <c r="F455" s="20" t="str">
        <f>HYPERLINK("https://regional.kompas.com/read/2019/10/09/16470871/kisah-jumat-pemilik-350-gram-sabu-yang-ditangkap-hari-jumat","sumber")</f>
        <v>sumber</v>
      </c>
      <c r="G455" s="99" t="s">
        <v>1</v>
      </c>
      <c r="H455" s="75">
        <v>191</v>
      </c>
      <c r="I455" s="103"/>
      <c r="J455" s="18">
        <v>3</v>
      </c>
      <c r="K455" s="92"/>
      <c r="L455" s="18"/>
      <c r="M455" s="18"/>
      <c r="N455" s="18"/>
      <c r="O455" s="18"/>
      <c r="P455" s="18"/>
      <c r="Q455" s="18"/>
      <c r="R455" s="18"/>
      <c r="S455" s="18"/>
      <c r="T455" s="18"/>
      <c r="U455" s="18"/>
      <c r="V455" s="18"/>
      <c r="W455" s="19"/>
      <c r="X455" s="19"/>
      <c r="Y455" s="19"/>
    </row>
    <row r="456" spans="1:25" ht="13.2">
      <c r="A456" s="73">
        <v>2</v>
      </c>
      <c r="B456" s="74" t="s">
        <v>1864</v>
      </c>
      <c r="C456" s="18">
        <v>456</v>
      </c>
      <c r="D456" s="75">
        <v>2</v>
      </c>
      <c r="E456" s="76">
        <v>43788</v>
      </c>
      <c r="F456" s="20" t="str">
        <f>HYPERLINK("https://www.cnnindonesia.com/nasional/20191118224940-20-449503/kakek-di-binjai-tewas-usai-berhubungan-seks","sumber")</f>
        <v>sumber</v>
      </c>
      <c r="G456" s="99" t="s">
        <v>1</v>
      </c>
      <c r="H456" s="75">
        <v>205</v>
      </c>
      <c r="I456" s="103"/>
      <c r="J456" s="18">
        <v>3</v>
      </c>
      <c r="K456" s="92"/>
      <c r="L456" s="18"/>
      <c r="M456" s="18"/>
      <c r="N456" s="18"/>
      <c r="O456" s="18"/>
      <c r="P456" s="18"/>
      <c r="Q456" s="18"/>
      <c r="R456" s="18"/>
      <c r="S456" s="18"/>
      <c r="T456" s="18"/>
      <c r="U456" s="18"/>
      <c r="V456" s="18"/>
      <c r="W456" s="19"/>
      <c r="X456" s="19"/>
      <c r="Y456" s="19"/>
    </row>
    <row r="457" spans="1:25" ht="52.8">
      <c r="A457" s="69">
        <v>1</v>
      </c>
      <c r="B457" s="64" t="s">
        <v>1865</v>
      </c>
      <c r="C457" s="11">
        <v>457</v>
      </c>
      <c r="D457" s="65">
        <v>4</v>
      </c>
      <c r="E457" s="66">
        <v>43788</v>
      </c>
      <c r="F457" s="13" t="str">
        <f>HYPERLINK("https://www.liputan6.com/global/read/4113582/atlet-rugby-sebut-karhutla-di-australia-karma-dari-legalisasi-pernikahan-gay","sumber")</f>
        <v>sumber</v>
      </c>
      <c r="G457" s="13" t="str">
        <f>HYPERLINK("https://drive.google.com/open?id=15K5sriRJOw0JTPqD9yRZzl0fwZcfdV8X","lokasi")</f>
        <v>lokasi</v>
      </c>
      <c r="H457" s="65">
        <v>292</v>
      </c>
      <c r="I457" s="102">
        <v>2</v>
      </c>
      <c r="J457" s="11">
        <v>3</v>
      </c>
      <c r="K457" s="70" t="s">
        <v>1866</v>
      </c>
      <c r="L457" s="11">
        <v>0</v>
      </c>
      <c r="M457" s="11">
        <v>0</v>
      </c>
      <c r="N457" s="15">
        <v>0</v>
      </c>
      <c r="O457" s="11">
        <v>0</v>
      </c>
      <c r="P457" s="11">
        <v>0</v>
      </c>
      <c r="Q457" s="11" t="s">
        <v>21</v>
      </c>
      <c r="R457" s="11" t="s">
        <v>739</v>
      </c>
      <c r="S457" s="11"/>
      <c r="T457" s="11">
        <v>0</v>
      </c>
      <c r="U457" s="11">
        <v>0</v>
      </c>
      <c r="V457" s="11">
        <v>1</v>
      </c>
      <c r="W457" s="14"/>
      <c r="X457" s="14"/>
      <c r="Y457" s="14"/>
    </row>
    <row r="458" spans="1:25" ht="13.2">
      <c r="A458" s="73">
        <v>2</v>
      </c>
      <c r="B458" s="74" t="s">
        <v>1867</v>
      </c>
      <c r="C458" s="18">
        <v>458</v>
      </c>
      <c r="D458" s="75">
        <v>7</v>
      </c>
      <c r="E458" s="76">
        <v>43789</v>
      </c>
      <c r="F458" s="20" t="str">
        <f>HYPERLINK("https://www.tribunnews.com/seleb/2019/11/20/bibir-barbie-kumalasari-bengkak-setelah-disulam-irfan-sebaztian-kayak-banci-ditonjok-satpol-pp","sumber")</f>
        <v>sumber</v>
      </c>
      <c r="G458" s="99" t="s">
        <v>1</v>
      </c>
      <c r="H458" s="75">
        <v>53</v>
      </c>
      <c r="I458" s="103"/>
      <c r="J458" s="18">
        <v>3</v>
      </c>
      <c r="K458" s="92"/>
      <c r="L458" s="18"/>
      <c r="M458" s="18"/>
      <c r="N458" s="18"/>
      <c r="O458" s="18"/>
      <c r="P458" s="18"/>
      <c r="Q458" s="18"/>
      <c r="R458" s="18"/>
      <c r="S458" s="18"/>
      <c r="T458" s="18"/>
      <c r="U458" s="18"/>
      <c r="V458" s="18"/>
      <c r="W458" s="19"/>
      <c r="X458" s="19"/>
      <c r="Y458" s="19"/>
    </row>
    <row r="459" spans="1:25" ht="26.4">
      <c r="A459" s="69">
        <v>1</v>
      </c>
      <c r="B459" s="64" t="s">
        <v>1868</v>
      </c>
      <c r="C459" s="11">
        <v>459</v>
      </c>
      <c r="D459" s="65">
        <v>2</v>
      </c>
      <c r="E459" s="66">
        <v>43790</v>
      </c>
      <c r="F459" s="13" t="str">
        <f>HYPERLINK("https://www.cnnindonesia.com/internasional/20191120203252-113-450136/dua-gay-asal-saudi-ditahan-di-australia-usai-minta-suaka","sumber")</f>
        <v>sumber</v>
      </c>
      <c r="G459" s="13" t="str">
        <f>HYPERLINK("https://drive.google.com/open?id=15K5sriRJOw0JTPqD9yRZzl0fwZcfdV8X","lokasi")</f>
        <v>lokasi</v>
      </c>
      <c r="H459" s="65">
        <v>348</v>
      </c>
      <c r="I459" s="102">
        <v>1</v>
      </c>
      <c r="J459" s="11">
        <v>3</v>
      </c>
      <c r="K459" s="70" t="s">
        <v>1869</v>
      </c>
      <c r="L459" s="11">
        <v>0</v>
      </c>
      <c r="M459" s="11">
        <v>1</v>
      </c>
      <c r="N459" s="15">
        <v>0</v>
      </c>
      <c r="O459" s="11">
        <v>0</v>
      </c>
      <c r="P459" s="11">
        <v>0</v>
      </c>
      <c r="Q459" s="11" t="s">
        <v>1870</v>
      </c>
      <c r="R459" s="11" t="s">
        <v>68</v>
      </c>
      <c r="S459" s="11"/>
      <c r="T459" s="11">
        <v>0</v>
      </c>
      <c r="U459" s="11">
        <v>0</v>
      </c>
      <c r="V459" s="11">
        <v>1</v>
      </c>
      <c r="W459" s="14"/>
      <c r="X459" s="14"/>
      <c r="Y459" s="14"/>
    </row>
    <row r="460" spans="1:25" ht="13.2">
      <c r="A460" s="73">
        <v>2</v>
      </c>
      <c r="B460" s="74" t="s">
        <v>1871</v>
      </c>
      <c r="C460" s="18">
        <v>460</v>
      </c>
      <c r="D460" s="75">
        <v>4</v>
      </c>
      <c r="E460" s="76">
        <v>43791</v>
      </c>
      <c r="F460" s="20" t="str">
        <f>HYPERLINK("https://hot.liputan6.com/read/4117226/video-sikap-kejaksaan-agung-terkait-lgbt-lamar-cpns","sumber")</f>
        <v>sumber</v>
      </c>
      <c r="G460" s="99" t="s">
        <v>1</v>
      </c>
      <c r="H460" s="75">
        <v>20</v>
      </c>
      <c r="I460" s="103"/>
      <c r="J460" s="18">
        <v>3</v>
      </c>
      <c r="K460" s="92"/>
      <c r="L460" s="18"/>
      <c r="M460" s="18"/>
      <c r="N460" s="18"/>
      <c r="O460" s="18"/>
      <c r="P460" s="18"/>
      <c r="Q460" s="18"/>
      <c r="R460" s="18"/>
      <c r="S460" s="18"/>
      <c r="T460" s="18"/>
      <c r="U460" s="18"/>
      <c r="V460" s="18"/>
      <c r="W460" s="19"/>
      <c r="X460" s="19"/>
      <c r="Y460" s="19"/>
    </row>
    <row r="461" spans="1:25" ht="26.4">
      <c r="A461" s="69">
        <v>1</v>
      </c>
      <c r="B461" s="64" t="s">
        <v>1872</v>
      </c>
      <c r="C461" s="11">
        <v>461</v>
      </c>
      <c r="D461" s="65">
        <v>7</v>
      </c>
      <c r="E461" s="66">
        <v>43792</v>
      </c>
      <c r="F461" s="13" t="str">
        <f>HYPERLINK("https://www.tribunnews.com/seleb/2019/11/23/cpns-2019-6-kementerian-yang-akan-tutup-pendaftaran-pada-24-november-kominfo-hingga-kemenlu","sumber")</f>
        <v>sumber</v>
      </c>
      <c r="G461" s="13" t="str">
        <f>HYPERLINK("https://drive.google.com/open?id=15K5sriRJOw0JTPqD9yRZzl0fwZcfdV8X","lokasi")</f>
        <v>lokasi</v>
      </c>
      <c r="H461" s="65">
        <v>234</v>
      </c>
      <c r="I461" s="102">
        <v>4</v>
      </c>
      <c r="J461" s="11">
        <v>3</v>
      </c>
      <c r="K461" s="70" t="s">
        <v>1873</v>
      </c>
      <c r="L461" s="11">
        <v>0</v>
      </c>
      <c r="M461" s="11">
        <v>0</v>
      </c>
      <c r="N461" s="15">
        <v>0</v>
      </c>
      <c r="O461" s="11">
        <v>0</v>
      </c>
      <c r="P461" s="11">
        <v>0</v>
      </c>
      <c r="Q461" s="11">
        <v>0</v>
      </c>
      <c r="R461" s="11">
        <v>-1</v>
      </c>
      <c r="S461" s="11"/>
      <c r="T461" s="11">
        <v>0</v>
      </c>
      <c r="U461" s="11">
        <v>0</v>
      </c>
      <c r="V461" s="11">
        <v>1</v>
      </c>
      <c r="W461" s="14"/>
      <c r="X461" s="14"/>
      <c r="Y461" s="14"/>
    </row>
    <row r="462" spans="1:25" ht="13.2">
      <c r="A462" s="73">
        <v>2</v>
      </c>
      <c r="B462" s="74" t="s">
        <v>1874</v>
      </c>
      <c r="C462" s="18">
        <v>462</v>
      </c>
      <c r="D462" s="75">
        <v>1</v>
      </c>
      <c r="E462" s="76">
        <v>43795</v>
      </c>
      <c r="F462" s="20" t="str">
        <f>HYPERLINK("https://hot.detik.com/celeb/d-4798341/asyik-di-bali-paha-jennifer-dunn-bikin-salah-fokus","sumber")</f>
        <v>sumber</v>
      </c>
      <c r="G462" s="99" t="s">
        <v>1</v>
      </c>
      <c r="H462" s="75">
        <v>1741</v>
      </c>
      <c r="I462" s="103"/>
      <c r="J462" s="18">
        <v>3</v>
      </c>
      <c r="K462" s="92"/>
      <c r="L462" s="18"/>
      <c r="M462" s="18"/>
      <c r="N462" s="18"/>
      <c r="O462" s="18"/>
      <c r="P462" s="18"/>
      <c r="Q462" s="18"/>
      <c r="R462" s="18"/>
      <c r="S462" s="18"/>
      <c r="T462" s="18"/>
      <c r="U462" s="18"/>
      <c r="V462" s="18"/>
      <c r="W462" s="19"/>
      <c r="X462" s="19"/>
      <c r="Y462" s="19"/>
    </row>
    <row r="463" spans="1:25" ht="26.4">
      <c r="A463" s="69">
        <v>1</v>
      </c>
      <c r="B463" s="64" t="s">
        <v>1875</v>
      </c>
      <c r="C463" s="11">
        <v>463</v>
      </c>
      <c r="D463" s="65">
        <v>8</v>
      </c>
      <c r="E463" s="66">
        <v>43809</v>
      </c>
      <c r="F463" s="13" t="str">
        <f>HYPERLINK("https://www.suara.com/lifestyle/2019/12/10/073500/berani-blak-blakan-miss-universe-myanmar-2019-mengaku-penyuka-sesama-jenis","sumber")</f>
        <v>sumber</v>
      </c>
      <c r="G463" s="13" t="str">
        <f>HYPERLINK("https://drive.google.com/open?id=15K5sriRJOw0JTPqD9yRZzl0fwZcfdV8X","lokasi")</f>
        <v>lokasi</v>
      </c>
      <c r="H463" s="65">
        <v>248</v>
      </c>
      <c r="I463" s="102">
        <v>2</v>
      </c>
      <c r="J463" s="11">
        <v>3</v>
      </c>
      <c r="K463" s="70" t="s">
        <v>1876</v>
      </c>
      <c r="L463" s="11">
        <v>0</v>
      </c>
      <c r="M463" s="11">
        <v>0</v>
      </c>
      <c r="N463" s="15">
        <v>0</v>
      </c>
      <c r="O463" s="11">
        <v>0</v>
      </c>
      <c r="P463" s="11">
        <v>-1</v>
      </c>
      <c r="Q463" s="11">
        <v>2</v>
      </c>
      <c r="R463" s="11">
        <v>1</v>
      </c>
      <c r="S463" s="11" t="s">
        <v>1877</v>
      </c>
      <c r="T463" s="11">
        <v>1</v>
      </c>
      <c r="U463" s="11">
        <v>0</v>
      </c>
      <c r="V463" s="11">
        <v>0</v>
      </c>
      <c r="W463" s="14"/>
      <c r="X463" s="14"/>
      <c r="Y463" s="14"/>
    </row>
    <row r="464" spans="1:25" ht="13.2">
      <c r="A464" s="73">
        <v>2</v>
      </c>
      <c r="B464" s="74" t="s">
        <v>1878</v>
      </c>
      <c r="C464" s="18">
        <v>464</v>
      </c>
      <c r="D464" s="75">
        <v>2</v>
      </c>
      <c r="E464" s="76">
        <v>43814</v>
      </c>
      <c r="F464" s="20" t="str">
        <f>HYPERLINK("https://www.cnnindonesia.com/gaya-hidup/20191215124124-269-457119/memahami-brexit-dari-mata-empat-sahabat","sumber")</f>
        <v>sumber</v>
      </c>
      <c r="G464" s="99" t="s">
        <v>1</v>
      </c>
      <c r="H464" s="75">
        <v>844</v>
      </c>
      <c r="I464" s="103"/>
      <c r="J464" s="18">
        <v>3</v>
      </c>
      <c r="K464" s="92"/>
      <c r="L464" s="18"/>
      <c r="M464" s="18"/>
      <c r="N464" s="18"/>
      <c r="O464" s="18"/>
      <c r="P464" s="18"/>
      <c r="Q464" s="18"/>
      <c r="R464" s="18"/>
      <c r="S464" s="18"/>
      <c r="T464" s="18"/>
      <c r="U464" s="18"/>
      <c r="V464" s="18"/>
      <c r="W464" s="19"/>
      <c r="X464" s="19"/>
      <c r="Y464" s="19"/>
    </row>
    <row r="465" spans="1:25" ht="13.2">
      <c r="A465" s="69">
        <v>1</v>
      </c>
      <c r="B465" s="64" t="s">
        <v>1879</v>
      </c>
      <c r="C465" s="11">
        <v>465</v>
      </c>
      <c r="D465" s="65">
        <v>2</v>
      </c>
      <c r="E465" s="66">
        <v>43815</v>
      </c>
      <c r="F465" s="13" t="str">
        <f>HYPERLINK("https://www.cnnindonesia.com/hiburan/20191216151559-234-457406/lily-allen-hapus-twitter-usai-kaitkan-pm-inggris-dan-rasisme","sumber")</f>
        <v>sumber</v>
      </c>
      <c r="G465" s="13" t="str">
        <f t="shared" ref="G465:G468" si="58">HYPERLINK("https://drive.google.com/open?id=15K5sriRJOw0JTPqD9yRZzl0fwZcfdV8X","lokasi")</f>
        <v>lokasi</v>
      </c>
      <c r="H465" s="65">
        <v>318</v>
      </c>
      <c r="I465" s="102">
        <v>1</v>
      </c>
      <c r="J465" s="11">
        <v>3</v>
      </c>
      <c r="K465" s="70" t="s">
        <v>1880</v>
      </c>
      <c r="L465" s="11">
        <v>0</v>
      </c>
      <c r="M465" s="28">
        <v>0</v>
      </c>
      <c r="N465" s="15">
        <v>0</v>
      </c>
      <c r="O465" s="11">
        <v>0</v>
      </c>
      <c r="P465" s="11">
        <v>0</v>
      </c>
      <c r="Q465" s="11">
        <v>0</v>
      </c>
      <c r="R465" s="11">
        <v>0</v>
      </c>
      <c r="S465" s="11"/>
      <c r="T465" s="11">
        <v>0</v>
      </c>
      <c r="U465" s="11">
        <v>0</v>
      </c>
      <c r="V465" s="11">
        <v>1</v>
      </c>
      <c r="W465" s="14"/>
      <c r="X465" s="14"/>
      <c r="Y465" s="14"/>
    </row>
    <row r="466" spans="1:25" ht="13.2">
      <c r="A466" s="69">
        <v>1</v>
      </c>
      <c r="B466" s="64" t="s">
        <v>1881</v>
      </c>
      <c r="C466" s="11">
        <v>466</v>
      </c>
      <c r="D466" s="65">
        <v>5</v>
      </c>
      <c r="E466" s="66">
        <v>43817</v>
      </c>
      <c r="F466" s="13" t="str">
        <f>HYPERLINK("https://tirto.id/drama-love-with-flaws-ep-13-14-seo-yeon-bertemu-keluarga-min-hyuk-enGC","sumber")</f>
        <v>sumber</v>
      </c>
      <c r="G466" s="13" t="str">
        <f t="shared" si="58"/>
        <v>lokasi</v>
      </c>
      <c r="H466" s="65">
        <v>691</v>
      </c>
      <c r="I466" s="102">
        <v>2</v>
      </c>
      <c r="J466" s="11">
        <v>3</v>
      </c>
      <c r="K466" s="70"/>
      <c r="L466" s="11">
        <v>0</v>
      </c>
      <c r="M466" s="11">
        <v>0</v>
      </c>
      <c r="N466" s="15">
        <v>0</v>
      </c>
      <c r="O466" s="11">
        <v>0</v>
      </c>
      <c r="P466" s="11">
        <v>0</v>
      </c>
      <c r="Q466" s="11"/>
      <c r="R466" s="11"/>
      <c r="S466" s="11"/>
      <c r="T466" s="11">
        <v>0</v>
      </c>
      <c r="U466" s="11">
        <v>0</v>
      </c>
      <c r="V466" s="11">
        <v>1</v>
      </c>
      <c r="W466" s="14"/>
      <c r="X466" s="14"/>
      <c r="Y466" s="14"/>
    </row>
    <row r="467" spans="1:25" ht="13.2">
      <c r="A467" s="69">
        <v>1</v>
      </c>
      <c r="B467" s="64" t="s">
        <v>1882</v>
      </c>
      <c r="C467" s="11">
        <v>467</v>
      </c>
      <c r="D467" s="65">
        <v>7</v>
      </c>
      <c r="E467" s="66">
        <v>43817</v>
      </c>
      <c r="F467" s="13" t="str">
        <f>HYPERLINK("https://www.tribunnews.com/seleb/2019/12/18/kebohongan-lucinta-luna-dibongkar-gebby-vesta-terungkap-nama-asli-di-ktp-hingga-bayaran-endorse","sumber")</f>
        <v>sumber</v>
      </c>
      <c r="G467" s="13" t="str">
        <f t="shared" si="58"/>
        <v>lokasi</v>
      </c>
      <c r="H467" s="65">
        <v>114</v>
      </c>
      <c r="I467" s="102">
        <v>1</v>
      </c>
      <c r="J467" s="11">
        <v>3</v>
      </c>
      <c r="K467" s="70" t="s">
        <v>1883</v>
      </c>
      <c r="L467" s="11">
        <v>0</v>
      </c>
      <c r="M467" s="28">
        <v>0</v>
      </c>
      <c r="N467" s="15">
        <v>0</v>
      </c>
      <c r="O467" s="11">
        <v>0</v>
      </c>
      <c r="P467" s="11">
        <v>0</v>
      </c>
      <c r="Q467" s="11" t="s">
        <v>178</v>
      </c>
      <c r="R467" s="11" t="s">
        <v>653</v>
      </c>
      <c r="S467" s="11"/>
      <c r="T467" s="11">
        <v>0</v>
      </c>
      <c r="U467" s="11">
        <v>-1</v>
      </c>
      <c r="V467" s="11">
        <v>0</v>
      </c>
      <c r="W467" s="14"/>
      <c r="X467" s="14"/>
      <c r="Y467" s="14"/>
    </row>
    <row r="468" spans="1:25" ht="13.2">
      <c r="A468" s="69">
        <v>1</v>
      </c>
      <c r="B468" s="64" t="s">
        <v>1884</v>
      </c>
      <c r="C468" s="11">
        <v>468</v>
      </c>
      <c r="D468" s="65">
        <v>1</v>
      </c>
      <c r="E468" s="66">
        <v>43821</v>
      </c>
      <c r="F468" s="13" t="str">
        <f>HYPERLINK("https://inet.detik.com/cyberlife/d-4832087/orang-ini-mengaku-jelmaan-alien","sumber")</f>
        <v>sumber</v>
      </c>
      <c r="G468" s="13" t="str">
        <f t="shared" si="58"/>
        <v>lokasi</v>
      </c>
      <c r="H468" s="65">
        <v>313</v>
      </c>
      <c r="I468" s="102">
        <v>2</v>
      </c>
      <c r="J468" s="11">
        <v>3</v>
      </c>
      <c r="K468" s="70" t="s">
        <v>1885</v>
      </c>
      <c r="L468" s="11">
        <v>0</v>
      </c>
      <c r="M468" s="11">
        <v>0</v>
      </c>
      <c r="N468" s="15">
        <v>0</v>
      </c>
      <c r="O468" s="11">
        <v>0</v>
      </c>
      <c r="P468" s="11">
        <v>0</v>
      </c>
      <c r="Q468" s="11">
        <v>2</v>
      </c>
      <c r="R468" s="11">
        <v>0</v>
      </c>
      <c r="S468" s="11"/>
      <c r="T468" s="11">
        <v>0</v>
      </c>
      <c r="U468" s="11">
        <v>0</v>
      </c>
      <c r="V468" s="11">
        <v>1</v>
      </c>
      <c r="W468" s="14"/>
      <c r="X468" s="14"/>
      <c r="Y468" s="14"/>
    </row>
    <row r="469" spans="1:25" ht="13.2">
      <c r="A469" s="73">
        <v>2</v>
      </c>
      <c r="B469" s="74" t="s">
        <v>1886</v>
      </c>
      <c r="C469" s="18">
        <v>469</v>
      </c>
      <c r="D469" s="75">
        <v>1</v>
      </c>
      <c r="E469" s="76">
        <v>43827</v>
      </c>
      <c r="F469" s="20" t="str">
        <f>HYPERLINK("https://hot.detik.com/movie/d-4838673/selain-home-alone-2-donald-trump-juga-tampil-di-film-ini--sabet-piala","sumber")</f>
        <v>sumber</v>
      </c>
      <c r="G469" s="99" t="s">
        <v>1</v>
      </c>
      <c r="H469" s="75">
        <v>894</v>
      </c>
      <c r="I469" s="103"/>
      <c r="J469" s="18">
        <v>3</v>
      </c>
      <c r="K469" s="92"/>
      <c r="L469" s="18"/>
      <c r="M469" s="18"/>
      <c r="N469" s="18"/>
      <c r="O469" s="18"/>
      <c r="P469" s="18"/>
      <c r="Q469" s="18"/>
      <c r="R469" s="18"/>
      <c r="S469" s="18"/>
      <c r="T469" s="18"/>
      <c r="U469" s="18"/>
      <c r="V469" s="18"/>
      <c r="W469" s="19"/>
      <c r="X469" s="19"/>
      <c r="Y469" s="19"/>
    </row>
    <row r="470" spans="1:25" ht="26.4">
      <c r="A470" s="69">
        <v>1</v>
      </c>
      <c r="B470" s="64" t="s">
        <v>1887</v>
      </c>
      <c r="C470" s="11">
        <v>470</v>
      </c>
      <c r="D470" s="65">
        <v>3</v>
      </c>
      <c r="E470" s="66">
        <v>43827</v>
      </c>
      <c r="F470" s="13" t="str">
        <f>HYPERLINK("https://celebrity.okezone.com/read/2019/12/28/33/2146880/sebut-istri-jerinx-sid-transgender-seorang-netizen-pria-minta-maaf","sumber")</f>
        <v>sumber</v>
      </c>
      <c r="G470" s="13" t="str">
        <f t="shared" ref="G470:G476" si="59">HYPERLINK("https://drive.google.com/open?id=15K5sriRJOw0JTPqD9yRZzl0fwZcfdV8X","lokasi")</f>
        <v>lokasi</v>
      </c>
      <c r="H470" s="65">
        <v>260</v>
      </c>
      <c r="I470" s="102">
        <v>1</v>
      </c>
      <c r="J470" s="11">
        <v>3</v>
      </c>
      <c r="K470" s="70" t="s">
        <v>1888</v>
      </c>
      <c r="L470" s="11">
        <v>0</v>
      </c>
      <c r="M470" s="11">
        <v>1</v>
      </c>
      <c r="N470" s="15">
        <v>0</v>
      </c>
      <c r="O470" s="11">
        <v>0</v>
      </c>
      <c r="P470" s="11">
        <v>0</v>
      </c>
      <c r="Q470" s="11" t="s">
        <v>29</v>
      </c>
      <c r="R470" s="11" t="s">
        <v>30</v>
      </c>
      <c r="S470" s="11"/>
      <c r="T470" s="11">
        <v>0</v>
      </c>
      <c r="U470" s="11">
        <v>0</v>
      </c>
      <c r="V470" s="11">
        <v>0</v>
      </c>
      <c r="W470" s="14"/>
      <c r="X470" s="14"/>
      <c r="Y470" s="14"/>
    </row>
    <row r="471" spans="1:25" ht="13.2">
      <c r="A471" s="69">
        <v>1</v>
      </c>
      <c r="B471" s="64" t="s">
        <v>1889</v>
      </c>
      <c r="C471" s="11">
        <v>471</v>
      </c>
      <c r="D471" s="65">
        <v>7</v>
      </c>
      <c r="E471" s="66">
        <v>43827</v>
      </c>
      <c r="F471" s="13" t="str">
        <f>HYPERLINK("https://www.tribunnews.com/internasional/2019/12/28/kaleidoskop-2019-terpisah-30-tahun-lalu-wanita-ini-dapati-kenyataan-sang-anak-jadi-transgender","sumber")</f>
        <v>sumber</v>
      </c>
      <c r="G471" s="13" t="str">
        <f t="shared" si="59"/>
        <v>lokasi</v>
      </c>
      <c r="H471" s="65">
        <v>158</v>
      </c>
      <c r="I471" s="102">
        <v>2</v>
      </c>
      <c r="J471" s="11">
        <v>3</v>
      </c>
      <c r="K471" s="70" t="s">
        <v>1890</v>
      </c>
      <c r="L471" s="11">
        <v>0</v>
      </c>
      <c r="M471" s="11">
        <v>0</v>
      </c>
      <c r="N471" s="15">
        <v>0</v>
      </c>
      <c r="O471" s="11">
        <v>0</v>
      </c>
      <c r="P471" s="11">
        <v>-1</v>
      </c>
      <c r="Q471" s="11">
        <v>0</v>
      </c>
      <c r="R471" s="11">
        <v>0</v>
      </c>
      <c r="S471" s="11"/>
      <c r="T471" s="11">
        <v>0</v>
      </c>
      <c r="U471" s="11">
        <v>0</v>
      </c>
      <c r="V471" s="11">
        <v>1</v>
      </c>
      <c r="W471" s="14"/>
      <c r="X471" s="14"/>
      <c r="Y471" s="14"/>
    </row>
    <row r="472" spans="1:25" ht="13.2">
      <c r="A472" s="69">
        <v>1</v>
      </c>
      <c r="B472" s="64" t="s">
        <v>1891</v>
      </c>
      <c r="C472" s="11">
        <v>472</v>
      </c>
      <c r="D472" s="65">
        <v>4</v>
      </c>
      <c r="E472" s="66">
        <v>43828</v>
      </c>
      <c r="F472" s="13" t="str">
        <f>HYPERLINK("https://www.liputan6.com/showbiz/read/4143409/lucinta-luna-lakukan-oplas-habiskan-uang-miliaran","sumber")</f>
        <v>sumber</v>
      </c>
      <c r="G472" s="13" t="str">
        <f t="shared" si="59"/>
        <v>lokasi</v>
      </c>
      <c r="H472" s="65">
        <v>239</v>
      </c>
      <c r="I472" s="102">
        <v>2</v>
      </c>
      <c r="J472" s="11">
        <v>3</v>
      </c>
      <c r="K472" s="70" t="s">
        <v>1428</v>
      </c>
      <c r="L472" s="11">
        <v>0</v>
      </c>
      <c r="M472" s="11">
        <v>0</v>
      </c>
      <c r="N472" s="15">
        <v>0</v>
      </c>
      <c r="O472" s="11">
        <v>0</v>
      </c>
      <c r="P472" s="11">
        <v>0</v>
      </c>
      <c r="Q472" s="11">
        <v>0</v>
      </c>
      <c r="R472" s="11">
        <v>0</v>
      </c>
      <c r="S472" s="11"/>
      <c r="T472" s="11">
        <v>0</v>
      </c>
      <c r="U472" s="11">
        <v>-1</v>
      </c>
      <c r="V472" s="11">
        <v>0</v>
      </c>
      <c r="W472" s="14"/>
      <c r="X472" s="14"/>
      <c r="Y472" s="14"/>
    </row>
    <row r="473" spans="1:25" ht="13.2">
      <c r="A473" s="69">
        <v>1</v>
      </c>
      <c r="B473" s="64" t="s">
        <v>1892</v>
      </c>
      <c r="C473" s="11">
        <v>473</v>
      </c>
      <c r="D473" s="65">
        <v>2</v>
      </c>
      <c r="E473" s="66">
        <v>43744</v>
      </c>
      <c r="F473" s="13" t="str">
        <f>HYPERLINK("https://www.cnnindonesia.com/internasional/20191006130526-120-437185/masalah-rumah-tangga-perempuan-wni-di-kuwait-dibakar-suami","sumber")</f>
        <v>sumber</v>
      </c>
      <c r="G473" s="13" t="str">
        <f t="shared" si="59"/>
        <v>lokasi</v>
      </c>
      <c r="H473" s="65">
        <v>200</v>
      </c>
      <c r="I473" s="102">
        <v>1</v>
      </c>
      <c r="J473" s="11">
        <v>1</v>
      </c>
      <c r="K473" s="70"/>
      <c r="L473" s="11">
        <v>0</v>
      </c>
      <c r="M473" s="28">
        <v>0</v>
      </c>
      <c r="N473" s="15">
        <v>0</v>
      </c>
      <c r="O473" s="11">
        <v>0</v>
      </c>
      <c r="P473" s="11">
        <v>0</v>
      </c>
      <c r="Q473" s="11"/>
      <c r="R473" s="11"/>
      <c r="S473" s="11"/>
      <c r="T473" s="11">
        <v>0</v>
      </c>
      <c r="U473" s="11">
        <v>0</v>
      </c>
      <c r="V473" s="11">
        <v>1</v>
      </c>
      <c r="W473" s="14"/>
      <c r="X473" s="14"/>
      <c r="Y473" s="14"/>
    </row>
    <row r="474" spans="1:25" ht="26.4">
      <c r="A474" s="69">
        <v>1</v>
      </c>
      <c r="B474" s="64" t="s">
        <v>1893</v>
      </c>
      <c r="C474" s="11">
        <v>474</v>
      </c>
      <c r="D474" s="65">
        <v>6</v>
      </c>
      <c r="E474" s="66">
        <v>43744</v>
      </c>
      <c r="F474" s="13" t="str">
        <f>HYPERLINK("https://regional.kompas.com/read/2019/10/06/17543331/pria-ini-sudah-rencanakan-perkosa-istri-teman-sendiri","sumber")</f>
        <v>sumber</v>
      </c>
      <c r="G474" s="13" t="str">
        <f t="shared" si="59"/>
        <v>lokasi</v>
      </c>
      <c r="H474" s="65">
        <v>92</v>
      </c>
      <c r="I474" s="102">
        <v>1</v>
      </c>
      <c r="J474" s="11">
        <v>1</v>
      </c>
      <c r="K474" s="70" t="s">
        <v>1894</v>
      </c>
      <c r="L474" s="11">
        <v>0</v>
      </c>
      <c r="M474" s="28">
        <v>0</v>
      </c>
      <c r="N474" s="15">
        <v>0</v>
      </c>
      <c r="O474" s="11">
        <v>1</v>
      </c>
      <c r="P474" s="11">
        <v>0</v>
      </c>
      <c r="Q474" s="11">
        <v>0</v>
      </c>
      <c r="R474" s="11">
        <v>0</v>
      </c>
      <c r="S474" s="11" t="s">
        <v>1895</v>
      </c>
      <c r="T474" s="11">
        <v>1</v>
      </c>
      <c r="U474" s="11">
        <v>0</v>
      </c>
      <c r="V474" s="11">
        <v>1</v>
      </c>
      <c r="W474" s="14"/>
      <c r="X474" s="14"/>
      <c r="Y474" s="14"/>
    </row>
    <row r="475" spans="1:25" ht="26.4">
      <c r="A475" s="69">
        <v>1</v>
      </c>
      <c r="B475" s="64" t="s">
        <v>1896</v>
      </c>
      <c r="C475" s="11">
        <v>475</v>
      </c>
      <c r="D475" s="65">
        <v>6</v>
      </c>
      <c r="E475" s="66">
        <v>43746</v>
      </c>
      <c r="F475" s="13" t="str">
        <f>HYPERLINK("https://internasional.kompas.com/read/2019/10/08/20573781/temukan-rambut-di-sarapannya-pria-bangladesh-gunduli-kepala-istri","sumber")</f>
        <v>sumber</v>
      </c>
      <c r="G475" s="13" t="str">
        <f t="shared" si="59"/>
        <v>lokasi</v>
      </c>
      <c r="H475" s="65">
        <v>228</v>
      </c>
      <c r="I475" s="102">
        <v>1</v>
      </c>
      <c r="J475" s="11">
        <v>1</v>
      </c>
      <c r="K475" s="70" t="s">
        <v>1897</v>
      </c>
      <c r="L475" s="11">
        <v>0</v>
      </c>
      <c r="M475" s="28">
        <v>0</v>
      </c>
      <c r="N475" s="15">
        <v>0</v>
      </c>
      <c r="O475" s="11">
        <v>0</v>
      </c>
      <c r="P475" s="11">
        <v>0</v>
      </c>
      <c r="Q475" s="11">
        <v>0</v>
      </c>
      <c r="R475" s="11">
        <v>0</v>
      </c>
      <c r="S475" s="11"/>
      <c r="T475" s="11">
        <v>0</v>
      </c>
      <c r="U475" s="11">
        <v>0</v>
      </c>
      <c r="V475" s="11">
        <v>1</v>
      </c>
      <c r="W475" s="14"/>
      <c r="X475" s="14"/>
      <c r="Y475" s="14"/>
    </row>
    <row r="476" spans="1:25" ht="79.2">
      <c r="A476" s="69">
        <v>1</v>
      </c>
      <c r="B476" s="64" t="s">
        <v>1898</v>
      </c>
      <c r="C476" s="11">
        <v>476</v>
      </c>
      <c r="D476" s="65">
        <v>2</v>
      </c>
      <c r="E476" s="66">
        <v>43747</v>
      </c>
      <c r="F476" s="13" t="str">
        <f>HYPERLINK("https://www.cnnindonesia.com/nasional/20191008195442-20-437883/aksi-surabayamenggugat-akan-digelar-lagi-tuntut-perppu-kpk","sumber")</f>
        <v>sumber</v>
      </c>
      <c r="G476" s="13" t="str">
        <f t="shared" si="59"/>
        <v>lokasi</v>
      </c>
      <c r="H476" s="65">
        <v>494</v>
      </c>
      <c r="I476" s="102">
        <v>3</v>
      </c>
      <c r="J476" s="11">
        <v>1</v>
      </c>
      <c r="K476" s="70" t="s">
        <v>1899</v>
      </c>
      <c r="L476" s="11">
        <v>0</v>
      </c>
      <c r="M476" s="11">
        <v>0</v>
      </c>
      <c r="N476" s="15">
        <v>0</v>
      </c>
      <c r="O476" s="11">
        <v>0</v>
      </c>
      <c r="P476" s="11">
        <v>0</v>
      </c>
      <c r="Q476" s="11" t="s">
        <v>29</v>
      </c>
      <c r="R476" s="11" t="s">
        <v>160</v>
      </c>
      <c r="S476" s="11"/>
      <c r="T476" s="11">
        <v>0</v>
      </c>
      <c r="U476" s="11">
        <v>0</v>
      </c>
      <c r="V476" s="11">
        <v>1</v>
      </c>
      <c r="W476" s="14"/>
      <c r="X476" s="14"/>
      <c r="Y476" s="14"/>
    </row>
    <row r="477" spans="1:25" ht="13.2">
      <c r="A477" s="73">
        <v>2</v>
      </c>
      <c r="B477" s="74" t="s">
        <v>1900</v>
      </c>
      <c r="C477" s="18">
        <v>477</v>
      </c>
      <c r="D477" s="75">
        <v>6</v>
      </c>
      <c r="E477" s="76">
        <v>43747</v>
      </c>
      <c r="F477" s="20" t="str">
        <f>HYPERLINK("https://bola.kompas.com/read/2019/10/09/17000058/uang-jadi-penyebab-kondisi-conor-mcgregor-kian-terpuruk","sumber")</f>
        <v>sumber</v>
      </c>
      <c r="G477" s="99" t="s">
        <v>1</v>
      </c>
      <c r="H477" s="75">
        <v>223</v>
      </c>
      <c r="I477" s="103"/>
      <c r="J477" s="18">
        <v>1</v>
      </c>
      <c r="K477" s="92"/>
      <c r="L477" s="18"/>
      <c r="M477" s="18"/>
      <c r="N477" s="18"/>
      <c r="O477" s="18"/>
      <c r="P477" s="18"/>
      <c r="Q477" s="18"/>
      <c r="R477" s="18"/>
      <c r="S477" s="18"/>
      <c r="T477" s="18"/>
      <c r="U477" s="18"/>
      <c r="V477" s="18"/>
      <c r="W477" s="19"/>
      <c r="X477" s="19"/>
      <c r="Y477" s="19"/>
    </row>
    <row r="478" spans="1:25" ht="52.8">
      <c r="A478" s="69">
        <v>1</v>
      </c>
      <c r="B478" s="64" t="s">
        <v>1004</v>
      </c>
      <c r="C478" s="11">
        <v>478</v>
      </c>
      <c r="D478" s="65">
        <v>3</v>
      </c>
      <c r="E478" s="66">
        <v>43747</v>
      </c>
      <c r="F478" s="13" t="str">
        <f>HYPERLINK("https://news.okezone.com/read/2019/10/09/525/2114546/gadis-remaja-digilir-3-pria-paruh-baya-termasuk-pamannya-sendiri","sumber")</f>
        <v>sumber</v>
      </c>
      <c r="G478" s="13" t="str">
        <f>HYPERLINK("https://drive.google.com/open?id=15K5sriRJOw0JTPqD9yRZzl0fwZcfdV8X","lokasi")</f>
        <v>lokasi</v>
      </c>
      <c r="H478" s="65">
        <v>406</v>
      </c>
      <c r="I478" s="102">
        <v>1</v>
      </c>
      <c r="J478" s="11">
        <v>1</v>
      </c>
      <c r="K478" s="70" t="s">
        <v>1005</v>
      </c>
      <c r="L478" s="11">
        <v>0</v>
      </c>
      <c r="M478" s="28">
        <v>0</v>
      </c>
      <c r="N478" s="15">
        <v>0</v>
      </c>
      <c r="O478" s="11">
        <v>-1</v>
      </c>
      <c r="P478" s="11">
        <v>-1</v>
      </c>
      <c r="Q478" s="11">
        <v>0</v>
      </c>
      <c r="R478" s="11">
        <v>0</v>
      </c>
      <c r="S478" s="11" t="s">
        <v>1901</v>
      </c>
      <c r="T478" s="11">
        <v>5</v>
      </c>
      <c r="U478" s="11">
        <v>-1</v>
      </c>
      <c r="V478" s="11">
        <v>1</v>
      </c>
      <c r="W478" s="14"/>
      <c r="X478" s="14"/>
      <c r="Y478" s="14"/>
    </row>
    <row r="479" spans="1:25" ht="13.2">
      <c r="A479" s="73">
        <v>2</v>
      </c>
      <c r="B479" s="74" t="s">
        <v>1902</v>
      </c>
      <c r="C479" s="18">
        <v>479</v>
      </c>
      <c r="D479" s="75">
        <v>5</v>
      </c>
      <c r="E479" s="76">
        <v>43748</v>
      </c>
      <c r="F479" s="20" t="str">
        <f>HYPERLINK("https://tirto.id/10-oktober-adalah-hari-kesehatan-jiwa-dan-anti-hukuman-mati-sedunia-ejvr","sumber")</f>
        <v>sumber</v>
      </c>
      <c r="G479" s="99" t="s">
        <v>1</v>
      </c>
      <c r="H479" s="75">
        <v>660</v>
      </c>
      <c r="I479" s="103"/>
      <c r="J479" s="18">
        <v>1</v>
      </c>
      <c r="K479" s="92"/>
      <c r="L479" s="18"/>
      <c r="M479" s="18"/>
      <c r="N479" s="18"/>
      <c r="O479" s="18"/>
      <c r="P479" s="18"/>
      <c r="Q479" s="18"/>
      <c r="R479" s="18"/>
      <c r="S479" s="18"/>
      <c r="T479" s="18"/>
      <c r="U479" s="18"/>
      <c r="V479" s="18"/>
      <c r="W479" s="19"/>
      <c r="X479" s="19"/>
      <c r="Y479" s="19"/>
    </row>
    <row r="480" spans="1:25" ht="52.8">
      <c r="A480" s="69">
        <v>1</v>
      </c>
      <c r="B480" s="64" t="s">
        <v>1903</v>
      </c>
      <c r="C480" s="11">
        <v>480</v>
      </c>
      <c r="D480" s="65">
        <v>8</v>
      </c>
      <c r="E480" s="66">
        <v>43783</v>
      </c>
      <c r="F480" s="13" t="str">
        <f>HYPERLINK("https://jatim.suara.com/read/2019/11/14/113614/dari-hobi-mengintip-ayah-kandung-tiap-malam-cabuli-anak-gadisnya","sumber")</f>
        <v>sumber</v>
      </c>
      <c r="G480" s="13" t="str">
        <f t="shared" ref="G480:G487" si="60">HYPERLINK("https://drive.google.com/open?id=15K5sriRJOw0JTPqD9yRZzl0fwZcfdV8X","lokasi")</f>
        <v>lokasi</v>
      </c>
      <c r="H480" s="65">
        <v>315</v>
      </c>
      <c r="I480" s="102">
        <v>1</v>
      </c>
      <c r="J480" s="11">
        <v>1</v>
      </c>
      <c r="K480" s="70" t="s">
        <v>1904</v>
      </c>
      <c r="L480" s="11">
        <v>0</v>
      </c>
      <c r="M480" s="28">
        <v>0</v>
      </c>
      <c r="N480" s="11">
        <v>-1</v>
      </c>
      <c r="O480" s="11">
        <v>-1</v>
      </c>
      <c r="P480" s="11">
        <v>-1</v>
      </c>
      <c r="Q480" s="11">
        <v>0</v>
      </c>
      <c r="R480" s="11">
        <v>-1</v>
      </c>
      <c r="S480" s="11" t="s">
        <v>1905</v>
      </c>
      <c r="T480" s="11">
        <v>2</v>
      </c>
      <c r="U480" s="11">
        <v>0</v>
      </c>
      <c r="V480" s="11">
        <v>1</v>
      </c>
      <c r="W480" s="14"/>
      <c r="X480" s="14"/>
      <c r="Y480" s="14"/>
    </row>
    <row r="481" spans="1:25" ht="105.6">
      <c r="A481" s="69">
        <v>1</v>
      </c>
      <c r="B481" s="64" t="s">
        <v>1906</v>
      </c>
      <c r="C481" s="11">
        <v>481</v>
      </c>
      <c r="D481" s="65">
        <v>5</v>
      </c>
      <c r="E481" s="66">
        <v>43788</v>
      </c>
      <c r="F481" s="13" t="str">
        <f>HYPERLINK("https://tirto.id/sertifikasi-pernikahan-bukan-syarat-wajib-bagi-calon-pengantin-elX8","sumber")</f>
        <v>sumber</v>
      </c>
      <c r="G481" s="13" t="str">
        <f t="shared" si="60"/>
        <v>lokasi</v>
      </c>
      <c r="H481" s="65">
        <v>411</v>
      </c>
      <c r="I481" s="102">
        <v>4</v>
      </c>
      <c r="J481" s="11">
        <v>1</v>
      </c>
      <c r="K481" s="70" t="s">
        <v>1907</v>
      </c>
      <c r="L481" s="11">
        <v>0</v>
      </c>
      <c r="M481" s="11">
        <v>0</v>
      </c>
      <c r="N481" s="15">
        <v>0</v>
      </c>
      <c r="O481" s="11">
        <v>0</v>
      </c>
      <c r="P481" s="11">
        <v>0</v>
      </c>
      <c r="Q481" s="11" t="s">
        <v>1833</v>
      </c>
      <c r="R481" s="11" t="s">
        <v>1833</v>
      </c>
      <c r="S481" s="11"/>
      <c r="T481" s="11">
        <v>0</v>
      </c>
      <c r="U481" s="11">
        <v>0</v>
      </c>
      <c r="V481" s="11">
        <v>1</v>
      </c>
      <c r="W481" s="14"/>
      <c r="X481" s="14"/>
      <c r="Y481" s="14"/>
    </row>
    <row r="482" spans="1:25" ht="39.6">
      <c r="A482" s="69">
        <v>1</v>
      </c>
      <c r="B482" s="64" t="s">
        <v>1908</v>
      </c>
      <c r="C482" s="11">
        <v>482</v>
      </c>
      <c r="D482" s="65">
        <v>7</v>
      </c>
      <c r="E482" s="66">
        <v>43788</v>
      </c>
      <c r="F482" s="13" t="str">
        <f>HYPERLINK("https://www.tribunnews.com/lifestyle/2019/11/19/viral-pelemparan-sperma-di-tasikmalaya-ini-pandangan-pengamat","sumber")</f>
        <v>sumber</v>
      </c>
      <c r="G482" s="13" t="str">
        <f t="shared" si="60"/>
        <v>lokasi</v>
      </c>
      <c r="H482" s="65">
        <v>164</v>
      </c>
      <c r="I482" s="102">
        <v>1</v>
      </c>
      <c r="J482" s="11">
        <v>1</v>
      </c>
      <c r="K482" s="70" t="s">
        <v>1909</v>
      </c>
      <c r="L482" s="11">
        <v>0</v>
      </c>
      <c r="M482" s="28">
        <v>0</v>
      </c>
      <c r="N482" s="15">
        <v>0</v>
      </c>
      <c r="O482" s="11">
        <v>0</v>
      </c>
      <c r="P482" s="11">
        <v>-1</v>
      </c>
      <c r="Q482" s="11">
        <v>0</v>
      </c>
      <c r="R482" s="11">
        <v>1</v>
      </c>
      <c r="S482" s="11"/>
      <c r="T482" s="11">
        <v>0</v>
      </c>
      <c r="U482" s="11">
        <v>0</v>
      </c>
      <c r="V482" s="11">
        <v>1</v>
      </c>
      <c r="W482" s="14"/>
      <c r="X482" s="14"/>
      <c r="Y482" s="14"/>
    </row>
    <row r="483" spans="1:25" ht="39.6">
      <c r="A483" s="69">
        <v>1</v>
      </c>
      <c r="B483" s="64" t="s">
        <v>1910</v>
      </c>
      <c r="C483" s="11">
        <v>483</v>
      </c>
      <c r="D483" s="65">
        <v>6</v>
      </c>
      <c r="E483" s="66">
        <v>43789</v>
      </c>
      <c r="F483" s="13" t="str">
        <f>HYPERLINK("https://regional.kompas.com/read/2019/11/20/14184521/mengenal-sejarah-lokalisasi-prostitusi-tertua-di-kendal-yang-baru-ditutup","sumber")</f>
        <v>sumber</v>
      </c>
      <c r="G483" s="13" t="str">
        <f t="shared" si="60"/>
        <v>lokasi</v>
      </c>
      <c r="H483" s="65">
        <v>158</v>
      </c>
      <c r="I483" s="102">
        <v>2</v>
      </c>
      <c r="J483" s="11">
        <v>1</v>
      </c>
      <c r="K483" s="70" t="s">
        <v>1911</v>
      </c>
      <c r="L483" s="11">
        <v>0</v>
      </c>
      <c r="M483" s="11">
        <v>0</v>
      </c>
      <c r="N483" s="15">
        <v>0</v>
      </c>
      <c r="O483" s="11">
        <v>0</v>
      </c>
      <c r="P483" s="11">
        <v>0</v>
      </c>
      <c r="Q483" s="11" t="s">
        <v>29</v>
      </c>
      <c r="R483" s="11" t="s">
        <v>29</v>
      </c>
      <c r="S483" s="11"/>
      <c r="T483" s="11">
        <v>0</v>
      </c>
      <c r="U483" s="11">
        <v>0</v>
      </c>
      <c r="V483" s="11">
        <v>1</v>
      </c>
      <c r="W483" s="14"/>
      <c r="X483" s="14"/>
      <c r="Y483" s="14"/>
    </row>
    <row r="484" spans="1:25" ht="105.6">
      <c r="A484" s="80">
        <v>1</v>
      </c>
      <c r="B484" s="81" t="s">
        <v>1912</v>
      </c>
      <c r="C484" s="82">
        <v>484</v>
      </c>
      <c r="D484" s="83">
        <v>3</v>
      </c>
      <c r="E484" s="84">
        <v>43747</v>
      </c>
      <c r="F484" s="85" t="str">
        <f>HYPERLINK("https://nasional.okezone.com/read/2019/10/09/337/2114746/kekerasan-seksual-terus-melonjak-ruu-pks-harus-segera-disahkan","sumber")</f>
        <v>sumber</v>
      </c>
      <c r="G484" s="85" t="str">
        <f t="shared" si="60"/>
        <v>lokasi</v>
      </c>
      <c r="H484" s="83">
        <v>363</v>
      </c>
      <c r="I484" s="104">
        <v>4</v>
      </c>
      <c r="J484" s="82">
        <v>1</v>
      </c>
      <c r="K484" s="87" t="s">
        <v>1913</v>
      </c>
      <c r="L484" s="82">
        <v>0</v>
      </c>
      <c r="M484" s="82">
        <v>0</v>
      </c>
      <c r="N484" s="82">
        <v>0</v>
      </c>
      <c r="O484" s="82">
        <v>0</v>
      </c>
      <c r="P484" s="82">
        <v>0</v>
      </c>
      <c r="Q484" s="82" t="s">
        <v>21</v>
      </c>
      <c r="R484" s="82" t="s">
        <v>360</v>
      </c>
      <c r="S484" s="82"/>
      <c r="T484" s="82">
        <v>0</v>
      </c>
      <c r="U484" s="82">
        <v>0</v>
      </c>
      <c r="V484" s="82">
        <v>1</v>
      </c>
      <c r="W484" s="90"/>
      <c r="X484" s="90"/>
      <c r="Y484" s="90"/>
    </row>
    <row r="485" spans="1:25" ht="26.4">
      <c r="A485" s="69">
        <v>1</v>
      </c>
      <c r="B485" s="64" t="s">
        <v>1914</v>
      </c>
      <c r="C485" s="11">
        <v>485</v>
      </c>
      <c r="D485" s="65">
        <v>2</v>
      </c>
      <c r="E485" s="66">
        <v>43790</v>
      </c>
      <c r="F485" s="13" t="str">
        <f>HYPERLINK("https://www.cnnindonesia.com/internasional/20191121080001-134-450184/kasus-pemerkosaan-julian-assange-sampai-sistem-rudal-iran","sumber")</f>
        <v>sumber</v>
      </c>
      <c r="G485" s="13" t="str">
        <f t="shared" si="60"/>
        <v>lokasi</v>
      </c>
      <c r="H485" s="65">
        <v>491</v>
      </c>
      <c r="I485" s="102">
        <v>1</v>
      </c>
      <c r="J485" s="11">
        <v>1</v>
      </c>
      <c r="K485" s="70" t="s">
        <v>1915</v>
      </c>
      <c r="L485" s="11">
        <v>0</v>
      </c>
      <c r="M485" s="28">
        <v>0</v>
      </c>
      <c r="N485" s="11">
        <v>0</v>
      </c>
      <c r="O485" s="11">
        <v>0</v>
      </c>
      <c r="P485" s="11">
        <v>0</v>
      </c>
      <c r="Q485" s="11">
        <v>0</v>
      </c>
      <c r="R485" s="11">
        <v>-1</v>
      </c>
      <c r="S485" s="11"/>
      <c r="T485" s="11">
        <v>0</v>
      </c>
      <c r="U485" s="11">
        <v>0</v>
      </c>
      <c r="V485" s="11">
        <v>1</v>
      </c>
      <c r="W485" s="14"/>
      <c r="X485" s="14"/>
      <c r="Y485" s="14"/>
    </row>
    <row r="486" spans="1:25" ht="92.4">
      <c r="A486" s="69">
        <v>1</v>
      </c>
      <c r="B486" s="64" t="s">
        <v>1916</v>
      </c>
      <c r="C486" s="11">
        <v>486</v>
      </c>
      <c r="D486" s="65">
        <v>3</v>
      </c>
      <c r="E486" s="66">
        <v>43791</v>
      </c>
      <c r="F486" s="13" t="str">
        <f>HYPERLINK("https://news.okezone.com/read/2019/11/22/18/2133211/jerman-berencana-menggunakan-foto-pornografi-anak-palsu-untuk-menjerat-pedofil","sumber")</f>
        <v>sumber</v>
      </c>
      <c r="G486" s="13" t="str">
        <f t="shared" si="60"/>
        <v>lokasi</v>
      </c>
      <c r="H486" s="65">
        <v>347</v>
      </c>
      <c r="I486" s="102">
        <v>4</v>
      </c>
      <c r="J486" s="11">
        <v>1</v>
      </c>
      <c r="K486" s="70" t="s">
        <v>1917</v>
      </c>
      <c r="L486" s="11">
        <v>0</v>
      </c>
      <c r="M486" s="11">
        <v>0</v>
      </c>
      <c r="N486" s="11">
        <v>0</v>
      </c>
      <c r="O486" s="11">
        <v>0</v>
      </c>
      <c r="P486" s="11">
        <v>0</v>
      </c>
      <c r="Q486" s="11" t="s">
        <v>21</v>
      </c>
      <c r="R486" s="11" t="s">
        <v>1552</v>
      </c>
      <c r="S486" s="11"/>
      <c r="T486" s="11">
        <v>0</v>
      </c>
      <c r="U486" s="11">
        <v>0</v>
      </c>
      <c r="V486" s="11">
        <v>1</v>
      </c>
      <c r="W486" s="14"/>
      <c r="X486" s="14"/>
      <c r="Y486" s="14"/>
    </row>
    <row r="487" spans="1:25" ht="66">
      <c r="A487" s="69">
        <v>1</v>
      </c>
      <c r="B487" s="64" t="s">
        <v>1918</v>
      </c>
      <c r="C487" s="11">
        <v>487</v>
      </c>
      <c r="D487" s="65">
        <v>7</v>
      </c>
      <c r="E487" s="66">
        <v>43792</v>
      </c>
      <c r="F487" s="13" t="str">
        <f>HYPERLINK("https://www.tribunnews.com/internasional/2019/11/23/911-sempat-abaikan-perempuan-yang-pesan-pizza-akhirnya-selamatkan-ibu-yang-jadi-korban-kdrt","sumber")</f>
        <v>sumber</v>
      </c>
      <c r="G487" s="13" t="str">
        <f t="shared" si="60"/>
        <v>lokasi</v>
      </c>
      <c r="H487" s="65">
        <v>219</v>
      </c>
      <c r="I487" s="102">
        <v>1</v>
      </c>
      <c r="J487" s="11">
        <v>1</v>
      </c>
      <c r="K487" s="70" t="s">
        <v>1919</v>
      </c>
      <c r="L487" s="11">
        <v>0</v>
      </c>
      <c r="M487" s="28">
        <v>0</v>
      </c>
      <c r="N487" s="11">
        <v>0</v>
      </c>
      <c r="O487" s="11">
        <v>0</v>
      </c>
      <c r="P487" s="11">
        <v>0</v>
      </c>
      <c r="Q487" s="11" t="s">
        <v>29</v>
      </c>
      <c r="R487" s="11" t="s">
        <v>29</v>
      </c>
      <c r="S487" s="11"/>
      <c r="T487" s="11">
        <v>0</v>
      </c>
      <c r="U487" s="11">
        <v>0</v>
      </c>
      <c r="V487" s="11">
        <v>1</v>
      </c>
      <c r="W487" s="14"/>
      <c r="X487" s="14"/>
      <c r="Y487" s="14"/>
    </row>
    <row r="488" spans="1:25" ht="13.2">
      <c r="A488" s="73">
        <v>2</v>
      </c>
      <c r="B488" s="74" t="s">
        <v>1920</v>
      </c>
      <c r="C488" s="18">
        <v>488</v>
      </c>
      <c r="D488" s="75">
        <v>4</v>
      </c>
      <c r="E488" s="76">
        <v>43793</v>
      </c>
      <c r="F488" s="20" t="str">
        <f>HYPERLINK("https://www.liputan6.com/global/read/4118229/instagram-dituduh-hapus-sejumlah-akun-bintang-porno-diskriminatif-atau","sumber")</f>
        <v>sumber</v>
      </c>
      <c r="G488" s="99" t="s">
        <v>1</v>
      </c>
      <c r="H488" s="75">
        <v>1075</v>
      </c>
      <c r="I488" s="103"/>
      <c r="J488" s="18">
        <v>1</v>
      </c>
      <c r="K488" s="92"/>
      <c r="L488" s="18"/>
      <c r="M488" s="18"/>
      <c r="N488" s="18"/>
      <c r="O488" s="18"/>
      <c r="P488" s="18"/>
      <c r="Q488" s="18"/>
      <c r="R488" s="18"/>
      <c r="S488" s="18"/>
      <c r="T488" s="18"/>
      <c r="U488" s="18"/>
      <c r="V488" s="18"/>
      <c r="W488" s="19"/>
      <c r="X488" s="19"/>
      <c r="Y488" s="19"/>
    </row>
    <row r="489" spans="1:25" ht="13.2">
      <c r="A489" s="73">
        <v>2</v>
      </c>
      <c r="B489" s="74" t="s">
        <v>1921</v>
      </c>
      <c r="C489" s="18">
        <v>489</v>
      </c>
      <c r="D489" s="75">
        <v>9</v>
      </c>
      <c r="E489" s="76">
        <v>43793</v>
      </c>
      <c r="F489" s="20" t="str">
        <f>HYPERLINK("https://senggang.republika.co.id/berita/q1hdnc194978901219000/kisah-hidup-michael-jackson-akan-diangkat-ke-layar-lebar","sumber")</f>
        <v>sumber</v>
      </c>
      <c r="G489" s="99" t="s">
        <v>1</v>
      </c>
      <c r="H489" s="75">
        <v>272</v>
      </c>
      <c r="I489" s="103"/>
      <c r="J489" s="18">
        <v>1</v>
      </c>
      <c r="K489" s="92"/>
      <c r="L489" s="18"/>
      <c r="M489" s="18"/>
      <c r="N489" s="18"/>
      <c r="O489" s="18"/>
      <c r="P489" s="18"/>
      <c r="Q489" s="18"/>
      <c r="R489" s="18"/>
      <c r="S489" s="18"/>
      <c r="T489" s="18"/>
      <c r="U489" s="18"/>
      <c r="V489" s="18"/>
      <c r="W489" s="19"/>
      <c r="X489" s="19"/>
      <c r="Y489" s="19"/>
    </row>
    <row r="490" spans="1:25" ht="13.2">
      <c r="A490" s="69">
        <v>1</v>
      </c>
      <c r="B490" s="64" t="s">
        <v>1922</v>
      </c>
      <c r="C490" s="11">
        <v>490</v>
      </c>
      <c r="D490" s="65">
        <v>2</v>
      </c>
      <c r="E490" s="66">
        <v>43794</v>
      </c>
      <c r="F490" s="13" t="str">
        <f>HYPERLINK("https://www.cnnindonesia.com/hiburan/20191125124327-234-451191/polisi-korea-rilis-hasil-penyelidikan-awal-kematian-goo-hara","sumber")</f>
        <v>sumber</v>
      </c>
      <c r="G490" s="13" t="str">
        <f t="shared" ref="G490:G499" si="61">HYPERLINK("https://drive.google.com/open?id=15K5sriRJOw0JTPqD9yRZzl0fwZcfdV8X","lokasi")</f>
        <v>lokasi</v>
      </c>
      <c r="H490" s="65">
        <v>482</v>
      </c>
      <c r="I490" s="102">
        <v>1</v>
      </c>
      <c r="J490" s="11">
        <v>1</v>
      </c>
      <c r="K490" s="70" t="s">
        <v>1923</v>
      </c>
      <c r="L490" s="11">
        <v>0</v>
      </c>
      <c r="M490" s="28">
        <v>0</v>
      </c>
      <c r="N490" s="11">
        <v>0</v>
      </c>
      <c r="O490" s="11">
        <v>0</v>
      </c>
      <c r="P490" s="11">
        <v>0</v>
      </c>
      <c r="Q490" s="11" t="s">
        <v>87</v>
      </c>
      <c r="R490" s="11" t="s">
        <v>29</v>
      </c>
      <c r="S490" s="11"/>
      <c r="T490" s="11">
        <v>0</v>
      </c>
      <c r="U490" s="11">
        <v>0</v>
      </c>
      <c r="V490" s="11">
        <v>1</v>
      </c>
      <c r="W490" s="14"/>
      <c r="X490" s="14"/>
      <c r="Y490" s="14"/>
    </row>
    <row r="491" spans="1:25" ht="52.8">
      <c r="A491" s="69">
        <v>1</v>
      </c>
      <c r="B491" s="64" t="s">
        <v>1924</v>
      </c>
      <c r="C491" s="11">
        <v>491</v>
      </c>
      <c r="D491" s="65">
        <v>1</v>
      </c>
      <c r="E491" s="66">
        <v>43794</v>
      </c>
      <c r="F491" s="13" t="str">
        <f>HYPERLINK("https://news.detik.com/abc-australia/d-4797448/saya-lahir-dan-besar-di-sydney-wanita-hamil-berjilbab-dipukuli-lalu-diinjak","sumber")</f>
        <v>sumber</v>
      </c>
      <c r="G491" s="13" t="str">
        <f t="shared" si="61"/>
        <v>lokasi</v>
      </c>
      <c r="H491" s="65">
        <v>691</v>
      </c>
      <c r="I491" s="102">
        <v>1</v>
      </c>
      <c r="J491" s="11">
        <v>1</v>
      </c>
      <c r="K491" s="70" t="s">
        <v>1925</v>
      </c>
      <c r="L491" s="11">
        <v>0</v>
      </c>
      <c r="M491" s="11">
        <v>1</v>
      </c>
      <c r="N491" s="11">
        <v>0</v>
      </c>
      <c r="O491" s="11">
        <v>0</v>
      </c>
      <c r="P491" s="11">
        <v>0</v>
      </c>
      <c r="Q491" s="11" t="s">
        <v>1926</v>
      </c>
      <c r="R491" s="11" t="s">
        <v>1046</v>
      </c>
      <c r="S491" s="11"/>
      <c r="T491" s="11">
        <v>0</v>
      </c>
      <c r="U491" s="11">
        <v>0</v>
      </c>
      <c r="V491" s="11">
        <v>1</v>
      </c>
      <c r="W491" s="14"/>
      <c r="X491" s="14"/>
      <c r="Y491" s="14"/>
    </row>
    <row r="492" spans="1:25" ht="13.2">
      <c r="A492" s="69">
        <v>1</v>
      </c>
      <c r="B492" s="105" t="s">
        <v>1927</v>
      </c>
      <c r="C492" s="11">
        <v>492</v>
      </c>
      <c r="D492" s="65">
        <v>3</v>
      </c>
      <c r="E492" s="66">
        <v>43788</v>
      </c>
      <c r="F492" s="13" t="str">
        <f>HYPERLINK("https://index.okezone.com/read/2019/11/19/612/2131707/kisah-pilu-remaja-13-tahun-hamil-diperkosa-6-pria-endingnya-tragis ","sumber")</f>
        <v>sumber</v>
      </c>
      <c r="G492" s="13" t="str">
        <f t="shared" si="61"/>
        <v>lokasi</v>
      </c>
      <c r="H492" s="65">
        <v>259</v>
      </c>
      <c r="I492" s="102">
        <v>1</v>
      </c>
      <c r="J492" s="11">
        <v>1</v>
      </c>
      <c r="K492" s="70"/>
      <c r="L492" s="11">
        <v>0</v>
      </c>
      <c r="M492" s="11">
        <v>-1</v>
      </c>
      <c r="N492" s="11">
        <v>-1</v>
      </c>
      <c r="O492" s="11">
        <v>0</v>
      </c>
      <c r="P492" s="11">
        <v>-1</v>
      </c>
      <c r="Q492" s="11"/>
      <c r="R492" s="11"/>
      <c r="S492" s="11"/>
      <c r="T492" s="11">
        <v>0</v>
      </c>
      <c r="U492" s="11">
        <v>0</v>
      </c>
      <c r="V492" s="11">
        <v>0</v>
      </c>
      <c r="W492" s="14"/>
      <c r="X492" s="14"/>
      <c r="Y492" s="14"/>
    </row>
    <row r="493" spans="1:25" ht="13.2">
      <c r="A493" s="69">
        <v>1</v>
      </c>
      <c r="B493" s="64" t="s">
        <v>1928</v>
      </c>
      <c r="C493" s="11">
        <v>493</v>
      </c>
      <c r="D493" s="65">
        <v>2</v>
      </c>
      <c r="E493" s="66">
        <v>43812</v>
      </c>
      <c r="F493" s="13" t="str">
        <f>HYPERLINK("https://www.cnnindonesia.com/hiburan/20191212201935-234-456503/kasus-pelecehan-harvey-weinstein-sepakat-ganti-rugi-rp350-m","sumber")</f>
        <v>sumber</v>
      </c>
      <c r="G493" s="13" t="str">
        <f t="shared" si="61"/>
        <v>lokasi</v>
      </c>
      <c r="H493" s="65">
        <v>345</v>
      </c>
      <c r="I493" s="102">
        <v>1</v>
      </c>
      <c r="J493" s="11">
        <v>1</v>
      </c>
      <c r="K493" s="70"/>
      <c r="L493" s="11">
        <v>0</v>
      </c>
      <c r="M493" s="28">
        <v>0</v>
      </c>
      <c r="N493" s="11">
        <v>0</v>
      </c>
      <c r="O493" s="11">
        <v>0</v>
      </c>
      <c r="P493" s="11">
        <v>-1</v>
      </c>
      <c r="Q493" s="11"/>
      <c r="R493" s="11"/>
      <c r="S493" s="11"/>
      <c r="T493" s="11">
        <v>0</v>
      </c>
      <c r="U493" s="11">
        <v>0</v>
      </c>
      <c r="V493" s="11">
        <v>1</v>
      </c>
      <c r="W493" s="14"/>
      <c r="X493" s="14"/>
      <c r="Y493" s="14"/>
    </row>
    <row r="494" spans="1:25" ht="26.4">
      <c r="A494" s="69">
        <v>1</v>
      </c>
      <c r="B494" s="64" t="s">
        <v>1929</v>
      </c>
      <c r="C494" s="11">
        <v>494</v>
      </c>
      <c r="D494" s="65">
        <v>3</v>
      </c>
      <c r="E494" s="66">
        <v>43813</v>
      </c>
      <c r="F494" s="13" t="str">
        <f>HYPERLINK("https://news.okezone.com/read/2019/12/13/525/2141774/bermodus-belikan-mainan-pemuda-sodomi-11-anak-di-cirebon","sumber")</f>
        <v>sumber</v>
      </c>
      <c r="G494" s="13" t="str">
        <f t="shared" si="61"/>
        <v>lokasi</v>
      </c>
      <c r="H494" s="65">
        <v>287</v>
      </c>
      <c r="I494" s="102">
        <v>1</v>
      </c>
      <c r="J494" s="11">
        <v>1</v>
      </c>
      <c r="K494" s="70" t="s">
        <v>1930</v>
      </c>
      <c r="L494" s="11">
        <v>0</v>
      </c>
      <c r="M494" s="28">
        <v>0</v>
      </c>
      <c r="N494" s="11">
        <v>0</v>
      </c>
      <c r="O494" s="11">
        <v>1</v>
      </c>
      <c r="P494" s="11">
        <v>0</v>
      </c>
      <c r="Q494" s="11">
        <v>0</v>
      </c>
      <c r="R494" s="11">
        <v>0</v>
      </c>
      <c r="S494" s="11" t="s">
        <v>1931</v>
      </c>
      <c r="T494" s="11">
        <v>1</v>
      </c>
      <c r="U494" s="11">
        <v>-1</v>
      </c>
      <c r="V494" s="11">
        <v>1</v>
      </c>
      <c r="W494" s="14"/>
      <c r="X494" s="14"/>
      <c r="Y494" s="14"/>
    </row>
    <row r="495" spans="1:25" ht="92.4">
      <c r="A495" s="69">
        <v>1</v>
      </c>
      <c r="B495" s="64" t="s">
        <v>1932</v>
      </c>
      <c r="C495" s="11">
        <v>495</v>
      </c>
      <c r="D495" s="65">
        <v>10</v>
      </c>
      <c r="E495" s="66">
        <v>43819</v>
      </c>
      <c r="F495" s="13" t="str">
        <f>HYPERLINK("https://metro.tempo.co/read/1286122/pakai-doa-doa-habib-husein-alatas-hipnotis-korban-pencabulannya","sumber")</f>
        <v>sumber</v>
      </c>
      <c r="G495" s="13" t="str">
        <f t="shared" si="61"/>
        <v>lokasi</v>
      </c>
      <c r="H495" s="65">
        <v>204</v>
      </c>
      <c r="I495" s="102">
        <v>1</v>
      </c>
      <c r="J495" s="11">
        <v>1</v>
      </c>
      <c r="K495" s="70" t="s">
        <v>1933</v>
      </c>
      <c r="L495" s="11">
        <v>0</v>
      </c>
      <c r="M495" s="28">
        <v>0</v>
      </c>
      <c r="N495" s="11">
        <v>0</v>
      </c>
      <c r="O495" s="11">
        <v>1</v>
      </c>
      <c r="P495" s="11">
        <v>0</v>
      </c>
      <c r="Q495" s="11" t="s">
        <v>29</v>
      </c>
      <c r="R495" s="11" t="s">
        <v>29</v>
      </c>
      <c r="S495" s="11"/>
      <c r="T495" s="11">
        <v>0</v>
      </c>
      <c r="U495" s="11">
        <v>0</v>
      </c>
      <c r="V495" s="11">
        <v>1</v>
      </c>
      <c r="W495" s="14"/>
      <c r="X495" s="14"/>
      <c r="Y495" s="14"/>
    </row>
    <row r="496" spans="1:25" ht="13.2">
      <c r="A496" s="80">
        <v>1</v>
      </c>
      <c r="B496" s="81" t="s">
        <v>1934</v>
      </c>
      <c r="C496" s="82">
        <v>496</v>
      </c>
      <c r="D496" s="83">
        <v>4</v>
      </c>
      <c r="E496" s="84">
        <v>43792</v>
      </c>
      <c r="F496" s="85" t="str">
        <f>HYPERLINK("https://www.liputan6.com/global/read/4117586/mundur-dari-tugas-kerajaan-inggris-pangeran-andrew-pindah-dari-istana","sumber")</f>
        <v>sumber</v>
      </c>
      <c r="G496" s="85" t="str">
        <f t="shared" si="61"/>
        <v>lokasi</v>
      </c>
      <c r="H496" s="83">
        <v>553</v>
      </c>
      <c r="I496" s="106">
        <v>2</v>
      </c>
      <c r="J496" s="88">
        <v>1</v>
      </c>
      <c r="K496" s="107" t="s">
        <v>1935</v>
      </c>
      <c r="L496" s="88">
        <v>0</v>
      </c>
      <c r="M496" s="88">
        <v>0</v>
      </c>
      <c r="N496" s="82">
        <v>0</v>
      </c>
      <c r="O496" s="88">
        <v>0</v>
      </c>
      <c r="P496" s="88">
        <v>0</v>
      </c>
      <c r="Q496" s="88">
        <v>0</v>
      </c>
      <c r="R496" s="88">
        <v>0</v>
      </c>
      <c r="S496" s="88"/>
      <c r="T496" s="88">
        <v>0</v>
      </c>
      <c r="U496" s="88">
        <v>0</v>
      </c>
      <c r="V496" s="88">
        <v>1</v>
      </c>
      <c r="W496" s="90"/>
      <c r="X496" s="90"/>
      <c r="Y496" s="90"/>
    </row>
    <row r="497" spans="1:25" ht="13.2">
      <c r="A497" s="69">
        <v>1</v>
      </c>
      <c r="B497" s="64" t="s">
        <v>1936</v>
      </c>
      <c r="C497" s="11">
        <v>497</v>
      </c>
      <c r="D497" s="65">
        <v>4</v>
      </c>
      <c r="E497" s="66">
        <v>43821</v>
      </c>
      <c r="F497" s="13" t="str">
        <f>HYPERLINK("https://hot.liputan6.com/read/4139731/kisah-pilu-wanita-alami-kdrt-leher-dirantai-di-kamar-agar-tak-kabur","sumber")</f>
        <v>sumber</v>
      </c>
      <c r="G497" s="13" t="str">
        <f t="shared" si="61"/>
        <v>lokasi</v>
      </c>
      <c r="H497" s="65">
        <v>347</v>
      </c>
      <c r="I497" s="108">
        <v>1</v>
      </c>
      <c r="J497" s="15">
        <v>1</v>
      </c>
      <c r="K497" s="109"/>
      <c r="L497" s="15">
        <v>0</v>
      </c>
      <c r="M497" s="110">
        <v>0</v>
      </c>
      <c r="N497" s="11">
        <v>0</v>
      </c>
      <c r="O497" s="15">
        <v>0</v>
      </c>
      <c r="P497" s="15">
        <v>-1</v>
      </c>
      <c r="Q497" s="15"/>
      <c r="R497" s="15"/>
      <c r="S497" s="15"/>
      <c r="T497" s="15">
        <v>0</v>
      </c>
      <c r="U497" s="15">
        <v>0</v>
      </c>
      <c r="V497" s="15">
        <v>1</v>
      </c>
      <c r="W497" s="14"/>
      <c r="X497" s="14"/>
      <c r="Y497" s="14"/>
    </row>
    <row r="498" spans="1:25" ht="13.2">
      <c r="A498" s="69">
        <v>1</v>
      </c>
      <c r="B498" s="64" t="s">
        <v>1937</v>
      </c>
      <c r="C498" s="11">
        <v>498</v>
      </c>
      <c r="D498" s="65">
        <v>6</v>
      </c>
      <c r="E498" s="66">
        <v>43822</v>
      </c>
      <c r="F498" s="13" t="str">
        <f>HYPERLINK("https://www.kompas.com/tren/read/2019/12/23/112254665/erick-thohir-tegaskan-sanksi-pelecehan-perempuan-di-lingkungan-bumn-seperti","sumber")</f>
        <v>sumber</v>
      </c>
      <c r="G498" s="13" t="str">
        <f t="shared" si="61"/>
        <v>lokasi</v>
      </c>
      <c r="H498" s="65">
        <v>178</v>
      </c>
      <c r="I498" s="108">
        <v>4</v>
      </c>
      <c r="J498" s="15">
        <v>1</v>
      </c>
      <c r="K498" s="109" t="s">
        <v>1938</v>
      </c>
      <c r="L498" s="15">
        <v>0</v>
      </c>
      <c r="M498" s="15">
        <v>0</v>
      </c>
      <c r="N498" s="11">
        <v>0</v>
      </c>
      <c r="O498" s="15">
        <v>0</v>
      </c>
      <c r="P498" s="15">
        <v>0</v>
      </c>
      <c r="Q498" s="15">
        <v>0</v>
      </c>
      <c r="R498" s="15">
        <v>1</v>
      </c>
      <c r="S498" s="15"/>
      <c r="T498" s="15">
        <v>0</v>
      </c>
      <c r="U498" s="15">
        <v>0</v>
      </c>
      <c r="V498" s="15">
        <v>1</v>
      </c>
      <c r="W498" s="14"/>
      <c r="X498" s="14"/>
      <c r="Y498" s="14"/>
    </row>
    <row r="499" spans="1:25" ht="66">
      <c r="A499" s="69">
        <v>1</v>
      </c>
      <c r="B499" s="64" t="s">
        <v>1939</v>
      </c>
      <c r="C499" s="11">
        <v>499</v>
      </c>
      <c r="D499" s="65">
        <v>2</v>
      </c>
      <c r="E499" s="66">
        <v>43825</v>
      </c>
      <c r="F499" s="13" t="str">
        <f>HYPERLINK("https://www.cnnindonesia.com/nasional/20191225194733-20-459893/ketua-kwi-bantah-ada-pelecehan-seksual-di-gereja-katolik","sumber")</f>
        <v>sumber</v>
      </c>
      <c r="G499" s="13" t="str">
        <f t="shared" si="61"/>
        <v>lokasi</v>
      </c>
      <c r="H499" s="65">
        <v>635</v>
      </c>
      <c r="I499" s="102">
        <v>1</v>
      </c>
      <c r="J499" s="11">
        <v>1</v>
      </c>
      <c r="K499" s="70" t="s">
        <v>1940</v>
      </c>
      <c r="L499" s="11">
        <v>0</v>
      </c>
      <c r="M499" s="11">
        <v>-1</v>
      </c>
      <c r="N499" s="11">
        <v>0</v>
      </c>
      <c r="O499" s="11">
        <v>0</v>
      </c>
      <c r="P499" s="11">
        <v>0</v>
      </c>
      <c r="Q499" s="11" t="s">
        <v>29</v>
      </c>
      <c r="R499" s="11" t="s">
        <v>141</v>
      </c>
      <c r="S499" s="11"/>
      <c r="T499" s="11">
        <v>0</v>
      </c>
      <c r="U499" s="11">
        <v>0</v>
      </c>
      <c r="V499" s="11">
        <v>1</v>
      </c>
      <c r="W499" s="14"/>
      <c r="X499" s="14"/>
      <c r="Y499" s="14"/>
    </row>
    <row r="500" spans="1:25" ht="13.2">
      <c r="A500" s="73">
        <v>2</v>
      </c>
      <c r="B500" s="74" t="s">
        <v>1941</v>
      </c>
      <c r="C500" s="18">
        <v>500</v>
      </c>
      <c r="D500" s="75">
        <v>5</v>
      </c>
      <c r="E500" s="76">
        <v>43826</v>
      </c>
      <c r="F500" s="20" t="str">
        <f>HYPERLINK("https://tirto.id/jelang-nataru-polda-metro-jaya-tangkap-47-orang-terkait-narkoba-epiW","sumber")</f>
        <v>sumber</v>
      </c>
      <c r="G500" s="99" t="s">
        <v>1</v>
      </c>
      <c r="H500" s="75">
        <v>260</v>
      </c>
      <c r="I500" s="103"/>
      <c r="J500" s="18">
        <v>1</v>
      </c>
      <c r="K500" s="92"/>
      <c r="L500" s="18"/>
      <c r="M500" s="18"/>
      <c r="N500" s="18"/>
      <c r="O500" s="18"/>
      <c r="P500" s="18"/>
      <c r="Q500" s="18"/>
      <c r="R500" s="18"/>
      <c r="S500" s="18"/>
      <c r="T500" s="18"/>
      <c r="U500" s="18"/>
      <c r="V500" s="18"/>
      <c r="W500" s="19"/>
      <c r="X500" s="19"/>
      <c r="Y500" s="19"/>
    </row>
    <row r="501" spans="1:25" ht="26.4">
      <c r="A501" s="69">
        <v>1</v>
      </c>
      <c r="B501" s="64" t="s">
        <v>1942</v>
      </c>
      <c r="C501" s="11">
        <v>501</v>
      </c>
      <c r="D501" s="65">
        <v>8</v>
      </c>
      <c r="E501" s="66">
        <v>43829</v>
      </c>
      <c r="F501" s="13" t="str">
        <f>HYPERLINK("https://www.suara.com/news/2019/12/30/155213/hilangkan-jejak-alasan-m-iqbal-telanjangi-mayat-bela-di-kebun-jagung","sumber")</f>
        <v>sumber</v>
      </c>
      <c r="G501" s="13" t="str">
        <f t="shared" ref="G501:G503" si="62">HYPERLINK("https://drive.google.com/open?id=15K5sriRJOw0JTPqD9yRZzl0fwZcfdV8X","lokasi")</f>
        <v>lokasi</v>
      </c>
      <c r="H501" s="65">
        <v>253</v>
      </c>
      <c r="I501" s="102">
        <v>1</v>
      </c>
      <c r="J501" s="11">
        <v>1</v>
      </c>
      <c r="K501" s="70" t="s">
        <v>1943</v>
      </c>
      <c r="L501" s="11">
        <v>0</v>
      </c>
      <c r="M501" s="28">
        <v>0</v>
      </c>
      <c r="N501" s="11">
        <v>0</v>
      </c>
      <c r="O501" s="11">
        <v>0</v>
      </c>
      <c r="P501" s="11">
        <v>0</v>
      </c>
      <c r="Q501" s="11">
        <v>0</v>
      </c>
      <c r="R501" s="11">
        <v>0</v>
      </c>
      <c r="S501" s="11"/>
      <c r="T501" s="11">
        <v>0</v>
      </c>
      <c r="U501" s="11">
        <v>0</v>
      </c>
      <c r="V501" s="11">
        <v>1</v>
      </c>
      <c r="W501" s="14"/>
      <c r="X501" s="14"/>
      <c r="Y501" s="14"/>
    </row>
    <row r="502" spans="1:25" ht="26.4">
      <c r="A502" s="69">
        <v>1</v>
      </c>
      <c r="B502" s="64" t="s">
        <v>1944</v>
      </c>
      <c r="C502" s="11">
        <v>502</v>
      </c>
      <c r="D502" s="65">
        <v>4</v>
      </c>
      <c r="E502" s="66">
        <v>43830</v>
      </c>
      <c r="F502" s="13" t="str">
        <f>HYPERLINK("https://www.liputan6.com/global/read/4145033/unicef-2010-2019-jadi-dekade-mematikan-bagi-anak-daerah-konflik","sumber")</f>
        <v>sumber</v>
      </c>
      <c r="G502" s="13" t="str">
        <f t="shared" si="62"/>
        <v>lokasi</v>
      </c>
      <c r="H502" s="65">
        <v>341</v>
      </c>
      <c r="I502" s="102">
        <v>4</v>
      </c>
      <c r="J502" s="11">
        <v>1</v>
      </c>
      <c r="K502" s="70" t="s">
        <v>1945</v>
      </c>
      <c r="L502" s="11">
        <v>0</v>
      </c>
      <c r="M502" s="11">
        <v>0</v>
      </c>
      <c r="N502" s="11">
        <v>0</v>
      </c>
      <c r="O502" s="11">
        <v>0</v>
      </c>
      <c r="P502" s="11">
        <v>0</v>
      </c>
      <c r="Q502" s="11">
        <v>1</v>
      </c>
      <c r="R502" s="11">
        <v>1</v>
      </c>
      <c r="S502" s="11"/>
      <c r="T502" s="11">
        <v>0</v>
      </c>
      <c r="U502" s="11">
        <v>0</v>
      </c>
      <c r="V502" s="11">
        <v>1</v>
      </c>
      <c r="W502" s="14"/>
      <c r="X502" s="14"/>
      <c r="Y502" s="14"/>
    </row>
    <row r="503" spans="1:25" ht="26.4">
      <c r="A503" s="80">
        <v>1</v>
      </c>
      <c r="B503" s="81" t="s">
        <v>1946</v>
      </c>
      <c r="C503" s="82">
        <v>503</v>
      </c>
      <c r="D503" s="83">
        <v>10</v>
      </c>
      <c r="E503" s="84">
        <v>43823</v>
      </c>
      <c r="F503" s="85" t="str">
        <f>HYPERLINK("https://metro.tempo.co/read/1287214/pelaku-prostitusi-berkedok-kawin-kontrak-menyamar-pemandu-wisata","sumber")</f>
        <v>sumber</v>
      </c>
      <c r="G503" s="85" t="str">
        <f t="shared" si="62"/>
        <v>lokasi</v>
      </c>
      <c r="H503" s="83">
        <v>228</v>
      </c>
      <c r="I503" s="104">
        <v>1</v>
      </c>
      <c r="J503" s="82">
        <v>1</v>
      </c>
      <c r="K503" s="87" t="s">
        <v>1947</v>
      </c>
      <c r="L503" s="82">
        <v>0</v>
      </c>
      <c r="M503" s="28">
        <v>0</v>
      </c>
      <c r="N503" s="82">
        <v>0</v>
      </c>
      <c r="O503" s="82">
        <v>0</v>
      </c>
      <c r="P503" s="82">
        <v>0</v>
      </c>
      <c r="Q503" s="82">
        <v>0</v>
      </c>
      <c r="R503" s="82">
        <v>0</v>
      </c>
      <c r="S503" s="82"/>
      <c r="T503" s="82">
        <v>0</v>
      </c>
      <c r="U503" s="82">
        <v>0</v>
      </c>
      <c r="V503" s="82">
        <v>1</v>
      </c>
      <c r="W503" s="90"/>
      <c r="X503" s="90"/>
      <c r="Y503" s="90"/>
    </row>
  </sheetData>
  <customSheetViews>
    <customSheetView guid="{62CFFA2F-2CDE-4159-80E8-0067D9460027}" filter="1" showAutoFilter="1">
      <pageMargins left="0.7" right="0.7" top="0.75" bottom="0.75" header="0.3" footer="0.3"/>
      <autoFilter ref="P4:P506"/>
    </customSheetView>
    <customSheetView guid="{17EFBF60-FA66-46DD-8C66-7DD74D543108}" filter="1" showAutoFilter="1">
      <pageMargins left="0.7" right="0.7" top="0.75" bottom="0.75" header="0.3" footer="0.3"/>
      <autoFilter ref="S4:S506"/>
    </customSheetView>
    <customSheetView guid="{7A661D72-FC41-4646-AEAF-00CD193B6D95}" filter="1" showAutoFilter="1">
      <pageMargins left="0.7" right="0.7" top="0.75" bottom="0.75" header="0.3" footer="0.3"/>
      <autoFilter ref="A4:A506"/>
    </customSheetView>
    <customSheetView guid="{0B48C2DC-E7D4-4DCC-ACB5-09BD4089ED05}" filter="1" showAutoFilter="1">
      <pageMargins left="0.7" right="0.7" top="0.75" bottom="0.75" header="0.3" footer="0.3"/>
      <autoFilter ref="N4:N506"/>
    </customSheetView>
    <customSheetView guid="{66348944-9FC2-49D4-937A-1A6FEBFF4639}" filter="1" showAutoFilter="1">
      <pageMargins left="0.7" right="0.7" top="0.75" bottom="0.75" header="0.3" footer="0.3"/>
      <autoFilter ref="K4:K506"/>
    </customSheetView>
    <customSheetView guid="{E3B16FF4-157A-41A8-880D-5DDB83361892}" filter="1" showAutoFilter="1">
      <pageMargins left="0.7" right="0.7" top="0.75" bottom="0.75" header="0.3" footer="0.3"/>
      <autoFilter ref="I4:I506">
        <filterColumn colId="0">
          <filters blank="1">
            <filter val="2"/>
            <filter val="3"/>
            <filter val="4"/>
            <filter val="5"/>
          </filters>
        </filterColumn>
      </autoFilter>
    </customSheetView>
  </customSheetView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496"/>
  <sheetViews>
    <sheetView tabSelected="1" topLeftCell="K1" workbookViewId="0">
      <pane ySplit="1" topLeftCell="A107" activePane="bottomLeft" state="frozen"/>
      <selection pane="bottomLeft" activeCell="S121" sqref="S121"/>
    </sheetView>
  </sheetViews>
  <sheetFormatPr defaultColWidth="14.44140625" defaultRowHeight="15.75" customHeight="1"/>
  <cols>
    <col min="1" max="1" width="10.33203125" customWidth="1"/>
    <col min="2" max="2" width="20.6640625" customWidth="1"/>
    <col min="3" max="3" width="4.33203125" customWidth="1"/>
    <col min="4" max="4" width="7.44140625" customWidth="1"/>
    <col min="5" max="5" width="11.44140625" customWidth="1"/>
    <col min="6" max="6" width="7.44140625" customWidth="1"/>
    <col min="7" max="7" width="7" customWidth="1"/>
    <col min="8" max="10" width="11.33203125" customWidth="1"/>
    <col min="11" max="11" width="20" customWidth="1"/>
    <col min="12" max="13" width="10.6640625" customWidth="1"/>
    <col min="14" max="16" width="12" customWidth="1"/>
    <col min="17" max="18" width="13.44140625" customWidth="1"/>
    <col min="19" max="19" width="29.33203125" customWidth="1"/>
    <col min="20" max="20" width="8.33203125" customWidth="1"/>
    <col min="21" max="21" width="8.5546875" customWidth="1"/>
    <col min="22" max="22" width="10.6640625" customWidth="1"/>
    <col min="23" max="24" width="8.109375" customWidth="1"/>
    <col min="25" max="25" width="9.88671875" customWidth="1"/>
  </cols>
  <sheetData>
    <row r="1" spans="1:25" ht="14.4">
      <c r="A1" s="111">
        <v>2</v>
      </c>
      <c r="B1" s="112" t="s">
        <v>1948</v>
      </c>
      <c r="C1" s="25">
        <v>1</v>
      </c>
      <c r="D1" s="113">
        <v>10</v>
      </c>
      <c r="E1" s="114">
        <v>43466</v>
      </c>
      <c r="F1" s="115" t="str">
        <f>HYPERLINK("https://kolom.tempo.co/read/1159973/mengakhiri-siklus-intoleransi ","sumber")</f>
        <v>sumber</v>
      </c>
      <c r="G1" s="115" t="str">
        <f t="shared" ref="G1:G387" si="0">HYPERLINK("https://drive.google.com/open?id=1--vaU45zB19vTrOrqC0hEG1ZIEB3x0KE","lokasi")</f>
        <v>lokasi</v>
      </c>
      <c r="H1" s="112">
        <v>469</v>
      </c>
      <c r="I1" s="25"/>
      <c r="J1" s="113">
        <v>4</v>
      </c>
      <c r="K1" s="116"/>
      <c r="L1" s="25"/>
      <c r="M1" s="25"/>
      <c r="N1" s="25"/>
      <c r="O1" s="25"/>
      <c r="P1" s="25"/>
      <c r="Q1" s="25"/>
      <c r="R1" s="25"/>
      <c r="S1" s="116"/>
      <c r="T1" s="25"/>
      <c r="U1" s="25"/>
      <c r="V1" s="25"/>
      <c r="W1" s="25"/>
      <c r="X1" s="26"/>
      <c r="Y1" s="25"/>
    </row>
    <row r="2" spans="1:25" ht="14.4">
      <c r="A2" s="117">
        <v>1</v>
      </c>
      <c r="B2" s="118" t="s">
        <v>1060</v>
      </c>
      <c r="C2" s="22">
        <v>2</v>
      </c>
      <c r="D2" s="119">
        <v>2</v>
      </c>
      <c r="E2" s="120">
        <v>43800</v>
      </c>
      <c r="F2" s="121" t="str">
        <f>HYPERLINK("https://www.cnnindonesia.com/nasional/20190112002154-32-360314/debat-capres-kontras-minta-calon-sampaikan-sikap-terkait-pki ","sumber")</f>
        <v>sumber</v>
      </c>
      <c r="G2" s="121" t="str">
        <f t="shared" si="0"/>
        <v>lokasi</v>
      </c>
      <c r="H2" s="118">
        <v>386</v>
      </c>
      <c r="I2" s="22">
        <v>4</v>
      </c>
      <c r="J2" s="122">
        <v>4</v>
      </c>
      <c r="K2" s="123" t="s">
        <v>1061</v>
      </c>
      <c r="L2" s="22">
        <v>0</v>
      </c>
      <c r="M2" s="22">
        <v>0</v>
      </c>
      <c r="N2" s="22">
        <v>0</v>
      </c>
      <c r="O2" s="22">
        <v>0</v>
      </c>
      <c r="P2" s="22">
        <v>-1</v>
      </c>
      <c r="Q2" s="22">
        <v>0</v>
      </c>
      <c r="R2" s="22">
        <v>1</v>
      </c>
      <c r="S2" s="123"/>
      <c r="T2" s="22">
        <v>0</v>
      </c>
      <c r="U2" s="22">
        <v>0</v>
      </c>
      <c r="V2" s="22">
        <v>1</v>
      </c>
      <c r="W2" s="23"/>
      <c r="X2" s="23"/>
      <c r="Y2" s="1"/>
    </row>
    <row r="3" spans="1:25" ht="14.4">
      <c r="A3" s="111">
        <v>2</v>
      </c>
      <c r="B3" s="112" t="s">
        <v>1949</v>
      </c>
      <c r="C3" s="25">
        <v>3</v>
      </c>
      <c r="D3" s="113">
        <v>10</v>
      </c>
      <c r="E3" s="113" t="s">
        <v>1950</v>
      </c>
      <c r="F3" s="115" t="str">
        <f>HYPERLINK("https://kolom.tempo.co/read/1167060/modal-cekak-debat-presiden ","sumber")</f>
        <v>sumber</v>
      </c>
      <c r="G3" s="115" t="str">
        <f t="shared" si="0"/>
        <v>lokasi</v>
      </c>
      <c r="H3" s="112">
        <v>619</v>
      </c>
      <c r="I3" s="25"/>
      <c r="J3" s="113">
        <v>4</v>
      </c>
      <c r="K3" s="116"/>
      <c r="L3" s="26"/>
      <c r="M3" s="26"/>
      <c r="N3" s="26"/>
      <c r="O3" s="26"/>
      <c r="P3" s="26"/>
      <c r="Q3" s="26"/>
      <c r="R3" s="26"/>
      <c r="S3" s="124"/>
      <c r="T3" s="26"/>
      <c r="U3" s="26"/>
      <c r="V3" s="26"/>
      <c r="W3" s="26"/>
      <c r="X3" s="26"/>
      <c r="Y3" s="25"/>
    </row>
    <row r="4" spans="1:25" ht="14.4">
      <c r="A4" s="117">
        <v>1</v>
      </c>
      <c r="B4" s="118" t="s">
        <v>1951</v>
      </c>
      <c r="C4" s="22">
        <v>4</v>
      </c>
      <c r="D4" s="119">
        <v>5</v>
      </c>
      <c r="E4" s="119" t="s">
        <v>55</v>
      </c>
      <c r="F4" s="121" t="str">
        <f>HYPERLINK("https://tirto.id/kala-kaum-urban-menjelajahi-dunia-kebatinan-de7R ","sumber")</f>
        <v>sumber</v>
      </c>
      <c r="G4" s="121" t="str">
        <f t="shared" si="0"/>
        <v>lokasi</v>
      </c>
      <c r="H4" s="118">
        <v>1333</v>
      </c>
      <c r="I4" s="22">
        <v>2</v>
      </c>
      <c r="J4" s="119">
        <v>4</v>
      </c>
      <c r="K4" s="123" t="s">
        <v>1952</v>
      </c>
      <c r="L4" s="22">
        <v>0</v>
      </c>
      <c r="M4" s="22">
        <v>0</v>
      </c>
      <c r="N4" s="125">
        <v>0</v>
      </c>
      <c r="O4" s="22">
        <v>0</v>
      </c>
      <c r="P4" s="22">
        <v>0</v>
      </c>
      <c r="Q4" s="22" t="s">
        <v>99</v>
      </c>
      <c r="R4" s="22" t="s">
        <v>360</v>
      </c>
      <c r="S4" s="123"/>
      <c r="T4" s="22">
        <v>0</v>
      </c>
      <c r="U4" s="22">
        <v>0</v>
      </c>
      <c r="V4" s="22">
        <v>1</v>
      </c>
      <c r="W4" s="23"/>
      <c r="X4" s="23"/>
      <c r="Y4" s="1"/>
    </row>
    <row r="5" spans="1:25" ht="14.4">
      <c r="A5" s="126">
        <v>1</v>
      </c>
      <c r="B5" s="127" t="s">
        <v>1953</v>
      </c>
      <c r="C5" s="33">
        <v>5</v>
      </c>
      <c r="D5" s="128">
        <v>6</v>
      </c>
      <c r="E5" s="129">
        <v>43739</v>
      </c>
      <c r="F5" s="130" t="str">
        <f>HYPERLINK(" https://nasional.kompas.com/read/2019/01/10/06114071/debat-capres-diharapkan-angkat-isu-perlindungan-hak-kelompok-minoritas","sumber")</f>
        <v>sumber</v>
      </c>
      <c r="G5" s="130" t="str">
        <f t="shared" si="0"/>
        <v>lokasi</v>
      </c>
      <c r="H5" s="127">
        <v>328</v>
      </c>
      <c r="I5" s="33">
        <v>4</v>
      </c>
      <c r="J5" s="128">
        <v>4</v>
      </c>
      <c r="K5" s="131" t="s">
        <v>1954</v>
      </c>
      <c r="L5" s="33">
        <v>0</v>
      </c>
      <c r="M5" s="33">
        <v>0</v>
      </c>
      <c r="N5" s="132">
        <v>0</v>
      </c>
      <c r="O5" s="33">
        <v>0</v>
      </c>
      <c r="P5" s="33">
        <v>0</v>
      </c>
      <c r="Q5" s="33">
        <v>0</v>
      </c>
      <c r="R5" s="33">
        <v>1</v>
      </c>
      <c r="S5" s="133"/>
      <c r="T5" s="33">
        <v>0</v>
      </c>
      <c r="U5" s="33">
        <v>0</v>
      </c>
      <c r="V5" s="33">
        <v>1</v>
      </c>
      <c r="W5" s="24"/>
      <c r="X5" s="24"/>
      <c r="Y5" s="33"/>
    </row>
    <row r="6" spans="1:25" ht="14.4">
      <c r="A6" s="126">
        <v>1</v>
      </c>
      <c r="B6" s="127" t="s">
        <v>1955</v>
      </c>
      <c r="C6" s="33">
        <v>6</v>
      </c>
      <c r="D6" s="128">
        <v>10</v>
      </c>
      <c r="E6" s="128" t="s">
        <v>322</v>
      </c>
      <c r="F6" s="130" t="str">
        <f>HYPERLINK(" https://nasional.tempo.co/read/1178219/pemerintah-bandung-terbitkan-ktp-pertama-untuk-penghayat","sumber")</f>
        <v>sumber</v>
      </c>
      <c r="G6" s="130" t="str">
        <f t="shared" si="0"/>
        <v>lokasi</v>
      </c>
      <c r="H6" s="127">
        <v>336</v>
      </c>
      <c r="I6" s="33">
        <v>4</v>
      </c>
      <c r="J6" s="128">
        <v>4</v>
      </c>
      <c r="K6" s="131" t="s">
        <v>1956</v>
      </c>
      <c r="L6" s="33">
        <v>0</v>
      </c>
      <c r="M6" s="33">
        <v>0</v>
      </c>
      <c r="N6" s="132">
        <v>0</v>
      </c>
      <c r="O6" s="33">
        <v>0</v>
      </c>
      <c r="P6" s="33">
        <v>0</v>
      </c>
      <c r="Q6" s="33" t="s">
        <v>68</v>
      </c>
      <c r="R6" s="33" t="s">
        <v>68</v>
      </c>
      <c r="S6" s="133"/>
      <c r="T6" s="33">
        <v>0</v>
      </c>
      <c r="U6" s="33">
        <v>0</v>
      </c>
      <c r="V6" s="33">
        <v>1</v>
      </c>
      <c r="W6" s="24"/>
      <c r="X6" s="24"/>
      <c r="Y6" s="33"/>
    </row>
    <row r="7" spans="1:25" ht="14.4">
      <c r="A7" s="111">
        <v>2</v>
      </c>
      <c r="B7" s="112" t="s">
        <v>1957</v>
      </c>
      <c r="C7" s="25">
        <v>7</v>
      </c>
      <c r="D7" s="113">
        <v>6</v>
      </c>
      <c r="E7" s="114">
        <v>43771</v>
      </c>
      <c r="F7" s="115" t="str">
        <f>HYPERLINK("https://ekonomi.kompas.com/read/2019/02/11/074100326/pembayaran-elektronik-paytren-gandeng-unsyiah- ","sumber")</f>
        <v>sumber</v>
      </c>
      <c r="G7" s="115" t="str">
        <f t="shared" si="0"/>
        <v>lokasi</v>
      </c>
      <c r="H7" s="112">
        <v>327</v>
      </c>
      <c r="I7" s="26"/>
      <c r="J7" s="113">
        <v>4</v>
      </c>
      <c r="K7" s="124"/>
      <c r="L7" s="26"/>
      <c r="M7" s="26"/>
      <c r="N7" s="26"/>
      <c r="O7" s="26"/>
      <c r="P7" s="26"/>
      <c r="Q7" s="26"/>
      <c r="R7" s="26"/>
      <c r="S7" s="124"/>
      <c r="T7" s="26"/>
      <c r="U7" s="26"/>
      <c r="V7" s="26"/>
      <c r="W7" s="26"/>
      <c r="X7" s="26"/>
      <c r="Y7" s="25"/>
    </row>
    <row r="8" spans="1:25" ht="14.4">
      <c r="A8" s="126">
        <v>1</v>
      </c>
      <c r="B8" s="127" t="s">
        <v>1958</v>
      </c>
      <c r="C8" s="33">
        <v>8</v>
      </c>
      <c r="D8" s="128">
        <v>3</v>
      </c>
      <c r="E8" s="128" t="s">
        <v>325</v>
      </c>
      <c r="F8" s="130" t="str">
        <f>HYPERLINK("https://news.okezone.com/read/2019/02/26/337/2023119/soal-kolom-penghayat-kepercayaan-di-e-ktp-jk-mereka-juga-orang-indonesia","sumber")</f>
        <v>sumber</v>
      </c>
      <c r="G8" s="130" t="str">
        <f t="shared" si="0"/>
        <v>lokasi</v>
      </c>
      <c r="H8" s="127">
        <v>373</v>
      </c>
      <c r="I8" s="33">
        <v>4</v>
      </c>
      <c r="J8" s="128">
        <v>4</v>
      </c>
      <c r="K8" s="131" t="s">
        <v>1959</v>
      </c>
      <c r="L8" s="33">
        <v>0</v>
      </c>
      <c r="M8" s="33">
        <v>0</v>
      </c>
      <c r="N8" s="33">
        <v>0</v>
      </c>
      <c r="O8" s="33">
        <v>0</v>
      </c>
      <c r="P8" s="33">
        <v>0</v>
      </c>
      <c r="Q8" s="33" t="s">
        <v>29</v>
      </c>
      <c r="R8" s="33" t="s">
        <v>160</v>
      </c>
      <c r="S8" s="133"/>
      <c r="T8" s="33">
        <v>0</v>
      </c>
      <c r="U8" s="33">
        <v>0</v>
      </c>
      <c r="V8" s="33">
        <v>1</v>
      </c>
      <c r="W8" s="24"/>
      <c r="X8" s="24"/>
      <c r="Y8" s="33"/>
    </row>
    <row r="9" spans="1:25" ht="14.4">
      <c r="A9" s="117">
        <v>1</v>
      </c>
      <c r="B9" s="118" t="s">
        <v>1960</v>
      </c>
      <c r="C9" s="22">
        <v>9</v>
      </c>
      <c r="D9" s="119">
        <v>2</v>
      </c>
      <c r="E9" s="119" t="s">
        <v>76</v>
      </c>
      <c r="F9" s="121" t="str">
        <f>HYPERLINK("https://www.cnnindonesia.com/internasional/20190213205418-113-369064/jemaah-ahmadiyah-bangladesh-diserang-saat-hendak-kenduri ","sumber")</f>
        <v>sumber</v>
      </c>
      <c r="G9" s="121" t="str">
        <f t="shared" si="0"/>
        <v>lokasi</v>
      </c>
      <c r="H9" s="118">
        <v>207</v>
      </c>
      <c r="I9" s="22">
        <v>1</v>
      </c>
      <c r="J9" s="119">
        <v>4</v>
      </c>
      <c r="K9" s="123" t="s">
        <v>1961</v>
      </c>
      <c r="L9" s="22">
        <v>0</v>
      </c>
      <c r="M9" s="22">
        <v>-1</v>
      </c>
      <c r="N9" s="125">
        <v>0</v>
      </c>
      <c r="O9" s="22">
        <v>0</v>
      </c>
      <c r="P9" s="22">
        <v>0</v>
      </c>
      <c r="Q9" s="22">
        <v>0</v>
      </c>
      <c r="R9" s="22">
        <v>0</v>
      </c>
      <c r="S9" s="134"/>
      <c r="T9" s="22">
        <v>0</v>
      </c>
      <c r="U9" s="22">
        <v>0</v>
      </c>
      <c r="V9" s="22">
        <v>0</v>
      </c>
      <c r="W9" s="23"/>
      <c r="X9" s="23"/>
      <c r="Y9" s="1"/>
    </row>
    <row r="10" spans="1:25" ht="14.4">
      <c r="A10" s="111">
        <v>2</v>
      </c>
      <c r="B10" s="112" t="s">
        <v>1962</v>
      </c>
      <c r="C10" s="25">
        <v>10</v>
      </c>
      <c r="D10" s="113">
        <v>7</v>
      </c>
      <c r="E10" s="113" t="s">
        <v>1963</v>
      </c>
      <c r="F10" s="115" t="str">
        <f>HYPERLINK("http://www.tribunnews.com/regional/2019/02/15/lima-santri-di-ingin-jaya-aceh-besar-terseret-ombak-3-orang-tewas ","sumber")</f>
        <v>sumber</v>
      </c>
      <c r="G10" s="115" t="str">
        <f t="shared" si="0"/>
        <v>lokasi</v>
      </c>
      <c r="H10" s="112">
        <v>214</v>
      </c>
      <c r="I10" s="26"/>
      <c r="J10" s="113">
        <v>4</v>
      </c>
      <c r="K10" s="124"/>
      <c r="L10" s="26"/>
      <c r="M10" s="26"/>
      <c r="N10" s="26"/>
      <c r="O10" s="26"/>
      <c r="P10" s="26"/>
      <c r="Q10" s="26"/>
      <c r="R10" s="26"/>
      <c r="S10" s="124"/>
      <c r="T10" s="26"/>
      <c r="U10" s="26"/>
      <c r="V10" s="26"/>
      <c r="W10" s="26"/>
      <c r="X10" s="26"/>
      <c r="Y10" s="25"/>
    </row>
    <row r="11" spans="1:25" ht="14.4">
      <c r="A11" s="126">
        <v>1</v>
      </c>
      <c r="B11" s="127" t="s">
        <v>1964</v>
      </c>
      <c r="C11" s="33">
        <v>11</v>
      </c>
      <c r="D11" s="128">
        <v>6</v>
      </c>
      <c r="E11" s="128" t="s">
        <v>328</v>
      </c>
      <c r="F11" s="130" t="str">
        <f>HYPERLINK("https://nasional.kompas.com/read/2019/02/27/09234291/wapres-kalla-ingatkan-agar-hak-kependudukan-penghayat-kepercayaan-tak","sumber")</f>
        <v>sumber</v>
      </c>
      <c r="G11" s="130" t="str">
        <f t="shared" si="0"/>
        <v>lokasi</v>
      </c>
      <c r="H11" s="127">
        <v>292</v>
      </c>
      <c r="I11" s="33">
        <v>4</v>
      </c>
      <c r="J11" s="128">
        <v>4</v>
      </c>
      <c r="K11" s="131" t="s">
        <v>1965</v>
      </c>
      <c r="L11" s="33">
        <v>0</v>
      </c>
      <c r="M11" s="33">
        <v>0</v>
      </c>
      <c r="N11" s="33">
        <v>0</v>
      </c>
      <c r="O11" s="33">
        <v>0</v>
      </c>
      <c r="P11" s="33">
        <v>0</v>
      </c>
      <c r="Q11" s="33" t="s">
        <v>29</v>
      </c>
      <c r="R11" s="33" t="s">
        <v>160</v>
      </c>
      <c r="S11" s="133"/>
      <c r="T11" s="33">
        <v>0</v>
      </c>
      <c r="U11" s="33">
        <v>0</v>
      </c>
      <c r="V11" s="33">
        <v>1</v>
      </c>
      <c r="W11" s="24"/>
      <c r="X11" s="24"/>
      <c r="Y11" s="33"/>
    </row>
    <row r="12" spans="1:25" ht="14.4">
      <c r="A12" s="117">
        <v>1</v>
      </c>
      <c r="B12" s="118" t="s">
        <v>1966</v>
      </c>
      <c r="C12" s="22">
        <v>12</v>
      </c>
      <c r="D12" s="119">
        <v>10</v>
      </c>
      <c r="E12" s="119" t="s">
        <v>1967</v>
      </c>
      <c r="F12" s="121" t="str">
        <f>HYPERLINK("https://nasional.tempo.co/read/1178325/begini-prosedur-mendapat-ktp-bagi-penganut-aliran-kepercayaan ","sumber")</f>
        <v>sumber</v>
      </c>
      <c r="G12" s="121" t="str">
        <f t="shared" si="0"/>
        <v>lokasi</v>
      </c>
      <c r="H12" s="118">
        <v>461</v>
      </c>
      <c r="I12" s="22">
        <v>4</v>
      </c>
      <c r="J12" s="119">
        <v>4</v>
      </c>
      <c r="K12" s="123" t="s">
        <v>1968</v>
      </c>
      <c r="L12" s="22">
        <v>0</v>
      </c>
      <c r="M12" s="22">
        <v>0</v>
      </c>
      <c r="N12" s="125">
        <v>0</v>
      </c>
      <c r="O12" s="22">
        <v>0</v>
      </c>
      <c r="P12" s="22">
        <v>0</v>
      </c>
      <c r="Q12" s="22" t="s">
        <v>182</v>
      </c>
      <c r="R12" s="22" t="s">
        <v>29</v>
      </c>
      <c r="S12" s="134"/>
      <c r="T12" s="22">
        <v>0</v>
      </c>
      <c r="U12" s="22">
        <v>0</v>
      </c>
      <c r="V12" s="22">
        <v>1</v>
      </c>
      <c r="W12" s="23"/>
      <c r="X12" s="23"/>
      <c r="Y12" s="23"/>
    </row>
    <row r="13" spans="1:25" ht="14.4">
      <c r="A13" s="117">
        <v>1</v>
      </c>
      <c r="B13" s="118" t="s">
        <v>1969</v>
      </c>
      <c r="C13" s="22">
        <v>13</v>
      </c>
      <c r="D13" s="119">
        <v>3</v>
      </c>
      <c r="E13" s="119" t="s">
        <v>464</v>
      </c>
      <c r="F13" s="121" t="str">
        <f>HYPERLINK("https://news.okezone.com/read/2019/02/25/337/2022651/kolom-penghayat-kepercayaan-di-e-ktp-dukcapil-laksanakan-amanat-mk ","sumber")</f>
        <v>sumber</v>
      </c>
      <c r="G13" s="121" t="str">
        <f t="shared" si="0"/>
        <v>lokasi</v>
      </c>
      <c r="H13" s="118">
        <v>355</v>
      </c>
      <c r="I13" s="22">
        <v>4</v>
      </c>
      <c r="J13" s="119">
        <v>4</v>
      </c>
      <c r="K13" s="123" t="s">
        <v>1970</v>
      </c>
      <c r="L13" s="22">
        <v>0</v>
      </c>
      <c r="M13" s="22">
        <v>0</v>
      </c>
      <c r="N13" s="22">
        <v>0</v>
      </c>
      <c r="O13" s="22">
        <v>0</v>
      </c>
      <c r="P13" s="22">
        <v>0</v>
      </c>
      <c r="Q13" s="22">
        <v>0</v>
      </c>
      <c r="R13" s="22">
        <v>0</v>
      </c>
      <c r="S13" s="134"/>
      <c r="T13" s="22">
        <v>0</v>
      </c>
      <c r="U13" s="22">
        <v>0</v>
      </c>
      <c r="V13" s="22">
        <v>1</v>
      </c>
      <c r="W13" s="23"/>
      <c r="X13" s="23"/>
      <c r="Y13" s="23"/>
    </row>
    <row r="14" spans="1:25" ht="14.4">
      <c r="A14" s="117">
        <v>1</v>
      </c>
      <c r="B14" s="118" t="s">
        <v>1971</v>
      </c>
      <c r="C14" s="22">
        <v>14</v>
      </c>
      <c r="D14" s="119">
        <v>2</v>
      </c>
      <c r="E14" s="119" t="s">
        <v>325</v>
      </c>
      <c r="F14" s="121" t="str">
        <f>HYPERLINK("https://www.cnnindonesia.com/nasional/20190226172120-20-372795/jk-tegaskan-kolom-kepercayaan-di-e-ktp-sesuai-putusan-mk ","sumber")</f>
        <v>sumber</v>
      </c>
      <c r="G14" s="121" t="str">
        <f t="shared" si="0"/>
        <v>lokasi</v>
      </c>
      <c r="H14" s="118">
        <v>368</v>
      </c>
      <c r="I14" s="22">
        <v>4</v>
      </c>
      <c r="J14" s="119">
        <v>4</v>
      </c>
      <c r="K14" s="123" t="s">
        <v>1972</v>
      </c>
      <c r="L14" s="22">
        <v>0</v>
      </c>
      <c r="M14" s="22">
        <v>0</v>
      </c>
      <c r="N14" s="125">
        <v>0</v>
      </c>
      <c r="O14" s="22">
        <v>0</v>
      </c>
      <c r="P14" s="22">
        <v>0</v>
      </c>
      <c r="Q14" s="22" t="s">
        <v>87</v>
      </c>
      <c r="R14" s="22" t="s">
        <v>182</v>
      </c>
      <c r="S14" s="134"/>
      <c r="T14" s="22">
        <v>0</v>
      </c>
      <c r="U14" s="22">
        <v>0</v>
      </c>
      <c r="V14" s="22">
        <v>1</v>
      </c>
      <c r="W14" s="23"/>
      <c r="X14" s="23"/>
      <c r="Y14" s="23"/>
    </row>
    <row r="15" spans="1:25" ht="14.4">
      <c r="A15" s="111">
        <v>2</v>
      </c>
      <c r="B15" s="112" t="s">
        <v>1973</v>
      </c>
      <c r="C15" s="25">
        <v>15</v>
      </c>
      <c r="D15" s="113">
        <v>10</v>
      </c>
      <c r="E15" s="114">
        <v>43527</v>
      </c>
      <c r="F15" s="115" t="str">
        <f>HYPERLINK("https://dunia.tempo.co/read/1181406/10-militan-isis-di-suriah-diduga-dieksekusi-mati-di-trotoar ","sumber")</f>
        <v>sumber</v>
      </c>
      <c r="G15" s="115" t="str">
        <f t="shared" si="0"/>
        <v>lokasi</v>
      </c>
      <c r="H15" s="112">
        <v>289</v>
      </c>
      <c r="I15" s="25"/>
      <c r="J15" s="113">
        <v>4</v>
      </c>
      <c r="K15" s="116"/>
      <c r="L15" s="25"/>
      <c r="M15" s="25"/>
      <c r="N15" s="25"/>
      <c r="O15" s="25"/>
      <c r="P15" s="25"/>
      <c r="Q15" s="25"/>
      <c r="R15" s="25"/>
      <c r="S15" s="124"/>
      <c r="T15" s="25"/>
      <c r="U15" s="25"/>
      <c r="V15" s="25"/>
      <c r="W15" s="26"/>
      <c r="X15" s="26"/>
      <c r="Y15" s="25"/>
    </row>
    <row r="16" spans="1:25" ht="14.4">
      <c r="A16" s="117">
        <v>1</v>
      </c>
      <c r="B16" s="118" t="s">
        <v>1974</v>
      </c>
      <c r="C16" s="22">
        <v>16</v>
      </c>
      <c r="D16" s="119">
        <v>4</v>
      </c>
      <c r="E16" s="120">
        <v>43558</v>
      </c>
      <c r="F16" s="121" t="str">
        <f>HYPERLINK("https://www.liputan6.com/regional/read/3908571/belum-ada-pengajuan-e-ktp-penghayat-kepercayaan-di-makassar ","sumber")</f>
        <v>sumber</v>
      </c>
      <c r="G16" s="121" t="str">
        <f t="shared" si="0"/>
        <v>lokasi</v>
      </c>
      <c r="H16" s="118">
        <v>265</v>
      </c>
      <c r="I16" s="22">
        <v>4</v>
      </c>
      <c r="J16" s="119">
        <v>4</v>
      </c>
      <c r="K16" s="123" t="s">
        <v>1975</v>
      </c>
      <c r="L16" s="22">
        <v>0</v>
      </c>
      <c r="M16" s="22">
        <v>0</v>
      </c>
      <c r="N16" s="125">
        <v>0</v>
      </c>
      <c r="O16" s="22">
        <v>0</v>
      </c>
      <c r="P16" s="22">
        <v>0</v>
      </c>
      <c r="Q16" s="22">
        <v>0</v>
      </c>
      <c r="R16" s="22">
        <v>0</v>
      </c>
      <c r="S16" s="134"/>
      <c r="T16" s="22">
        <v>0</v>
      </c>
      <c r="U16" s="22">
        <v>0</v>
      </c>
      <c r="V16" s="22">
        <v>1</v>
      </c>
      <c r="W16" s="23"/>
      <c r="X16" s="23"/>
      <c r="Y16" s="23"/>
    </row>
    <row r="17" spans="1:25" ht="14.4">
      <c r="A17" s="117">
        <v>1</v>
      </c>
      <c r="B17" s="118" t="s">
        <v>1976</v>
      </c>
      <c r="C17" s="22">
        <v>17</v>
      </c>
      <c r="D17" s="119">
        <v>1</v>
      </c>
      <c r="E17" s="120">
        <v>43680</v>
      </c>
      <c r="F17" s="121" t="str">
        <f>HYPERLINK("https://news.detik.com/berita/d-4458343/orang-rimba-di-jambi-belum-ada-yang-ganti-kolom-agama ","sumber")</f>
        <v>sumber</v>
      </c>
      <c r="G17" s="121" t="str">
        <f t="shared" si="0"/>
        <v>lokasi</v>
      </c>
      <c r="H17" s="118">
        <v>402</v>
      </c>
      <c r="I17" s="22">
        <v>4</v>
      </c>
      <c r="J17" s="119">
        <v>4</v>
      </c>
      <c r="K17" s="123" t="s">
        <v>1977</v>
      </c>
      <c r="L17" s="22">
        <v>0</v>
      </c>
      <c r="M17" s="22">
        <v>0</v>
      </c>
      <c r="N17" s="125">
        <v>0</v>
      </c>
      <c r="O17" s="22">
        <v>0</v>
      </c>
      <c r="P17" s="22">
        <v>0</v>
      </c>
      <c r="Q17" s="22">
        <v>1</v>
      </c>
      <c r="R17" s="22">
        <v>1</v>
      </c>
      <c r="S17" s="134"/>
      <c r="T17" s="22">
        <v>0</v>
      </c>
      <c r="U17" s="22">
        <v>0</v>
      </c>
      <c r="V17" s="22">
        <v>1</v>
      </c>
      <c r="W17" s="23"/>
      <c r="X17" s="23"/>
      <c r="Y17" s="23"/>
    </row>
    <row r="18" spans="1:25" ht="14.4">
      <c r="A18" s="111">
        <v>2</v>
      </c>
      <c r="B18" s="112" t="s">
        <v>1978</v>
      </c>
      <c r="C18" s="25">
        <v>18</v>
      </c>
      <c r="D18" s="113">
        <v>1</v>
      </c>
      <c r="E18" s="114">
        <v>43711</v>
      </c>
      <c r="F18" s="115" t="str">
        <f>HYPERLINK("https://news.detik.com/berita/d-4459990/akademisi-usu-hingga-uin-yogyakarta-akan-jadi-panelis-debat-cawapres ","sumber")</f>
        <v>sumber</v>
      </c>
      <c r="G18" s="115" t="str">
        <f t="shared" si="0"/>
        <v>lokasi</v>
      </c>
      <c r="H18" s="112">
        <v>211</v>
      </c>
      <c r="I18" s="26"/>
      <c r="J18" s="113">
        <v>4</v>
      </c>
      <c r="K18" s="124"/>
      <c r="L18" s="26"/>
      <c r="M18" s="26"/>
      <c r="N18" s="26"/>
      <c r="O18" s="26"/>
      <c r="P18" s="26"/>
      <c r="Q18" s="26"/>
      <c r="R18" s="26"/>
      <c r="S18" s="124"/>
      <c r="T18" s="26"/>
      <c r="U18" s="26"/>
      <c r="V18" s="26"/>
      <c r="W18" s="26"/>
      <c r="X18" s="26"/>
      <c r="Y18" s="25"/>
    </row>
    <row r="19" spans="1:25" ht="14.4">
      <c r="A19" s="111">
        <v>2</v>
      </c>
      <c r="B19" s="112" t="s">
        <v>1979</v>
      </c>
      <c r="C19" s="25">
        <v>19</v>
      </c>
      <c r="D19" s="113">
        <v>6</v>
      </c>
      <c r="E19" s="114">
        <v>43772</v>
      </c>
      <c r="F19" s="115" t="str">
        <f>HYPERLINK("https://nasional.kompas.com/read/2019/03/11/09223591/akademisi-usu-unhas-hingga-praktisi-akan-jadi-panelis-debat-ketiga ","sumber")</f>
        <v>sumber</v>
      </c>
      <c r="G19" s="115" t="str">
        <f t="shared" si="0"/>
        <v>lokasi</v>
      </c>
      <c r="H19" s="112">
        <v>303</v>
      </c>
      <c r="I19" s="26"/>
      <c r="J19" s="113">
        <v>4</v>
      </c>
      <c r="K19" s="124"/>
      <c r="L19" s="26"/>
      <c r="M19" s="26"/>
      <c r="N19" s="26"/>
      <c r="O19" s="26"/>
      <c r="P19" s="26"/>
      <c r="Q19" s="26"/>
      <c r="R19" s="26"/>
      <c r="S19" s="124"/>
      <c r="T19" s="26"/>
      <c r="U19" s="26"/>
      <c r="V19" s="26"/>
      <c r="W19" s="26"/>
      <c r="X19" s="26"/>
      <c r="Y19" s="25"/>
    </row>
    <row r="20" spans="1:25" ht="14.4">
      <c r="A20" s="111">
        <v>2</v>
      </c>
      <c r="B20" s="112" t="s">
        <v>1980</v>
      </c>
      <c r="C20" s="25">
        <v>20</v>
      </c>
      <c r="D20" s="113">
        <v>4</v>
      </c>
      <c r="E20" s="113" t="s">
        <v>491</v>
      </c>
      <c r="F20" s="115" t="str">
        <f>HYPERLINK("https://www.liputan6.com/global/read/3919962/19-3-2003-dimulainya-perang-irak-yang-dilandasi-kebohongan ","sumber")</f>
        <v>sumber</v>
      </c>
      <c r="G20" s="115" t="str">
        <f t="shared" si="0"/>
        <v>lokasi</v>
      </c>
      <c r="H20" s="112">
        <v>783</v>
      </c>
      <c r="I20" s="26"/>
      <c r="J20" s="113">
        <v>4</v>
      </c>
      <c r="K20" s="124"/>
      <c r="L20" s="26"/>
      <c r="M20" s="26"/>
      <c r="N20" s="26"/>
      <c r="O20" s="26"/>
      <c r="P20" s="26"/>
      <c r="Q20" s="26"/>
      <c r="R20" s="26"/>
      <c r="S20" s="124"/>
      <c r="T20" s="26"/>
      <c r="U20" s="26"/>
      <c r="V20" s="26"/>
      <c r="W20" s="26"/>
      <c r="X20" s="26"/>
      <c r="Y20" s="25"/>
    </row>
    <row r="21" spans="1:25" ht="14.4">
      <c r="A21" s="117">
        <v>1</v>
      </c>
      <c r="B21" s="118" t="s">
        <v>1981</v>
      </c>
      <c r="C21" s="22">
        <v>21</v>
      </c>
      <c r="D21" s="119">
        <v>7</v>
      </c>
      <c r="E21" s="119" t="s">
        <v>491</v>
      </c>
      <c r="F21" s="121" t="str">
        <f>HYPERLINK("http://www.tribunnews.com/australia-plus/2019/03/19/penghayat-kepercayaan-indonesia-ingin-diakui-lebih-dari-kolom-ktp ","sumber")</f>
        <v>sumber</v>
      </c>
      <c r="G21" s="121" t="str">
        <f t="shared" si="0"/>
        <v>lokasi</v>
      </c>
      <c r="H21" s="118">
        <v>271</v>
      </c>
      <c r="I21" s="22">
        <v>4</v>
      </c>
      <c r="J21" s="119">
        <v>4</v>
      </c>
      <c r="K21" s="123" t="s">
        <v>1982</v>
      </c>
      <c r="L21" s="22">
        <v>0</v>
      </c>
      <c r="M21" s="22">
        <v>0</v>
      </c>
      <c r="N21" s="125">
        <v>0</v>
      </c>
      <c r="O21" s="22">
        <v>0</v>
      </c>
      <c r="P21" s="22">
        <v>0</v>
      </c>
      <c r="Q21" s="22" t="s">
        <v>1983</v>
      </c>
      <c r="R21" s="22" t="s">
        <v>1984</v>
      </c>
      <c r="S21" s="134"/>
      <c r="T21" s="22">
        <v>0</v>
      </c>
      <c r="U21" s="22">
        <v>0</v>
      </c>
      <c r="V21" s="22">
        <v>1</v>
      </c>
      <c r="W21" s="23"/>
      <c r="X21" s="23"/>
      <c r="Y21" s="23"/>
    </row>
    <row r="22" spans="1:25" ht="14.4">
      <c r="A22" s="117">
        <v>1</v>
      </c>
      <c r="B22" s="118" t="s">
        <v>1985</v>
      </c>
      <c r="C22" s="22">
        <v>22</v>
      </c>
      <c r="D22" s="119">
        <v>6</v>
      </c>
      <c r="E22" s="119" t="s">
        <v>493</v>
      </c>
      <c r="F22" s="121" t="str">
        <f>HYPERLINK("https://regional.kompas.com/read/2019/03/22/18034311/pemilu-2019-pengungsi-syiah-sampang-tak-bisa-memilih-caleg ","sumber")</f>
        <v>sumber</v>
      </c>
      <c r="G22" s="121" t="str">
        <f t="shared" si="0"/>
        <v>lokasi</v>
      </c>
      <c r="H22" s="118">
        <v>239</v>
      </c>
      <c r="I22" s="22">
        <v>4</v>
      </c>
      <c r="J22" s="119">
        <v>4</v>
      </c>
      <c r="K22" s="123" t="s">
        <v>1986</v>
      </c>
      <c r="L22" s="22">
        <v>0</v>
      </c>
      <c r="M22" s="22">
        <v>0</v>
      </c>
      <c r="N22" s="125">
        <v>0</v>
      </c>
      <c r="O22" s="22">
        <v>0</v>
      </c>
      <c r="P22" s="22">
        <v>0</v>
      </c>
      <c r="Q22" s="22">
        <v>0</v>
      </c>
      <c r="R22" s="22">
        <v>0</v>
      </c>
      <c r="S22" s="134"/>
      <c r="T22" s="22">
        <v>0</v>
      </c>
      <c r="U22" s="22">
        <v>0</v>
      </c>
      <c r="V22" s="22">
        <v>1</v>
      </c>
      <c r="W22" s="23"/>
      <c r="X22" s="23"/>
      <c r="Y22" s="23"/>
    </row>
    <row r="23" spans="1:25" ht="14.4">
      <c r="A23" s="117">
        <v>1</v>
      </c>
      <c r="B23" s="118" t="s">
        <v>1987</v>
      </c>
      <c r="C23" s="22">
        <v>23</v>
      </c>
      <c r="D23" s="119">
        <v>8</v>
      </c>
      <c r="E23" s="119" t="s">
        <v>493</v>
      </c>
      <c r="F23" s="121" t="str">
        <f>HYPERLINK("https://jatim.suara.com/read/2019/03/22/123128/ratusan-pengungsi-muslim-syiah-sampang-dipastikan-bisa-nyoblos-di-sidoarjo ","sumber")</f>
        <v>sumber</v>
      </c>
      <c r="G23" s="121" t="str">
        <f t="shared" si="0"/>
        <v>lokasi</v>
      </c>
      <c r="H23" s="118">
        <v>282</v>
      </c>
      <c r="I23" s="22">
        <v>4</v>
      </c>
      <c r="J23" s="119">
        <v>4</v>
      </c>
      <c r="K23" s="123" t="s">
        <v>1988</v>
      </c>
      <c r="L23" s="22">
        <v>0</v>
      </c>
      <c r="M23" s="22">
        <v>0</v>
      </c>
      <c r="N23" s="125">
        <v>0</v>
      </c>
      <c r="O23" s="22">
        <v>0</v>
      </c>
      <c r="P23" s="22">
        <v>0</v>
      </c>
      <c r="Q23" s="22">
        <v>0</v>
      </c>
      <c r="R23" s="22">
        <v>0</v>
      </c>
      <c r="S23" s="134"/>
      <c r="T23" s="22">
        <v>0</v>
      </c>
      <c r="U23" s="22">
        <v>0</v>
      </c>
      <c r="V23" s="22">
        <v>1</v>
      </c>
      <c r="W23" s="23"/>
      <c r="X23" s="23"/>
      <c r="Y23" s="23"/>
    </row>
    <row r="24" spans="1:25" ht="14.4">
      <c r="A24" s="126">
        <v>1</v>
      </c>
      <c r="B24" s="127" t="s">
        <v>1989</v>
      </c>
      <c r="C24" s="33">
        <v>24</v>
      </c>
      <c r="D24" s="128">
        <v>2</v>
      </c>
      <c r="E24" s="128" t="s">
        <v>121</v>
      </c>
      <c r="F24" s="130" t="str">
        <f>HYPERLINK("https://www.cnnindonesia.com/nasional/20190313140835-32-376888/kolom-agama-ktp-warga-baduy-diisi-penganut-kepercayaan","sumber")</f>
        <v>sumber</v>
      </c>
      <c r="G24" s="130" t="str">
        <f t="shared" si="0"/>
        <v>lokasi</v>
      </c>
      <c r="H24" s="127">
        <v>430</v>
      </c>
      <c r="I24" s="33">
        <v>4</v>
      </c>
      <c r="J24" s="128">
        <v>4</v>
      </c>
      <c r="K24" s="131" t="s">
        <v>1990</v>
      </c>
      <c r="L24" s="33">
        <v>0</v>
      </c>
      <c r="M24" s="33">
        <v>0</v>
      </c>
      <c r="N24" s="132">
        <v>0</v>
      </c>
      <c r="O24" s="33">
        <v>0</v>
      </c>
      <c r="P24" s="33">
        <v>0</v>
      </c>
      <c r="Q24" s="33" t="s">
        <v>1991</v>
      </c>
      <c r="R24" s="33" t="s">
        <v>360</v>
      </c>
      <c r="S24" s="133"/>
      <c r="T24" s="33">
        <v>0</v>
      </c>
      <c r="U24" s="33">
        <v>0</v>
      </c>
      <c r="V24" s="33">
        <v>1</v>
      </c>
      <c r="W24" s="24"/>
      <c r="X24" s="24"/>
      <c r="Y24" s="33"/>
    </row>
    <row r="25" spans="1:25" ht="14.4">
      <c r="A25" s="117">
        <v>1</v>
      </c>
      <c r="B25" s="118" t="s">
        <v>1992</v>
      </c>
      <c r="C25" s="22">
        <v>25</v>
      </c>
      <c r="D25" s="119">
        <v>9</v>
      </c>
      <c r="E25" s="119" t="s">
        <v>139</v>
      </c>
      <c r="F25" s="121" t="str">
        <f>HYPERLINK("https://internasional.republika.co.id/berita/internasional/asia/pp83gp366/selandia-baru-tak-punya-data-lengkap-kejahatan-kebencian ","sumber")</f>
        <v>sumber</v>
      </c>
      <c r="G25" s="121" t="str">
        <f t="shared" si="0"/>
        <v>lokasi</v>
      </c>
      <c r="H25" s="118">
        <v>568</v>
      </c>
      <c r="I25" s="22">
        <v>4</v>
      </c>
      <c r="J25" s="119">
        <v>4</v>
      </c>
      <c r="K25" s="123" t="s">
        <v>1993</v>
      </c>
      <c r="L25" s="22">
        <v>0</v>
      </c>
      <c r="M25" s="22">
        <v>0</v>
      </c>
      <c r="N25" s="125">
        <v>0</v>
      </c>
      <c r="O25" s="22">
        <v>0</v>
      </c>
      <c r="P25" s="22">
        <v>0</v>
      </c>
      <c r="Q25" s="22" t="s">
        <v>1994</v>
      </c>
      <c r="R25" s="22" t="s">
        <v>668</v>
      </c>
      <c r="S25" s="134"/>
      <c r="T25" s="22">
        <v>0</v>
      </c>
      <c r="U25" s="22">
        <v>0</v>
      </c>
      <c r="V25" s="22">
        <v>1</v>
      </c>
      <c r="W25" s="23"/>
      <c r="X25" s="23"/>
      <c r="Y25" s="23"/>
    </row>
    <row r="26" spans="1:25" ht="14.4">
      <c r="A26" s="111">
        <v>2</v>
      </c>
      <c r="B26" s="112" t="s">
        <v>1995</v>
      </c>
      <c r="C26" s="25">
        <v>26</v>
      </c>
      <c r="D26" s="113">
        <v>4</v>
      </c>
      <c r="E26" s="114">
        <v>43500</v>
      </c>
      <c r="F26" s="115" t="str">
        <f>HYPERLINK("https://www.liputan6.com/news/read/3932588/menkominfo-berita-hoaks-meningkat-tajam-jelang-pemilu ","sumber")</f>
        <v>sumber</v>
      </c>
      <c r="G26" s="115" t="str">
        <f t="shared" si="0"/>
        <v>lokasi</v>
      </c>
      <c r="H26" s="112">
        <v>410</v>
      </c>
      <c r="I26" s="26"/>
      <c r="J26" s="113">
        <v>4</v>
      </c>
      <c r="K26" s="124"/>
      <c r="L26" s="26"/>
      <c r="M26" s="26"/>
      <c r="N26" s="26"/>
      <c r="O26" s="26"/>
      <c r="P26" s="26"/>
      <c r="Q26" s="26"/>
      <c r="R26" s="26"/>
      <c r="S26" s="124"/>
      <c r="T26" s="26"/>
      <c r="U26" s="26"/>
      <c r="V26" s="26"/>
      <c r="W26" s="26"/>
      <c r="X26" s="26"/>
      <c r="Y26" s="25"/>
    </row>
    <row r="27" spans="1:25" ht="14.4">
      <c r="A27" s="117">
        <v>1</v>
      </c>
      <c r="B27" s="118" t="s">
        <v>1996</v>
      </c>
      <c r="C27" s="22">
        <v>27</v>
      </c>
      <c r="D27" s="119">
        <v>5</v>
      </c>
      <c r="E27" s="120">
        <v>43500</v>
      </c>
      <c r="F27" s="121" t="str">
        <f>HYPERLINK("https://tirto.id/pbb-kecam-kebijakan-hukuman-mati-lgbt-di-brunei-dkVs ","sumber")</f>
        <v>sumber</v>
      </c>
      <c r="G27" s="121" t="str">
        <f t="shared" si="0"/>
        <v>lokasi</v>
      </c>
      <c r="H27" s="118">
        <v>320</v>
      </c>
      <c r="I27" s="22">
        <v>4</v>
      </c>
      <c r="J27" s="122">
        <v>3</v>
      </c>
      <c r="K27" s="123" t="s">
        <v>1997</v>
      </c>
      <c r="L27" s="22">
        <v>0</v>
      </c>
      <c r="M27" s="22">
        <v>0</v>
      </c>
      <c r="N27" s="125">
        <v>0</v>
      </c>
      <c r="O27" s="22">
        <v>0</v>
      </c>
      <c r="P27" s="22">
        <v>0</v>
      </c>
      <c r="Q27" s="22">
        <v>0</v>
      </c>
      <c r="R27" s="22">
        <v>1</v>
      </c>
      <c r="S27" s="134"/>
      <c r="T27" s="22">
        <v>0</v>
      </c>
      <c r="U27" s="22">
        <v>0</v>
      </c>
      <c r="V27" s="22">
        <v>1</v>
      </c>
      <c r="W27" s="23"/>
      <c r="X27" s="23"/>
      <c r="Y27" s="23"/>
    </row>
    <row r="28" spans="1:25" ht="14.4">
      <c r="A28" s="135">
        <v>1</v>
      </c>
      <c r="B28" s="136" t="s">
        <v>1998</v>
      </c>
      <c r="C28" s="137">
        <v>28</v>
      </c>
      <c r="D28" s="138">
        <v>9</v>
      </c>
      <c r="E28" s="138" t="s">
        <v>173</v>
      </c>
      <c r="F28" s="139" t="str">
        <f>HYPERLINK("https://nasional.republika.co.id/berita/nasional/news-analysis/pqjkrd415/muslim-sri-lanka-berjuang-tepis-tudingan","sumber")</f>
        <v>sumber</v>
      </c>
      <c r="G28" s="139" t="str">
        <f t="shared" si="0"/>
        <v>lokasi</v>
      </c>
      <c r="H28" s="136">
        <v>527</v>
      </c>
      <c r="I28" s="137">
        <v>1</v>
      </c>
      <c r="J28" s="138">
        <v>4</v>
      </c>
      <c r="K28" s="140" t="s">
        <v>1999</v>
      </c>
      <c r="L28" s="137">
        <v>0</v>
      </c>
      <c r="M28" s="137">
        <v>1</v>
      </c>
      <c r="N28" s="141">
        <v>0</v>
      </c>
      <c r="O28" s="137">
        <v>0</v>
      </c>
      <c r="P28" s="137">
        <v>0</v>
      </c>
      <c r="Q28" s="137" t="s">
        <v>2000</v>
      </c>
      <c r="R28" s="137" t="s">
        <v>743</v>
      </c>
      <c r="S28" s="142"/>
      <c r="T28" s="137">
        <v>0</v>
      </c>
      <c r="U28" s="137">
        <v>0</v>
      </c>
      <c r="V28" s="137">
        <v>1</v>
      </c>
      <c r="W28" s="143"/>
      <c r="X28" s="143"/>
      <c r="Y28" s="137"/>
    </row>
    <row r="29" spans="1:25" ht="14.4">
      <c r="A29" s="117">
        <v>1</v>
      </c>
      <c r="B29" s="118" t="s">
        <v>2001</v>
      </c>
      <c r="C29" s="22">
        <v>29</v>
      </c>
      <c r="D29" s="119">
        <v>3</v>
      </c>
      <c r="E29" s="120">
        <v>43620</v>
      </c>
      <c r="F29" s="121" t="str">
        <f>HYPERLINK("https://news.okezone.com/read/2019/04/06/510/2039797/sultan-hb-x-keluarkan-instruksi-soal-pencegahan-intoleransi-di-yogyakarta ","sumber")</f>
        <v>sumber</v>
      </c>
      <c r="G29" s="121" t="str">
        <f t="shared" si="0"/>
        <v>lokasi</v>
      </c>
      <c r="H29" s="118">
        <v>322</v>
      </c>
      <c r="I29" s="22">
        <v>4</v>
      </c>
      <c r="J29" s="119">
        <v>4</v>
      </c>
      <c r="K29" s="123" t="s">
        <v>2002</v>
      </c>
      <c r="L29" s="22">
        <v>0</v>
      </c>
      <c r="M29" s="22">
        <v>0</v>
      </c>
      <c r="N29" s="125">
        <v>0</v>
      </c>
      <c r="O29" s="22">
        <v>0</v>
      </c>
      <c r="P29" s="22">
        <v>0</v>
      </c>
      <c r="Q29" s="22">
        <v>0</v>
      </c>
      <c r="R29" s="22">
        <v>1</v>
      </c>
      <c r="S29" s="134"/>
      <c r="T29" s="22">
        <v>0</v>
      </c>
      <c r="U29" s="22">
        <v>0</v>
      </c>
      <c r="V29" s="22">
        <v>1</v>
      </c>
      <c r="W29" s="23"/>
      <c r="X29" s="23"/>
      <c r="Y29" s="23"/>
    </row>
    <row r="30" spans="1:25" ht="14.4">
      <c r="A30" s="111">
        <v>2</v>
      </c>
      <c r="B30" s="112" t="s">
        <v>2003</v>
      </c>
      <c r="C30" s="25">
        <v>30</v>
      </c>
      <c r="D30" s="113">
        <v>7</v>
      </c>
      <c r="E30" s="114">
        <v>43681</v>
      </c>
      <c r="F30" s="115" t="str">
        <f>HYPERLINK("http://www.tribunnews.com/internasional/2019/04/08/as-akan-masukkan-garda-revolusi-iran-dalam-daftar-hitam-kelompok-teroris ","sumber")</f>
        <v>sumber</v>
      </c>
      <c r="G30" s="115" t="str">
        <f t="shared" si="0"/>
        <v>lokasi</v>
      </c>
      <c r="H30" s="112">
        <v>348</v>
      </c>
      <c r="I30" s="26"/>
      <c r="J30" s="113">
        <v>4</v>
      </c>
      <c r="K30" s="124"/>
      <c r="L30" s="26"/>
      <c r="M30" s="26"/>
      <c r="N30" s="26"/>
      <c r="O30" s="26"/>
      <c r="P30" s="26"/>
      <c r="Q30" s="26"/>
      <c r="R30" s="26"/>
      <c r="S30" s="124"/>
      <c r="T30" s="26"/>
      <c r="U30" s="26"/>
      <c r="V30" s="26"/>
      <c r="W30" s="26"/>
      <c r="X30" s="26"/>
      <c r="Y30" s="25"/>
    </row>
    <row r="31" spans="1:25" ht="14.4">
      <c r="A31" s="117">
        <v>1</v>
      </c>
      <c r="B31" s="118" t="s">
        <v>2004</v>
      </c>
      <c r="C31" s="22">
        <v>31</v>
      </c>
      <c r="D31" s="119">
        <v>9</v>
      </c>
      <c r="E31" s="120">
        <v>43773</v>
      </c>
      <c r="F31" s="121" t="str">
        <f>HYPERLINK("https://nasional.republika.co.id/berita/nasional/news-analysis/ppr30a440/mengapa-debat-capres-terakhir-penting-disaksikan ","sumber")</f>
        <v>sumber</v>
      </c>
      <c r="G31" s="121" t="str">
        <f t="shared" si="0"/>
        <v>lokasi</v>
      </c>
      <c r="H31" s="118">
        <v>461</v>
      </c>
      <c r="I31" s="22">
        <v>3</v>
      </c>
      <c r="J31" s="119">
        <v>4</v>
      </c>
      <c r="K31" s="123" t="s">
        <v>2005</v>
      </c>
      <c r="L31" s="22">
        <v>0</v>
      </c>
      <c r="M31" s="22">
        <v>0</v>
      </c>
      <c r="N31" s="125">
        <v>0</v>
      </c>
      <c r="O31" s="22">
        <v>0</v>
      </c>
      <c r="P31" s="22">
        <v>0</v>
      </c>
      <c r="Q31" s="22" t="s">
        <v>855</v>
      </c>
      <c r="R31" s="146" t="s">
        <v>2006</v>
      </c>
      <c r="S31" s="134"/>
      <c r="T31" s="22">
        <v>0</v>
      </c>
      <c r="U31" s="22">
        <v>0</v>
      </c>
      <c r="V31" s="22">
        <v>0</v>
      </c>
      <c r="W31" s="23"/>
      <c r="X31" s="23"/>
      <c r="Y31" s="23"/>
    </row>
    <row r="32" spans="1:25" ht="14.4">
      <c r="A32" s="117">
        <v>1</v>
      </c>
      <c r="B32" s="118" t="s">
        <v>2007</v>
      </c>
      <c r="C32" s="22">
        <v>32</v>
      </c>
      <c r="D32" s="119">
        <v>6</v>
      </c>
      <c r="E32" s="120">
        <v>43803</v>
      </c>
      <c r="F32" s="121" t="str">
        <f>HYPERLINK("https://internasional.kompas.com/read/2019/04/12/19140231/pasar-buah-di-pakistan-diserang-bom-bunuh-diri-20-orang-tewas ","sumber")</f>
        <v>sumber</v>
      </c>
      <c r="G32" s="121" t="str">
        <f t="shared" si="0"/>
        <v>lokasi</v>
      </c>
      <c r="H32" s="118">
        <v>355</v>
      </c>
      <c r="I32" s="22">
        <v>1</v>
      </c>
      <c r="J32" s="119">
        <v>4</v>
      </c>
      <c r="K32" s="123" t="s">
        <v>2008</v>
      </c>
      <c r="L32" s="22">
        <v>0</v>
      </c>
      <c r="M32" s="147">
        <v>0</v>
      </c>
      <c r="N32" s="125">
        <v>0</v>
      </c>
      <c r="O32" s="22">
        <v>0</v>
      </c>
      <c r="P32" s="22">
        <v>0</v>
      </c>
      <c r="Q32" s="22" t="s">
        <v>170</v>
      </c>
      <c r="R32" s="22" t="s">
        <v>170</v>
      </c>
      <c r="S32" s="134"/>
      <c r="T32" s="22">
        <v>0</v>
      </c>
      <c r="U32" s="22">
        <v>0</v>
      </c>
      <c r="V32" s="22">
        <v>1</v>
      </c>
      <c r="W32" s="23"/>
      <c r="X32" s="23"/>
      <c r="Y32" s="23"/>
    </row>
    <row r="33" spans="1:25" ht="14.4">
      <c r="A33" s="117">
        <v>1</v>
      </c>
      <c r="B33" s="118" t="s">
        <v>2009</v>
      </c>
      <c r="C33" s="22">
        <v>33</v>
      </c>
      <c r="D33" s="119">
        <v>3</v>
      </c>
      <c r="E33" s="119" t="s">
        <v>516</v>
      </c>
      <c r="F33" s="121" t="str">
        <f>HYPERLINK("https://news.okezone.com/read/2019/04/14/18/2043309/inilah-sadaf-jaffer-muslimah-pertama-yang-menjabat-wali-kota-di-amerika-serikat ","sumber")</f>
        <v>sumber</v>
      </c>
      <c r="G33" s="121" t="str">
        <f t="shared" si="0"/>
        <v>lokasi</v>
      </c>
      <c r="H33" s="118">
        <v>729</v>
      </c>
      <c r="I33" s="22">
        <v>2</v>
      </c>
      <c r="J33" s="119">
        <v>4</v>
      </c>
      <c r="K33" s="123" t="s">
        <v>2010</v>
      </c>
      <c r="L33" s="22">
        <v>0</v>
      </c>
      <c r="M33" s="22">
        <v>0</v>
      </c>
      <c r="N33" s="125">
        <v>0</v>
      </c>
      <c r="O33" s="22">
        <v>0</v>
      </c>
      <c r="P33" s="22">
        <v>0</v>
      </c>
      <c r="Q33" s="22">
        <v>2</v>
      </c>
      <c r="R33" s="22">
        <v>1</v>
      </c>
      <c r="S33" s="134"/>
      <c r="T33" s="22">
        <v>0</v>
      </c>
      <c r="U33" s="22">
        <v>0</v>
      </c>
      <c r="V33" s="22">
        <v>0</v>
      </c>
      <c r="W33" s="23"/>
      <c r="X33" s="23"/>
      <c r="Y33" s="23"/>
    </row>
    <row r="34" spans="1:25" ht="14.4">
      <c r="A34" s="117">
        <v>1</v>
      </c>
      <c r="B34" s="118" t="s">
        <v>2011</v>
      </c>
      <c r="C34" s="22">
        <v>34</v>
      </c>
      <c r="D34" s="119">
        <v>6</v>
      </c>
      <c r="E34" s="119" t="s">
        <v>2012</v>
      </c>
      <c r="F34" s="121" t="str">
        <f>HYPERLINK("https://regional.kompas.com/read/2019/04/17/14244271/ahmadiyah-pastikan-puluhan-ribu-jamaahnya-ikuti-pemilu-2019 ","sumber")</f>
        <v>sumber</v>
      </c>
      <c r="G34" s="121" t="str">
        <f t="shared" si="0"/>
        <v>lokasi</v>
      </c>
      <c r="H34" s="118">
        <v>25</v>
      </c>
      <c r="I34" s="22">
        <v>3</v>
      </c>
      <c r="J34" s="119">
        <v>4</v>
      </c>
      <c r="K34" s="123" t="s">
        <v>2013</v>
      </c>
      <c r="L34" s="22">
        <v>0</v>
      </c>
      <c r="M34" s="22">
        <v>0</v>
      </c>
      <c r="N34" s="125">
        <v>0</v>
      </c>
      <c r="O34" s="22">
        <v>0</v>
      </c>
      <c r="P34" s="22">
        <v>0</v>
      </c>
      <c r="Q34" s="22" t="s">
        <v>1870</v>
      </c>
      <c r="R34" s="22" t="s">
        <v>160</v>
      </c>
      <c r="S34" s="134"/>
      <c r="T34" s="22">
        <v>0</v>
      </c>
      <c r="U34" s="22">
        <v>0</v>
      </c>
      <c r="V34" s="22">
        <v>0</v>
      </c>
      <c r="W34" s="23"/>
      <c r="X34" s="23"/>
      <c r="Y34" s="23"/>
    </row>
    <row r="35" spans="1:25" ht="14.4">
      <c r="A35" s="117">
        <v>1</v>
      </c>
      <c r="B35" s="118" t="s">
        <v>2014</v>
      </c>
      <c r="C35" s="22">
        <v>35</v>
      </c>
      <c r="D35" s="119">
        <v>4</v>
      </c>
      <c r="E35" s="119" t="s">
        <v>165</v>
      </c>
      <c r="F35" s="121" t="str">
        <f>HYPERLINK("https://www.liputan6.com/global/read/3949226/terbesar-kedua-dalam-sejarah-saudi-37-orang-terkait-teroris-dipenggal-sehari ","sumber")</f>
        <v>sumber</v>
      </c>
      <c r="G35" s="121" t="str">
        <f t="shared" si="0"/>
        <v>lokasi</v>
      </c>
      <c r="H35" s="118">
        <v>476</v>
      </c>
      <c r="I35" s="22">
        <v>1</v>
      </c>
      <c r="J35" s="119">
        <v>4</v>
      </c>
      <c r="K35" s="123" t="s">
        <v>2015</v>
      </c>
      <c r="L35" s="22">
        <v>0</v>
      </c>
      <c r="M35" s="22">
        <v>1</v>
      </c>
      <c r="N35" s="125">
        <v>0</v>
      </c>
      <c r="O35" s="22">
        <v>0</v>
      </c>
      <c r="P35" s="22">
        <v>0</v>
      </c>
      <c r="Q35" s="22" t="s">
        <v>21</v>
      </c>
      <c r="R35" s="22" t="s">
        <v>837</v>
      </c>
      <c r="S35" s="123" t="s">
        <v>2016</v>
      </c>
      <c r="T35" s="22">
        <v>1</v>
      </c>
      <c r="U35" s="22">
        <v>0</v>
      </c>
      <c r="V35" s="22">
        <v>1</v>
      </c>
      <c r="W35" s="23"/>
      <c r="X35" s="23"/>
      <c r="Y35" s="23"/>
    </row>
    <row r="36" spans="1:25" ht="14.4">
      <c r="A36" s="117">
        <v>1</v>
      </c>
      <c r="B36" s="118" t="s">
        <v>2017</v>
      </c>
      <c r="C36" s="22">
        <v>36</v>
      </c>
      <c r="D36" s="119">
        <v>1</v>
      </c>
      <c r="E36" s="119" t="s">
        <v>2018</v>
      </c>
      <c r="F36" s="121" t="str">
        <f>HYPERLINK("https://news.detik.com/berita/d-4527790/mk-effect-penghayat-kini-bisa-gelar-pernikahan-sesuai-keyakinannya ","sumber")</f>
        <v>sumber</v>
      </c>
      <c r="G36" s="121" t="str">
        <f t="shared" si="0"/>
        <v>lokasi</v>
      </c>
      <c r="H36" s="118">
        <v>614</v>
      </c>
      <c r="I36" s="22">
        <v>3</v>
      </c>
      <c r="J36" s="119">
        <v>4</v>
      </c>
      <c r="K36" s="123" t="s">
        <v>2019</v>
      </c>
      <c r="L36" s="22">
        <v>0</v>
      </c>
      <c r="M36" s="22">
        <v>0</v>
      </c>
      <c r="N36" s="125">
        <v>0</v>
      </c>
      <c r="O36" s="22">
        <v>0</v>
      </c>
      <c r="P36" s="22">
        <v>0</v>
      </c>
      <c r="Q36" s="22" t="s">
        <v>2020</v>
      </c>
      <c r="R36" s="22" t="s">
        <v>668</v>
      </c>
      <c r="S36" s="134"/>
      <c r="T36" s="22">
        <v>0</v>
      </c>
      <c r="U36" s="22">
        <v>0</v>
      </c>
      <c r="V36" s="22">
        <v>0</v>
      </c>
      <c r="W36" s="23"/>
      <c r="X36" s="23"/>
      <c r="Y36" s="23"/>
    </row>
    <row r="37" spans="1:25" ht="14.4">
      <c r="A37" s="117">
        <v>1</v>
      </c>
      <c r="B37" s="118" t="s">
        <v>2021</v>
      </c>
      <c r="C37" s="22">
        <v>37</v>
      </c>
      <c r="D37" s="119">
        <v>4</v>
      </c>
      <c r="E37" s="119" t="s">
        <v>2018</v>
      </c>
      <c r="F37" s="121" t="str">
        <f>HYPERLINK("https://www.liputan6.com/global/read/3952307/warga-saudi-yang-dieksekusi-gantung-bantah-terlibat-aksi-terorisme ","sumber")</f>
        <v>sumber</v>
      </c>
      <c r="G37" s="121" t="str">
        <f t="shared" si="0"/>
        <v>lokasi</v>
      </c>
      <c r="H37" s="118">
        <v>563</v>
      </c>
      <c r="I37" s="22">
        <v>1</v>
      </c>
      <c r="J37" s="119">
        <v>4</v>
      </c>
      <c r="K37" s="123" t="s">
        <v>2022</v>
      </c>
      <c r="L37" s="22">
        <v>0</v>
      </c>
      <c r="M37" s="22">
        <v>-1</v>
      </c>
      <c r="N37" s="125">
        <v>0</v>
      </c>
      <c r="O37" s="22">
        <v>0</v>
      </c>
      <c r="P37" s="22">
        <v>0</v>
      </c>
      <c r="Q37" s="22" t="s">
        <v>57</v>
      </c>
      <c r="R37" s="22" t="s">
        <v>1026</v>
      </c>
      <c r="S37" s="134"/>
      <c r="T37" s="22">
        <v>0</v>
      </c>
      <c r="U37" s="22">
        <v>0</v>
      </c>
      <c r="V37" s="22">
        <v>1</v>
      </c>
      <c r="W37" s="23"/>
      <c r="X37" s="23"/>
      <c r="Y37" s="23"/>
    </row>
    <row r="38" spans="1:25" ht="14.4">
      <c r="A38" s="111">
        <v>2</v>
      </c>
      <c r="B38" s="112" t="s">
        <v>2023</v>
      </c>
      <c r="C38" s="25">
        <v>38</v>
      </c>
      <c r="D38" s="113">
        <v>9</v>
      </c>
      <c r="E38" s="114">
        <v>43682</v>
      </c>
      <c r="F38" s="115" t="str">
        <f>HYPERLINK("https://internasional.republika.co.id/berita/internasional/asia/pr6svx320/bom-meledak-di-zawiyah-sufi-lahore-bidik-anggota-polisi ","sumber")</f>
        <v>sumber</v>
      </c>
      <c r="G38" s="115" t="str">
        <f t="shared" si="0"/>
        <v>lokasi</v>
      </c>
      <c r="H38" s="112">
        <v>260</v>
      </c>
      <c r="I38" s="26"/>
      <c r="J38" s="113">
        <v>4</v>
      </c>
      <c r="K38" s="124"/>
      <c r="L38" s="26"/>
      <c r="M38" s="26"/>
      <c r="N38" s="26"/>
      <c r="O38" s="26"/>
      <c r="P38" s="26"/>
      <c r="Q38" s="26"/>
      <c r="R38" s="26"/>
      <c r="S38" s="124"/>
      <c r="T38" s="26"/>
      <c r="U38" s="26"/>
      <c r="V38" s="26"/>
      <c r="W38" s="26"/>
      <c r="X38" s="26"/>
      <c r="Y38" s="25"/>
    </row>
    <row r="39" spans="1:25" ht="14.4">
      <c r="A39" s="111">
        <v>2</v>
      </c>
      <c r="B39" s="112" t="s">
        <v>2024</v>
      </c>
      <c r="C39" s="25">
        <v>39</v>
      </c>
      <c r="D39" s="113">
        <v>10</v>
      </c>
      <c r="E39" s="113" t="s">
        <v>358</v>
      </c>
      <c r="F39" s="115" t="str">
        <f>HYPERLINK("https://dunia.tempo.co/read/1206885/iran-as-memanas-exxonmobil-evakuasi-staf-asing-dari-irak ","sumber")</f>
        <v>sumber</v>
      </c>
      <c r="G39" s="115" t="str">
        <f t="shared" si="0"/>
        <v>lokasi</v>
      </c>
      <c r="H39" s="112">
        <v>359</v>
      </c>
      <c r="I39" s="26"/>
      <c r="J39" s="113">
        <v>4</v>
      </c>
      <c r="K39" s="124"/>
      <c r="L39" s="26"/>
      <c r="M39" s="26"/>
      <c r="N39" s="26"/>
      <c r="O39" s="26"/>
      <c r="P39" s="26"/>
      <c r="Q39" s="26"/>
      <c r="R39" s="26"/>
      <c r="S39" s="124"/>
      <c r="T39" s="26"/>
      <c r="U39" s="26"/>
      <c r="V39" s="26"/>
      <c r="W39" s="26"/>
      <c r="X39" s="26"/>
      <c r="Y39" s="25"/>
    </row>
    <row r="40" spans="1:25" ht="14.4">
      <c r="A40" s="111">
        <v>2</v>
      </c>
      <c r="B40" s="112" t="s">
        <v>2025</v>
      </c>
      <c r="C40" s="25">
        <v>40</v>
      </c>
      <c r="D40" s="113">
        <v>6</v>
      </c>
      <c r="E40" s="113" t="s">
        <v>212</v>
      </c>
      <c r="F40" s="115" t="str">
        <f>HYPERLINK("https://internasional.kompas.com/read/2019/05/20/15574531/meski-militer-as-lebih-dominan-faktor-ini-jadi-keunggulan-iran ","sumber")</f>
        <v>sumber</v>
      </c>
      <c r="G40" s="115" t="str">
        <f t="shared" si="0"/>
        <v>lokasi</v>
      </c>
      <c r="H40" s="112">
        <v>337</v>
      </c>
      <c r="I40" s="26"/>
      <c r="J40" s="113">
        <v>4</v>
      </c>
      <c r="K40" s="124"/>
      <c r="L40" s="26"/>
      <c r="M40" s="26"/>
      <c r="N40" s="26"/>
      <c r="O40" s="26"/>
      <c r="P40" s="26"/>
      <c r="Q40" s="26"/>
      <c r="R40" s="26"/>
      <c r="S40" s="124"/>
      <c r="T40" s="26"/>
      <c r="U40" s="26"/>
      <c r="V40" s="26"/>
      <c r="W40" s="26"/>
      <c r="X40" s="26"/>
      <c r="Y40" s="25"/>
    </row>
    <row r="41" spans="1:25" ht="14.4">
      <c r="A41" s="117">
        <v>1</v>
      </c>
      <c r="B41" s="118" t="s">
        <v>2026</v>
      </c>
      <c r="C41" s="22">
        <v>41</v>
      </c>
      <c r="D41" s="119">
        <v>8</v>
      </c>
      <c r="E41" s="119" t="s">
        <v>2027</v>
      </c>
      <c r="F41" s="121" t="str">
        <f>HYPERLINK("https://www.suara.com/news/2019/05/25/051350/bom-meledak-di-masjid-2-warga-pakistan-tewas-dan-14-luka ","sumber")</f>
        <v>sumber</v>
      </c>
      <c r="G41" s="121" t="str">
        <f t="shared" si="0"/>
        <v>lokasi</v>
      </c>
      <c r="H41" s="118">
        <v>126</v>
      </c>
      <c r="I41" s="22">
        <v>1</v>
      </c>
      <c r="J41" s="119">
        <v>4</v>
      </c>
      <c r="K41" s="123" t="s">
        <v>2028</v>
      </c>
      <c r="L41" s="22">
        <v>0</v>
      </c>
      <c r="M41" s="22">
        <v>-1</v>
      </c>
      <c r="N41" s="125">
        <v>0</v>
      </c>
      <c r="O41" s="22">
        <v>0</v>
      </c>
      <c r="P41" s="22">
        <v>0</v>
      </c>
      <c r="Q41" s="22">
        <v>0</v>
      </c>
      <c r="R41" s="22">
        <v>0</v>
      </c>
      <c r="S41" s="134"/>
      <c r="T41" s="22">
        <v>0</v>
      </c>
      <c r="U41" s="22">
        <v>0</v>
      </c>
      <c r="V41" s="22">
        <v>1</v>
      </c>
      <c r="W41" s="23"/>
      <c r="X41" s="23"/>
      <c r="Y41" s="23"/>
    </row>
    <row r="42" spans="1:25" ht="14.4">
      <c r="A42" s="117">
        <v>1</v>
      </c>
      <c r="B42" s="118" t="s">
        <v>2029</v>
      </c>
      <c r="C42" s="22">
        <v>42</v>
      </c>
      <c r="D42" s="119">
        <v>2</v>
      </c>
      <c r="E42" s="119" t="s">
        <v>2030</v>
      </c>
      <c r="F42" s="121" t="str">
        <f>HYPERLINK("https://www.cnnindonesia.com/internasional/20190527190116-120-398853/irak-usul-jadi-penengah-perseteruan-as-dan-iran ","sumber")</f>
        <v>sumber</v>
      </c>
      <c r="G42" s="121" t="str">
        <f t="shared" si="0"/>
        <v>lokasi</v>
      </c>
      <c r="H42" s="118">
        <v>372</v>
      </c>
      <c r="I42" s="22">
        <v>1</v>
      </c>
      <c r="J42" s="119">
        <v>4</v>
      </c>
      <c r="K42" s="123" t="s">
        <v>2031</v>
      </c>
      <c r="L42" s="22">
        <v>0</v>
      </c>
      <c r="M42" s="22">
        <v>1</v>
      </c>
      <c r="N42" s="125">
        <v>0</v>
      </c>
      <c r="O42" s="22">
        <v>0</v>
      </c>
      <c r="P42" s="22">
        <v>0</v>
      </c>
      <c r="Q42" s="22">
        <v>0</v>
      </c>
      <c r="R42" s="22">
        <v>1</v>
      </c>
      <c r="S42" s="134"/>
      <c r="T42" s="22">
        <v>0</v>
      </c>
      <c r="U42" s="22">
        <v>0</v>
      </c>
      <c r="V42" s="22">
        <v>1</v>
      </c>
      <c r="W42" s="23"/>
      <c r="X42" s="23"/>
      <c r="Y42" s="23"/>
    </row>
    <row r="43" spans="1:25" ht="14.4">
      <c r="A43" s="111">
        <v>2</v>
      </c>
      <c r="B43" s="112" t="s">
        <v>2032</v>
      </c>
      <c r="C43" s="25">
        <v>43</v>
      </c>
      <c r="D43" s="113">
        <v>4</v>
      </c>
      <c r="E43" s="113" t="s">
        <v>227</v>
      </c>
      <c r="F43" s="115" t="str">
        <f>HYPERLINK("https://www.liputan6.com/global/read/3990423/balas-rudal-houthi-saudi-hantam-ibu-kota-yaman-yang-dikuasai-pemberontak ","sumber")</f>
        <v>sumber</v>
      </c>
      <c r="G43" s="115" t="str">
        <f t="shared" si="0"/>
        <v>lokasi</v>
      </c>
      <c r="H43" s="112">
        <v>437</v>
      </c>
      <c r="I43" s="26"/>
      <c r="J43" s="113">
        <v>4</v>
      </c>
      <c r="K43" s="124"/>
      <c r="L43" s="26"/>
      <c r="M43" s="26"/>
      <c r="N43" s="26"/>
      <c r="O43" s="26"/>
      <c r="P43" s="26"/>
      <c r="Q43" s="26"/>
      <c r="R43" s="26"/>
      <c r="S43" s="124"/>
      <c r="T43" s="26"/>
      <c r="U43" s="26"/>
      <c r="V43" s="26"/>
      <c r="W43" s="26"/>
      <c r="X43" s="26"/>
      <c r="Y43" s="25"/>
    </row>
    <row r="44" spans="1:25" ht="14.4">
      <c r="A44" s="111">
        <v>2</v>
      </c>
      <c r="B44" s="112" t="s">
        <v>1144</v>
      </c>
      <c r="C44" s="25">
        <v>44</v>
      </c>
      <c r="D44" s="113">
        <v>1</v>
      </c>
      <c r="E44" s="113" t="s">
        <v>382</v>
      </c>
      <c r="F44" s="115" t="str">
        <f>HYPERLINK("https://news.detik.com/kolom/d-4590828/menolak-mantan-isis ","sumber")</f>
        <v>sumber</v>
      </c>
      <c r="G44" s="115" t="str">
        <f t="shared" si="0"/>
        <v>lokasi</v>
      </c>
      <c r="H44" s="112">
        <v>1401</v>
      </c>
      <c r="I44" s="26"/>
      <c r="J44" s="113">
        <v>4</v>
      </c>
      <c r="K44" s="124"/>
      <c r="L44" s="26"/>
      <c r="M44" s="26"/>
      <c r="N44" s="26"/>
      <c r="O44" s="26"/>
      <c r="P44" s="26"/>
      <c r="Q44" s="26"/>
      <c r="R44" s="26"/>
      <c r="S44" s="124"/>
      <c r="T44" s="26"/>
      <c r="U44" s="26"/>
      <c r="V44" s="26"/>
      <c r="W44" s="26"/>
      <c r="X44" s="26"/>
      <c r="Y44" s="25"/>
    </row>
    <row r="45" spans="1:25" ht="14.4">
      <c r="A45" s="111">
        <v>2</v>
      </c>
      <c r="B45" s="112" t="s">
        <v>2033</v>
      </c>
      <c r="C45" s="25">
        <v>45</v>
      </c>
      <c r="D45" s="113">
        <v>5</v>
      </c>
      <c r="E45" s="113" t="s">
        <v>382</v>
      </c>
      <c r="F45" s="115" t="str">
        <f>HYPERLINK("https://tirto.id/obituari-muhammad-mursi-kuasa-singkat-tokoh-ikhwanul-muslimin-ecB2 ","sumber")</f>
        <v>sumber</v>
      </c>
      <c r="G45" s="115" t="str">
        <f t="shared" si="0"/>
        <v>lokasi</v>
      </c>
      <c r="H45" s="112">
        <v>1222</v>
      </c>
      <c r="I45" s="26"/>
      <c r="J45" s="113">
        <v>4</v>
      </c>
      <c r="K45" s="124"/>
      <c r="L45" s="26"/>
      <c r="M45" s="26"/>
      <c r="N45" s="26"/>
      <c r="O45" s="26"/>
      <c r="P45" s="26"/>
      <c r="Q45" s="26"/>
      <c r="R45" s="26"/>
      <c r="S45" s="124"/>
      <c r="T45" s="26"/>
      <c r="U45" s="26"/>
      <c r="V45" s="26"/>
      <c r="W45" s="26"/>
      <c r="X45" s="26"/>
      <c r="Y45" s="25"/>
    </row>
    <row r="46" spans="1:25" ht="14.4">
      <c r="A46" s="111">
        <v>2</v>
      </c>
      <c r="B46" s="112" t="s">
        <v>2034</v>
      </c>
      <c r="C46" s="25">
        <v>46</v>
      </c>
      <c r="D46" s="113">
        <v>7</v>
      </c>
      <c r="E46" s="113" t="s">
        <v>2035</v>
      </c>
      <c r="F46" s="115" t="str">
        <f>HYPERLINK("http://www.tribunnews.com/regional/2019/06/24/badai-terjang-8-wilayah-di-aceh-seorang-meninggal-belasan-bangunan-rusak ","sumber")</f>
        <v>sumber</v>
      </c>
      <c r="G46" s="115" t="str">
        <f t="shared" si="0"/>
        <v>lokasi</v>
      </c>
      <c r="H46" s="112">
        <v>202</v>
      </c>
      <c r="I46" s="26"/>
      <c r="J46" s="113">
        <v>4</v>
      </c>
      <c r="K46" s="124"/>
      <c r="L46" s="26"/>
      <c r="M46" s="26"/>
      <c r="N46" s="26"/>
      <c r="O46" s="26"/>
      <c r="P46" s="26"/>
      <c r="Q46" s="26"/>
      <c r="R46" s="26"/>
      <c r="S46" s="124"/>
      <c r="T46" s="26"/>
      <c r="U46" s="26"/>
      <c r="V46" s="26"/>
      <c r="W46" s="26"/>
      <c r="X46" s="26"/>
      <c r="Y46" s="25"/>
    </row>
    <row r="47" spans="1:25" ht="14.4">
      <c r="A47" s="111">
        <v>2</v>
      </c>
      <c r="B47" s="112" t="s">
        <v>2036</v>
      </c>
      <c r="C47" s="25">
        <v>47</v>
      </c>
      <c r="D47" s="113">
        <v>10</v>
      </c>
      <c r="E47" s="113" t="s">
        <v>584</v>
      </c>
      <c r="F47" s="115" t="str">
        <f>HYPERLINK("https://dunia.tempo.co/read/1218624/lebanon-tolak-tawaran-rp-85-triliun-dari-as-demi-bela-palestina ","sumber")</f>
        <v>sumber</v>
      </c>
      <c r="G47" s="115" t="str">
        <f t="shared" si="0"/>
        <v>lokasi</v>
      </c>
      <c r="H47" s="112">
        <v>267</v>
      </c>
      <c r="I47" s="26"/>
      <c r="J47" s="113">
        <v>4</v>
      </c>
      <c r="K47" s="124"/>
      <c r="L47" s="26"/>
      <c r="M47" s="26"/>
      <c r="N47" s="26"/>
      <c r="O47" s="26"/>
      <c r="P47" s="26"/>
      <c r="Q47" s="26"/>
      <c r="R47" s="26"/>
      <c r="S47" s="124"/>
      <c r="T47" s="26"/>
      <c r="U47" s="26"/>
      <c r="V47" s="26"/>
      <c r="W47" s="26"/>
      <c r="X47" s="26"/>
      <c r="Y47" s="25"/>
    </row>
    <row r="48" spans="1:25" ht="14.4">
      <c r="A48" s="111">
        <v>2</v>
      </c>
      <c r="B48" s="112" t="s">
        <v>2037</v>
      </c>
      <c r="C48" s="25">
        <v>48</v>
      </c>
      <c r="D48" s="113">
        <v>9</v>
      </c>
      <c r="E48" s="113" t="s">
        <v>241</v>
      </c>
      <c r="F48" s="115" t="str">
        <f>HYPERLINK("https://khazanah.republika.co.id/berita/dunia-islam/islam-digest/ptswji313/mengenal-tiga-masjid-bersejarah-di-jepang ","sumber")</f>
        <v>sumber</v>
      </c>
      <c r="G48" s="115" t="str">
        <f t="shared" si="0"/>
        <v>lokasi</v>
      </c>
      <c r="H48" s="112">
        <v>397</v>
      </c>
      <c r="I48" s="26"/>
      <c r="J48" s="113">
        <v>4</v>
      </c>
      <c r="K48" s="124"/>
      <c r="L48" s="26"/>
      <c r="M48" s="26"/>
      <c r="N48" s="26"/>
      <c r="O48" s="26"/>
      <c r="P48" s="26"/>
      <c r="Q48" s="26"/>
      <c r="R48" s="26"/>
      <c r="S48" s="124"/>
      <c r="T48" s="26"/>
      <c r="U48" s="26"/>
      <c r="V48" s="26"/>
      <c r="W48" s="26"/>
      <c r="X48" s="26"/>
      <c r="Y48" s="25"/>
    </row>
    <row r="49" spans="1:25" ht="14.4">
      <c r="A49" s="111">
        <v>2</v>
      </c>
      <c r="B49" s="112" t="s">
        <v>2038</v>
      </c>
      <c r="C49" s="25">
        <v>49</v>
      </c>
      <c r="D49" s="113">
        <v>5</v>
      </c>
      <c r="E49" s="114">
        <v>43472</v>
      </c>
      <c r="F49" s="115" t="str">
        <f>HYPERLINK("https://tirto.id/amerika-serikat-iran-terus-memanas-perang-hampir-pecah-ec7i ","sumber")</f>
        <v>sumber</v>
      </c>
      <c r="G49" s="115" t="str">
        <f t="shared" si="0"/>
        <v>lokasi</v>
      </c>
      <c r="H49" s="112">
        <v>1417</v>
      </c>
      <c r="I49" s="26"/>
      <c r="J49" s="113">
        <v>4</v>
      </c>
      <c r="K49" s="124"/>
      <c r="L49" s="26"/>
      <c r="M49" s="26"/>
      <c r="N49" s="26"/>
      <c r="O49" s="26"/>
      <c r="P49" s="26"/>
      <c r="Q49" s="26"/>
      <c r="R49" s="26"/>
      <c r="S49" s="124"/>
      <c r="T49" s="26"/>
      <c r="U49" s="26"/>
      <c r="V49" s="26"/>
      <c r="W49" s="26"/>
      <c r="X49" s="26"/>
      <c r="Y49" s="25"/>
    </row>
    <row r="50" spans="1:25" ht="14.4">
      <c r="A50" s="111">
        <v>2</v>
      </c>
      <c r="B50" s="112" t="s">
        <v>2039</v>
      </c>
      <c r="C50" s="25">
        <v>50</v>
      </c>
      <c r="D50" s="113">
        <v>3</v>
      </c>
      <c r="E50" s="114">
        <v>43623</v>
      </c>
      <c r="F50" s="115" t="str">
        <f>HYPERLINK("https://news.okezone.com/read/2019/07/06/65/2075543/dewan-riset-nasional-2019-2022-resmi-dikukuhkan-ini-susunannya ","sumber")</f>
        <v>sumber</v>
      </c>
      <c r="G50" s="115" t="str">
        <f t="shared" si="0"/>
        <v>lokasi</v>
      </c>
      <c r="H50" s="112">
        <v>868</v>
      </c>
      <c r="I50" s="26"/>
      <c r="J50" s="113">
        <v>4</v>
      </c>
      <c r="K50" s="124"/>
      <c r="L50" s="26"/>
      <c r="M50" s="26"/>
      <c r="N50" s="26"/>
      <c r="O50" s="26"/>
      <c r="P50" s="26"/>
      <c r="Q50" s="26"/>
      <c r="R50" s="26"/>
      <c r="S50" s="124"/>
      <c r="T50" s="26"/>
      <c r="U50" s="26"/>
      <c r="V50" s="26"/>
      <c r="W50" s="26"/>
      <c r="X50" s="26"/>
      <c r="Y50" s="25"/>
    </row>
    <row r="51" spans="1:25" ht="14.4">
      <c r="A51" s="111">
        <v>2</v>
      </c>
      <c r="B51" s="112" t="s">
        <v>2040</v>
      </c>
      <c r="C51" s="25">
        <v>51</v>
      </c>
      <c r="D51" s="113">
        <v>6</v>
      </c>
      <c r="E51" s="114">
        <v>43776</v>
      </c>
      <c r="F51" s="115" t="str">
        <f>HYPERLINK("https://internasional.kompas.com/read/2019/07/11/20110971/pemerintah-eswatini-larang-gelaran-kompetisi-sihir-dan-dukun ","sumber")</f>
        <v>sumber</v>
      </c>
      <c r="G51" s="115" t="str">
        <f t="shared" si="0"/>
        <v>lokasi</v>
      </c>
      <c r="H51" s="112">
        <v>298</v>
      </c>
      <c r="I51" s="26"/>
      <c r="J51" s="113">
        <v>4</v>
      </c>
      <c r="K51" s="124"/>
      <c r="L51" s="26"/>
      <c r="M51" s="26"/>
      <c r="N51" s="26"/>
      <c r="O51" s="26"/>
      <c r="P51" s="26"/>
      <c r="Q51" s="26"/>
      <c r="R51" s="26"/>
      <c r="S51" s="124"/>
      <c r="T51" s="26"/>
      <c r="U51" s="26"/>
      <c r="V51" s="26"/>
      <c r="W51" s="26"/>
      <c r="X51" s="26"/>
      <c r="Y51" s="25"/>
    </row>
    <row r="52" spans="1:25" ht="14.4">
      <c r="A52" s="117">
        <v>1</v>
      </c>
      <c r="B52" s="118" t="s">
        <v>2041</v>
      </c>
      <c r="C52" s="22">
        <v>52</v>
      </c>
      <c r="D52" s="119">
        <v>1</v>
      </c>
      <c r="E52" s="119" t="s">
        <v>263</v>
      </c>
      <c r="F52" s="121" t="str">
        <f>HYPERLINK("https://news.detik.com/internasional/d-4637918/bakar-masjid-di-melbourne-2-pendukung-isis-divonis-22-tahun-penjara ","sumber")</f>
        <v>sumber</v>
      </c>
      <c r="G52" s="121" t="str">
        <f t="shared" si="0"/>
        <v>lokasi</v>
      </c>
      <c r="H52" s="118">
        <v>308</v>
      </c>
      <c r="I52" s="22">
        <v>1</v>
      </c>
      <c r="J52" s="119">
        <v>4</v>
      </c>
      <c r="K52" s="123" t="s">
        <v>2042</v>
      </c>
      <c r="L52" s="22">
        <v>0</v>
      </c>
      <c r="M52" s="22">
        <v>-1</v>
      </c>
      <c r="N52" s="125">
        <v>0</v>
      </c>
      <c r="O52" s="22">
        <v>0</v>
      </c>
      <c r="P52" s="22">
        <v>0</v>
      </c>
      <c r="Q52" s="22">
        <v>0</v>
      </c>
      <c r="R52" s="22">
        <v>0</v>
      </c>
      <c r="S52" s="123"/>
      <c r="T52" s="22">
        <v>0</v>
      </c>
      <c r="U52" s="22">
        <v>0</v>
      </c>
      <c r="V52" s="22">
        <v>0</v>
      </c>
      <c r="W52" s="23"/>
      <c r="X52" s="23"/>
      <c r="Y52" s="23"/>
    </row>
    <row r="53" spans="1:25" ht="14.4">
      <c r="A53" s="117">
        <v>1</v>
      </c>
      <c r="B53" s="118" t="s">
        <v>2043</v>
      </c>
      <c r="C53" s="22">
        <v>53</v>
      </c>
      <c r="D53" s="119">
        <v>1</v>
      </c>
      <c r="E53" s="119" t="s">
        <v>839</v>
      </c>
      <c r="F53" s="121" t="str">
        <f>HYPERLINK("https://news.detik.com/berita/d-4638616/psi-apresiasi-jokowi-yang-terbitkan-aturan-pernikahan-penghayat-kepercayaan ","sumber")</f>
        <v>sumber</v>
      </c>
      <c r="G53" s="121" t="str">
        <f t="shared" si="0"/>
        <v>lokasi</v>
      </c>
      <c r="H53" s="118">
        <v>388</v>
      </c>
      <c r="I53" s="22">
        <v>3</v>
      </c>
      <c r="J53" s="119">
        <v>4</v>
      </c>
      <c r="K53" s="123" t="s">
        <v>2044</v>
      </c>
      <c r="L53" s="22">
        <v>0</v>
      </c>
      <c r="M53" s="22">
        <v>0</v>
      </c>
      <c r="N53" s="125">
        <v>0</v>
      </c>
      <c r="O53" s="22">
        <v>0</v>
      </c>
      <c r="P53" s="22">
        <v>0</v>
      </c>
      <c r="Q53" s="22">
        <v>0</v>
      </c>
      <c r="R53" s="22">
        <v>1</v>
      </c>
      <c r="S53" s="134"/>
      <c r="T53" s="22">
        <v>0</v>
      </c>
      <c r="U53" s="22">
        <v>0</v>
      </c>
      <c r="V53" s="22">
        <v>0</v>
      </c>
      <c r="W53" s="23"/>
      <c r="X53" s="23"/>
      <c r="Y53" s="23"/>
    </row>
    <row r="54" spans="1:25" ht="14.4">
      <c r="A54" s="117">
        <v>1</v>
      </c>
      <c r="B54" s="118" t="s">
        <v>2045</v>
      </c>
      <c r="C54" s="22">
        <v>54</v>
      </c>
      <c r="D54" s="119">
        <v>5</v>
      </c>
      <c r="E54" s="119" t="s">
        <v>839</v>
      </c>
      <c r="F54" s="121" t="str">
        <f>HYPERLINK("https://tirto.id/polri-pastikan-penghayat-kepercayaan-bisa-daftar-jadi-polisi-ee4c ","sumber")</f>
        <v>sumber</v>
      </c>
      <c r="G54" s="121" t="str">
        <f t="shared" si="0"/>
        <v>lokasi</v>
      </c>
      <c r="H54" s="118">
        <v>294</v>
      </c>
      <c r="I54" s="22">
        <v>4</v>
      </c>
      <c r="J54" s="119">
        <v>4</v>
      </c>
      <c r="K54" s="123" t="s">
        <v>2046</v>
      </c>
      <c r="L54" s="22">
        <v>0</v>
      </c>
      <c r="M54" s="22">
        <v>0</v>
      </c>
      <c r="N54" s="125">
        <v>0</v>
      </c>
      <c r="O54" s="22">
        <v>0</v>
      </c>
      <c r="P54" s="22">
        <v>0</v>
      </c>
      <c r="Q54" s="22">
        <v>0</v>
      </c>
      <c r="R54" s="22">
        <v>0</v>
      </c>
      <c r="S54" s="134"/>
      <c r="T54" s="22">
        <v>0</v>
      </c>
      <c r="U54" s="22">
        <v>0</v>
      </c>
      <c r="V54" s="22">
        <v>0</v>
      </c>
      <c r="W54" s="23"/>
      <c r="X54" s="23"/>
      <c r="Y54" s="23"/>
    </row>
    <row r="55" spans="1:25" ht="14.4">
      <c r="A55" s="117">
        <v>1</v>
      </c>
      <c r="B55" s="118" t="s">
        <v>1158</v>
      </c>
      <c r="C55" s="22">
        <v>55</v>
      </c>
      <c r="D55" s="119">
        <v>6</v>
      </c>
      <c r="E55" s="119" t="s">
        <v>2047</v>
      </c>
      <c r="F55" s="121" t="str">
        <f>HYPERLINK("https://regional.kompas.com/read/2019/07/26/16030541/saat-perbedaan-keyakinan-tak-halangi-warga-blitar-bantu-bangun-pura-yang ","sumber")</f>
        <v>sumber</v>
      </c>
      <c r="G55" s="121" t="str">
        <f t="shared" si="0"/>
        <v>lokasi</v>
      </c>
      <c r="H55" s="118">
        <v>349</v>
      </c>
      <c r="I55" s="22">
        <v>2</v>
      </c>
      <c r="J55" s="119">
        <v>4</v>
      </c>
      <c r="K55" s="123" t="s">
        <v>2048</v>
      </c>
      <c r="L55" s="22">
        <v>0</v>
      </c>
      <c r="M55" s="22">
        <v>0</v>
      </c>
      <c r="N55" s="125">
        <v>0</v>
      </c>
      <c r="O55" s="22">
        <v>0</v>
      </c>
      <c r="P55" s="22">
        <v>0</v>
      </c>
      <c r="Q55" s="22">
        <v>0</v>
      </c>
      <c r="R55" s="22">
        <v>1</v>
      </c>
      <c r="S55" s="134"/>
      <c r="T55" s="22">
        <v>0</v>
      </c>
      <c r="U55" s="22">
        <v>0</v>
      </c>
      <c r="V55" s="22">
        <v>0</v>
      </c>
      <c r="W55" s="23"/>
      <c r="X55" s="23"/>
      <c r="Y55" s="23"/>
    </row>
    <row r="56" spans="1:25" ht="14.4">
      <c r="A56" s="111">
        <v>2</v>
      </c>
      <c r="B56" s="112" t="s">
        <v>2049</v>
      </c>
      <c r="C56" s="25">
        <v>56</v>
      </c>
      <c r="D56" s="113">
        <v>10</v>
      </c>
      <c r="E56" s="113" t="s">
        <v>2047</v>
      </c>
      <c r="F56" s="115" t="str">
        <f>HYPERLINK("https://kolom.tempo.co/read/1228687/jokowimaruf-dan-faktor-ekonomi ","sumber")</f>
        <v>sumber</v>
      </c>
      <c r="G56" s="115" t="str">
        <f t="shared" si="0"/>
        <v>lokasi</v>
      </c>
      <c r="H56" s="112">
        <v>679</v>
      </c>
      <c r="I56" s="26"/>
      <c r="J56" s="113">
        <v>4</v>
      </c>
      <c r="K56" s="124"/>
      <c r="L56" s="26"/>
      <c r="M56" s="26"/>
      <c r="N56" s="26"/>
      <c r="O56" s="26"/>
      <c r="P56" s="26"/>
      <c r="Q56" s="26"/>
      <c r="R56" s="26"/>
      <c r="S56" s="124"/>
      <c r="T56" s="26"/>
      <c r="U56" s="26"/>
      <c r="V56" s="26"/>
      <c r="W56" s="26"/>
      <c r="X56" s="26"/>
      <c r="Y56" s="25"/>
    </row>
    <row r="57" spans="1:25" ht="14.4">
      <c r="A57" s="111">
        <v>2</v>
      </c>
      <c r="B57" s="112" t="s">
        <v>2050</v>
      </c>
      <c r="C57" s="25">
        <v>57</v>
      </c>
      <c r="D57" s="113">
        <v>1</v>
      </c>
      <c r="E57" s="114">
        <v>43654</v>
      </c>
      <c r="F57" s="115" t="str">
        <f>HYPERLINK("https://news.detik.com/berita/d-4655731/kepala-bnpb-kunjungi-gua-jejak-tsunami-aceh-7400-tahun-lalu ","sumber")</f>
        <v>sumber</v>
      </c>
      <c r="G57" s="115" t="str">
        <f t="shared" si="0"/>
        <v>lokasi</v>
      </c>
      <c r="H57" s="112">
        <v>404</v>
      </c>
      <c r="I57" s="26"/>
      <c r="J57" s="113">
        <v>4</v>
      </c>
      <c r="K57" s="124"/>
      <c r="L57" s="26"/>
      <c r="M57" s="26"/>
      <c r="N57" s="26"/>
      <c r="O57" s="26"/>
      <c r="P57" s="26"/>
      <c r="Q57" s="26"/>
      <c r="R57" s="26"/>
      <c r="S57" s="124"/>
      <c r="T57" s="26"/>
      <c r="U57" s="26"/>
      <c r="V57" s="26"/>
      <c r="W57" s="26"/>
      <c r="X57" s="26"/>
      <c r="Y57" s="25"/>
    </row>
    <row r="58" spans="1:25" ht="14.4">
      <c r="A58" s="117">
        <v>1</v>
      </c>
      <c r="B58" s="118" t="s">
        <v>2051</v>
      </c>
      <c r="C58" s="22">
        <v>58</v>
      </c>
      <c r="D58" s="119">
        <v>10</v>
      </c>
      <c r="E58" s="120">
        <v>43746</v>
      </c>
      <c r="F58" s="121" t="str">
        <f>HYPERLINK("https://sport.tempo.co/read/1234428/tinju-dunia-amnesty-internasional-kritisi-joshua-vs-ruiz-di-arab ","sumber")</f>
        <v>sumber</v>
      </c>
      <c r="G58" s="121" t="str">
        <f t="shared" si="0"/>
        <v>lokasi</v>
      </c>
      <c r="H58" s="118">
        <v>257</v>
      </c>
      <c r="I58" s="22">
        <v>1</v>
      </c>
      <c r="J58" s="119">
        <v>4</v>
      </c>
      <c r="K58" s="123" t="s">
        <v>2052</v>
      </c>
      <c r="L58" s="22">
        <v>0</v>
      </c>
      <c r="M58" s="22">
        <v>-1</v>
      </c>
      <c r="N58" s="125">
        <v>0</v>
      </c>
      <c r="O58" s="22">
        <v>0</v>
      </c>
      <c r="P58" s="22">
        <v>0</v>
      </c>
      <c r="Q58" s="22">
        <v>0</v>
      </c>
      <c r="R58" s="22">
        <v>1</v>
      </c>
      <c r="S58" s="134"/>
      <c r="T58" s="22">
        <v>0</v>
      </c>
      <c r="U58" s="22">
        <v>0</v>
      </c>
      <c r="V58" s="22">
        <v>1</v>
      </c>
      <c r="W58" s="23"/>
      <c r="X58" s="23"/>
      <c r="Y58" s="23"/>
    </row>
    <row r="59" spans="1:25" ht="14.4">
      <c r="A59" s="111">
        <v>2</v>
      </c>
      <c r="B59" s="112" t="s">
        <v>2053</v>
      </c>
      <c r="C59" s="25">
        <v>59</v>
      </c>
      <c r="D59" s="113">
        <v>5</v>
      </c>
      <c r="E59" s="114">
        <v>43777</v>
      </c>
      <c r="F59" s="115" t="str">
        <f>HYPERLINK("https://tirto.id/ke-mana-anak-anak-sisingamangaraja-xii-efWD ","sumber")</f>
        <v>sumber</v>
      </c>
      <c r="G59" s="115" t="str">
        <f t="shared" si="0"/>
        <v>lokasi</v>
      </c>
      <c r="H59" s="112">
        <v>959</v>
      </c>
      <c r="I59" s="26"/>
      <c r="J59" s="113">
        <v>4</v>
      </c>
      <c r="K59" s="124"/>
      <c r="L59" s="26"/>
      <c r="M59" s="26"/>
      <c r="N59" s="26"/>
      <c r="O59" s="26"/>
      <c r="P59" s="26"/>
      <c r="Q59" s="26"/>
      <c r="R59" s="26"/>
      <c r="S59" s="124"/>
      <c r="T59" s="26"/>
      <c r="U59" s="26"/>
      <c r="V59" s="26"/>
      <c r="W59" s="26"/>
      <c r="X59" s="26"/>
      <c r="Y59" s="25"/>
    </row>
    <row r="60" spans="1:25" ht="14.4">
      <c r="A60" s="117">
        <v>1</v>
      </c>
      <c r="B60" s="118" t="s">
        <v>2054</v>
      </c>
      <c r="C60" s="22">
        <v>60</v>
      </c>
      <c r="D60" s="119">
        <v>1</v>
      </c>
      <c r="E60" s="119" t="s">
        <v>2055</v>
      </c>
      <c r="F60" s="121" t="str">
        <f>HYPERLINK("https://news.detik.com/berita/d-4664028/setara-institute-temukan-produk-hukum-diskriminatif-di-jabar-diy ","sumber")</f>
        <v>sumber</v>
      </c>
      <c r="G60" s="121" t="str">
        <f t="shared" si="0"/>
        <v>lokasi</v>
      </c>
      <c r="H60" s="118">
        <v>410</v>
      </c>
      <c r="I60" s="22">
        <v>4</v>
      </c>
      <c r="J60" s="119">
        <v>4</v>
      </c>
      <c r="K60" s="123" t="s">
        <v>2056</v>
      </c>
      <c r="L60" s="22">
        <v>0</v>
      </c>
      <c r="M60" s="22">
        <v>0</v>
      </c>
      <c r="N60" s="125">
        <v>0</v>
      </c>
      <c r="O60" s="22">
        <v>0</v>
      </c>
      <c r="P60" s="22">
        <v>0</v>
      </c>
      <c r="Q60" s="22">
        <v>0</v>
      </c>
      <c r="R60" s="22">
        <v>1</v>
      </c>
      <c r="S60" s="134"/>
      <c r="T60" s="22">
        <v>0</v>
      </c>
      <c r="U60" s="22">
        <v>0</v>
      </c>
      <c r="V60" s="22">
        <v>1</v>
      </c>
      <c r="W60" s="23"/>
      <c r="X60" s="23"/>
      <c r="Y60" s="23"/>
    </row>
    <row r="61" spans="1:25" ht="14.4">
      <c r="A61" s="111">
        <v>2</v>
      </c>
      <c r="B61" s="112" t="s">
        <v>2057</v>
      </c>
      <c r="C61" s="25">
        <v>61</v>
      </c>
      <c r="D61" s="113">
        <v>1</v>
      </c>
      <c r="E61" s="113" t="s">
        <v>268</v>
      </c>
      <c r="F61" s="115" t="str">
        <f>HYPERLINK("https://news.detik.com/berita/d-4670951/kemenristek-dikti-bikin-klaster-perguruan-tinggi-itb-peringkat-pertama ","sumber")</f>
        <v>sumber</v>
      </c>
      <c r="G61" s="115" t="str">
        <f t="shared" si="0"/>
        <v>lokasi</v>
      </c>
      <c r="H61" s="112">
        <v>796</v>
      </c>
      <c r="I61" s="26"/>
      <c r="J61" s="113">
        <v>4</v>
      </c>
      <c r="K61" s="124"/>
      <c r="L61" s="26"/>
      <c r="M61" s="26"/>
      <c r="N61" s="26"/>
      <c r="O61" s="26"/>
      <c r="P61" s="26"/>
      <c r="Q61" s="26"/>
      <c r="R61" s="26"/>
      <c r="S61" s="124"/>
      <c r="T61" s="26"/>
      <c r="U61" s="26"/>
      <c r="V61" s="26"/>
      <c r="W61" s="26"/>
      <c r="X61" s="26"/>
      <c r="Y61" s="25"/>
    </row>
    <row r="62" spans="1:25" ht="14.4">
      <c r="A62" s="111">
        <v>2</v>
      </c>
      <c r="B62" s="112" t="s">
        <v>2058</v>
      </c>
      <c r="C62" s="25">
        <v>62</v>
      </c>
      <c r="D62" s="113">
        <v>3</v>
      </c>
      <c r="E62" s="113" t="s">
        <v>278</v>
      </c>
      <c r="F62" s="115" t="str">
        <f>HYPERLINK("https://news.okezone.com/read/2019/08/26/18/2096554/israel-klaim-gagalkan-serangan-drone-iran ","sumber")</f>
        <v>sumber</v>
      </c>
      <c r="G62" s="115" t="str">
        <f t="shared" si="0"/>
        <v>lokasi</v>
      </c>
      <c r="H62" s="112">
        <v>410</v>
      </c>
      <c r="I62" s="26"/>
      <c r="J62" s="113">
        <v>4</v>
      </c>
      <c r="K62" s="124"/>
      <c r="L62" s="26"/>
      <c r="M62" s="26"/>
      <c r="N62" s="26"/>
      <c r="O62" s="26"/>
      <c r="P62" s="26"/>
      <c r="Q62" s="26"/>
      <c r="R62" s="26"/>
      <c r="S62" s="124"/>
      <c r="T62" s="26"/>
      <c r="U62" s="26"/>
      <c r="V62" s="26"/>
      <c r="W62" s="26"/>
      <c r="X62" s="26"/>
      <c r="Y62" s="25"/>
    </row>
    <row r="63" spans="1:25" ht="14.4">
      <c r="A63" s="111">
        <v>2</v>
      </c>
      <c r="B63" s="112" t="s">
        <v>2059</v>
      </c>
      <c r="C63" s="25">
        <v>63</v>
      </c>
      <c r="D63" s="113">
        <v>3</v>
      </c>
      <c r="E63" s="113" t="s">
        <v>2060</v>
      </c>
      <c r="F63" s="115" t="str">
        <f>HYPERLINK("https://index.okezone.com/read/2019/08/31/618/2098986/doa-akhir-dan-awal-tahun-hijriah-baca-setelah-salat-ashar-dan-maghrib ","sumber")</f>
        <v>sumber</v>
      </c>
      <c r="G63" s="115" t="str">
        <f t="shared" si="0"/>
        <v>lokasi</v>
      </c>
      <c r="H63" s="112">
        <v>492</v>
      </c>
      <c r="I63" s="26"/>
      <c r="J63" s="113">
        <v>4</v>
      </c>
      <c r="K63" s="124"/>
      <c r="L63" s="26"/>
      <c r="M63" s="26"/>
      <c r="N63" s="26"/>
      <c r="O63" s="26"/>
      <c r="P63" s="26"/>
      <c r="Q63" s="26"/>
      <c r="R63" s="26"/>
      <c r="S63" s="124"/>
      <c r="T63" s="26"/>
      <c r="U63" s="26"/>
      <c r="V63" s="26"/>
      <c r="W63" s="26"/>
      <c r="X63" s="26"/>
      <c r="Y63" s="25"/>
    </row>
    <row r="64" spans="1:25" ht="14.4">
      <c r="A64" s="111">
        <v>2</v>
      </c>
      <c r="B64" s="112" t="s">
        <v>2061</v>
      </c>
      <c r="C64" s="25">
        <v>64</v>
      </c>
      <c r="D64" s="113">
        <v>1</v>
      </c>
      <c r="E64" s="114">
        <v>43474</v>
      </c>
      <c r="F64" s="115" t="str">
        <f>HYPERLINK("https://news.detik.com/berita/d-4689238/dosen-unsyiah-yang-dipolisikan-dekan-tak-pernah-mangkir-dari-pemeriksaan ","sumber")</f>
        <v>sumber</v>
      </c>
      <c r="G64" s="115" t="str">
        <f t="shared" si="0"/>
        <v>lokasi</v>
      </c>
      <c r="H64" s="112">
        <v>212</v>
      </c>
      <c r="I64" s="26"/>
      <c r="J64" s="113">
        <v>4</v>
      </c>
      <c r="K64" s="124"/>
      <c r="L64" s="26"/>
      <c r="M64" s="26"/>
      <c r="N64" s="26"/>
      <c r="O64" s="26"/>
      <c r="P64" s="26"/>
      <c r="Q64" s="26"/>
      <c r="R64" s="26"/>
      <c r="S64" s="124"/>
      <c r="T64" s="26"/>
      <c r="U64" s="26"/>
      <c r="V64" s="26"/>
      <c r="W64" s="26"/>
      <c r="X64" s="26"/>
      <c r="Y64" s="25"/>
    </row>
    <row r="65" spans="1:25" ht="14.4">
      <c r="A65" s="111">
        <v>2</v>
      </c>
      <c r="B65" s="112" t="s">
        <v>1173</v>
      </c>
      <c r="C65" s="25">
        <v>65</v>
      </c>
      <c r="D65" s="113">
        <v>7</v>
      </c>
      <c r="E65" s="114">
        <v>43474</v>
      </c>
      <c r="F65" s="115" t="str">
        <f>HYPERLINK("https://www.tribunnews.com/nasional/2019/09/01/pengamat-politik-dosen-universitas-syiah-kuala-jadi-tersangka-kasus-dugaan-pencemaran-nama-baik ","sumber")</f>
        <v>sumber</v>
      </c>
      <c r="G65" s="115" t="str">
        <f t="shared" si="0"/>
        <v>lokasi</v>
      </c>
      <c r="H65" s="112">
        <v>243</v>
      </c>
      <c r="I65" s="26"/>
      <c r="J65" s="113">
        <v>4</v>
      </c>
      <c r="K65" s="124"/>
      <c r="L65" s="26"/>
      <c r="M65" s="26"/>
      <c r="N65" s="26"/>
      <c r="O65" s="26"/>
      <c r="P65" s="26"/>
      <c r="Q65" s="26"/>
      <c r="R65" s="26"/>
      <c r="S65" s="124"/>
      <c r="T65" s="26"/>
      <c r="U65" s="26"/>
      <c r="V65" s="26"/>
      <c r="W65" s="26"/>
      <c r="X65" s="26"/>
      <c r="Y65" s="25"/>
    </row>
    <row r="66" spans="1:25" ht="14.4">
      <c r="A66" s="111">
        <v>2</v>
      </c>
      <c r="B66" s="112" t="s">
        <v>2062</v>
      </c>
      <c r="C66" s="25">
        <v>66</v>
      </c>
      <c r="D66" s="113">
        <v>6</v>
      </c>
      <c r="E66" s="114">
        <v>43505</v>
      </c>
      <c r="F66" s="115" t="str">
        <f>HYPERLINK("https://regional.kompas.com/read/2019/09/02/12011741/kritisi-penerimaan-dosen-seorang-pengajar-di-unsyiah-dilaporkan-ke-polisi ","sumber")</f>
        <v>sumber</v>
      </c>
      <c r="G66" s="115" t="str">
        <f t="shared" si="0"/>
        <v>lokasi</v>
      </c>
      <c r="H66" s="112">
        <v>221</v>
      </c>
      <c r="I66" s="26"/>
      <c r="J66" s="113">
        <v>4</v>
      </c>
      <c r="K66" s="124"/>
      <c r="L66" s="26"/>
      <c r="M66" s="26"/>
      <c r="N66" s="26"/>
      <c r="O66" s="26"/>
      <c r="P66" s="26"/>
      <c r="Q66" s="26"/>
      <c r="R66" s="26"/>
      <c r="S66" s="124"/>
      <c r="T66" s="26"/>
      <c r="U66" s="26"/>
      <c r="V66" s="26"/>
      <c r="W66" s="26"/>
      <c r="X66" s="26"/>
      <c r="Y66" s="25"/>
    </row>
    <row r="67" spans="1:25" ht="14.4">
      <c r="A67" s="111">
        <v>2</v>
      </c>
      <c r="B67" s="112" t="s">
        <v>2063</v>
      </c>
      <c r="C67" s="25">
        <v>67</v>
      </c>
      <c r="D67" s="113">
        <v>6</v>
      </c>
      <c r="E67" s="114">
        <v>43533</v>
      </c>
      <c r="F67" s="115" t="str">
        <f>HYPERLINK("https://regional.kompas.com/read/2019/09/03/14041831/fakta-dosen-jadi-tersangka-karena-kritisi-dekan-di-grup-whatsapp ","sumber")</f>
        <v>sumber</v>
      </c>
      <c r="G67" s="115" t="str">
        <f t="shared" si="0"/>
        <v>lokasi</v>
      </c>
      <c r="H67" s="112">
        <v>173</v>
      </c>
      <c r="I67" s="26"/>
      <c r="J67" s="113">
        <v>4</v>
      </c>
      <c r="K67" s="124"/>
      <c r="L67" s="26"/>
      <c r="M67" s="26"/>
      <c r="N67" s="26"/>
      <c r="O67" s="26"/>
      <c r="P67" s="26"/>
      <c r="Q67" s="26"/>
      <c r="R67" s="26"/>
      <c r="S67" s="124"/>
      <c r="T67" s="26"/>
      <c r="U67" s="26"/>
      <c r="V67" s="26"/>
      <c r="W67" s="26"/>
      <c r="X67" s="26"/>
      <c r="Y67" s="25"/>
    </row>
    <row r="68" spans="1:25" ht="14.4">
      <c r="A68" s="111">
        <v>2</v>
      </c>
      <c r="B68" s="112" t="s">
        <v>2064</v>
      </c>
      <c r="C68" s="25">
        <v>68</v>
      </c>
      <c r="D68" s="113">
        <v>8</v>
      </c>
      <c r="E68" s="114">
        <v>43564</v>
      </c>
      <c r="F68" s="115" t="str">
        <f>HYPERLINK("https://www.suara.com/news/2019/09/04/112953/fakta-al-quran-tertua-indonesia-tersimpan-di-ahmadiyah-islamiyah-thailand ","sumber")</f>
        <v>sumber</v>
      </c>
      <c r="G68" s="115" t="str">
        <f t="shared" si="0"/>
        <v>lokasi</v>
      </c>
      <c r="H68" s="112">
        <v>303</v>
      </c>
      <c r="I68" s="26"/>
      <c r="J68" s="113">
        <v>4</v>
      </c>
      <c r="K68" s="124"/>
      <c r="L68" s="26"/>
      <c r="M68" s="26"/>
      <c r="N68" s="26"/>
      <c r="O68" s="26"/>
      <c r="P68" s="26"/>
      <c r="Q68" s="26"/>
      <c r="R68" s="26"/>
      <c r="S68" s="124"/>
      <c r="T68" s="26"/>
      <c r="U68" s="26"/>
      <c r="V68" s="26"/>
      <c r="W68" s="26"/>
      <c r="X68" s="26"/>
      <c r="Y68" s="25"/>
    </row>
    <row r="69" spans="1:25" ht="14.4">
      <c r="A69" s="111">
        <v>2</v>
      </c>
      <c r="B69" s="112" t="s">
        <v>2065</v>
      </c>
      <c r="C69" s="25">
        <v>69</v>
      </c>
      <c r="D69" s="113">
        <v>3</v>
      </c>
      <c r="E69" s="114">
        <v>43497</v>
      </c>
      <c r="F69" s="115" t="str">
        <f>HYPERLINK("https://news.okezone.com/read/2019/01/02/512/1999168/pria-misterius-ditemukan-tewas-berlumuran-darah-dalam-mobil-di-sukoharjo ","sumber")</f>
        <v>sumber</v>
      </c>
      <c r="G69" s="115" t="str">
        <f t="shared" si="0"/>
        <v>lokasi</v>
      </c>
      <c r="H69" s="112">
        <v>219</v>
      </c>
      <c r="I69" s="26"/>
      <c r="J69" s="113">
        <v>2</v>
      </c>
      <c r="K69" s="124"/>
      <c r="L69" s="26"/>
      <c r="M69" s="26"/>
      <c r="N69" s="26"/>
      <c r="O69" s="26"/>
      <c r="P69" s="26"/>
      <c r="Q69" s="26"/>
      <c r="R69" s="26"/>
      <c r="S69" s="124"/>
      <c r="T69" s="26"/>
      <c r="U69" s="26"/>
      <c r="V69" s="26"/>
      <c r="W69" s="26"/>
      <c r="X69" s="26"/>
      <c r="Y69" s="25"/>
    </row>
    <row r="70" spans="1:25" ht="14.4">
      <c r="A70" s="117">
        <v>1</v>
      </c>
      <c r="B70" s="118" t="s">
        <v>2066</v>
      </c>
      <c r="C70" s="22">
        <v>70</v>
      </c>
      <c r="D70" s="119">
        <v>8</v>
      </c>
      <c r="E70" s="120">
        <v>43556</v>
      </c>
      <c r="F70" s="121" t="str">
        <f>HYPERLINK("https://www.suara.com/news/2019/01/04/142934/wanita-disabilitas-lemas-tanpa-busana-di-semak-semak-diperkosa-pak-guru ","sumber")</f>
        <v>sumber</v>
      </c>
      <c r="G70" s="121" t="str">
        <f t="shared" si="0"/>
        <v>lokasi</v>
      </c>
      <c r="H70" s="118">
        <v>168</v>
      </c>
      <c r="I70" s="22">
        <v>1</v>
      </c>
      <c r="J70" s="122">
        <v>1</v>
      </c>
      <c r="K70" s="123" t="s">
        <v>2067</v>
      </c>
      <c r="L70" s="22">
        <v>0</v>
      </c>
      <c r="M70" s="22">
        <v>-1</v>
      </c>
      <c r="N70" s="125">
        <v>0</v>
      </c>
      <c r="O70" s="22">
        <v>-1</v>
      </c>
      <c r="P70" s="22">
        <v>-1</v>
      </c>
      <c r="Q70" s="22">
        <v>0</v>
      </c>
      <c r="R70" s="22">
        <v>0</v>
      </c>
      <c r="S70" s="123" t="s">
        <v>2068</v>
      </c>
      <c r="T70" s="22">
        <v>3</v>
      </c>
      <c r="U70" s="22">
        <v>-1</v>
      </c>
      <c r="V70" s="22">
        <v>0</v>
      </c>
      <c r="W70" s="23"/>
      <c r="X70" s="23"/>
      <c r="Y70" s="23"/>
    </row>
    <row r="71" spans="1:25" ht="14.4">
      <c r="A71" s="117">
        <v>1</v>
      </c>
      <c r="B71" s="118" t="s">
        <v>2069</v>
      </c>
      <c r="C71" s="22">
        <v>71</v>
      </c>
      <c r="D71" s="119">
        <v>6</v>
      </c>
      <c r="E71" s="120">
        <v>43617</v>
      </c>
      <c r="F71" s="121" t="str">
        <f>HYPERLINK("https://regional.kompas.com/read/2019/01/06/18090241/wanita-penganiaya-bayi-yang-ditemukan-di-tempat-sampah-diduga-alami-gangguan ","sumber")</f>
        <v>sumber</v>
      </c>
      <c r="G71" s="121" t="str">
        <f t="shared" si="0"/>
        <v>lokasi</v>
      </c>
      <c r="H71" s="118">
        <v>230</v>
      </c>
      <c r="I71" s="22">
        <v>1</v>
      </c>
      <c r="J71" s="119">
        <v>2</v>
      </c>
      <c r="K71" s="123" t="s">
        <v>2070</v>
      </c>
      <c r="L71" s="22">
        <v>0</v>
      </c>
      <c r="M71" s="22">
        <v>-1</v>
      </c>
      <c r="N71" s="125">
        <v>0</v>
      </c>
      <c r="O71" s="22">
        <v>0</v>
      </c>
      <c r="P71" s="22">
        <v>0</v>
      </c>
      <c r="Q71" s="22">
        <v>0</v>
      </c>
      <c r="R71" s="22">
        <v>0</v>
      </c>
      <c r="S71" s="123" t="s">
        <v>2071</v>
      </c>
      <c r="T71" s="22">
        <v>1</v>
      </c>
      <c r="U71" s="22">
        <v>0</v>
      </c>
      <c r="V71" s="22">
        <v>0</v>
      </c>
      <c r="W71" s="23"/>
      <c r="X71" s="23"/>
      <c r="Y71" s="23"/>
    </row>
    <row r="72" spans="1:25" ht="14.4">
      <c r="A72" s="135">
        <v>1</v>
      </c>
      <c r="B72" s="136" t="s">
        <v>2072</v>
      </c>
      <c r="C72" s="137">
        <v>72</v>
      </c>
      <c r="D72" s="138">
        <v>8</v>
      </c>
      <c r="E72" s="138" t="s">
        <v>676</v>
      </c>
      <c r="F72" s="139" t="str">
        <f>HYPERLINK("https://www.suara.com/news/2019/01/27/153338/perkosa-perempuan-difabel-guru-honerer-ini-berakhir-dibui","sumber")</f>
        <v>sumber</v>
      </c>
      <c r="G72" s="139" t="str">
        <f t="shared" si="0"/>
        <v>lokasi</v>
      </c>
      <c r="H72" s="136">
        <v>218</v>
      </c>
      <c r="I72" s="137">
        <v>1</v>
      </c>
      <c r="J72" s="138">
        <v>2</v>
      </c>
      <c r="K72" s="140" t="s">
        <v>2073</v>
      </c>
      <c r="L72" s="137">
        <v>0</v>
      </c>
      <c r="M72" s="137">
        <v>-1</v>
      </c>
      <c r="N72" s="141">
        <v>0</v>
      </c>
      <c r="O72" s="137">
        <v>1</v>
      </c>
      <c r="P72" s="137">
        <v>-1</v>
      </c>
      <c r="Q72" s="137">
        <v>0</v>
      </c>
      <c r="R72" s="137">
        <v>0</v>
      </c>
      <c r="S72" s="142"/>
      <c r="T72" s="137">
        <v>0</v>
      </c>
      <c r="U72" s="137">
        <v>-1</v>
      </c>
      <c r="V72" s="137">
        <v>0</v>
      </c>
      <c r="W72" s="143"/>
      <c r="X72" s="143"/>
      <c r="Y72" s="137"/>
    </row>
    <row r="73" spans="1:25" ht="14.4">
      <c r="A73" s="111">
        <v>2</v>
      </c>
      <c r="B73" s="112" t="s">
        <v>2074</v>
      </c>
      <c r="C73" s="25">
        <v>73</v>
      </c>
      <c r="D73" s="113">
        <v>2</v>
      </c>
      <c r="E73" s="114">
        <v>43678</v>
      </c>
      <c r="F73" s="115" t="str">
        <f>HYPERLINK("https://www.cnnindonesia.com/nasional/20190108143646-32-359288/timses-jokowi-visi-misi-prabowo-sandi-seperti-tong-kosong ","sumber")</f>
        <v>sumber</v>
      </c>
      <c r="G73" s="115" t="str">
        <f t="shared" si="0"/>
        <v>lokasi</v>
      </c>
      <c r="H73" s="112">
        <v>539</v>
      </c>
      <c r="I73" s="26"/>
      <c r="J73" s="113">
        <v>2</v>
      </c>
      <c r="K73" s="124"/>
      <c r="L73" s="26"/>
      <c r="M73" s="26"/>
      <c r="N73" s="26"/>
      <c r="O73" s="26"/>
      <c r="P73" s="26"/>
      <c r="Q73" s="26"/>
      <c r="R73" s="26"/>
      <c r="S73" s="124"/>
      <c r="T73" s="26"/>
      <c r="U73" s="26"/>
      <c r="V73" s="26"/>
      <c r="W73" s="26"/>
      <c r="X73" s="26"/>
      <c r="Y73" s="25"/>
    </row>
    <row r="74" spans="1:25" ht="14.4">
      <c r="A74" s="135">
        <v>1</v>
      </c>
      <c r="B74" s="136" t="s">
        <v>2075</v>
      </c>
      <c r="C74" s="137">
        <v>74</v>
      </c>
      <c r="D74" s="138">
        <v>1</v>
      </c>
      <c r="E74" s="138" t="s">
        <v>2076</v>
      </c>
      <c r="F74" s="139" t="str">
        <f>HYPERLINK("https://news.detik.com/berita/d-4395568/balita-di-aceh-tinggal-serumah-dengan-ayah-yang-gangguan-jiwa","sumber")</f>
        <v>sumber</v>
      </c>
      <c r="G74" s="139" t="str">
        <f t="shared" si="0"/>
        <v>lokasi</v>
      </c>
      <c r="H74" s="136">
        <v>350</v>
      </c>
      <c r="I74" s="137">
        <v>1</v>
      </c>
      <c r="J74" s="138">
        <v>2</v>
      </c>
      <c r="K74" s="140" t="s">
        <v>2077</v>
      </c>
      <c r="L74" s="137">
        <v>0</v>
      </c>
      <c r="M74" s="137">
        <v>1</v>
      </c>
      <c r="N74" s="141">
        <v>0</v>
      </c>
      <c r="O74" s="137">
        <v>0</v>
      </c>
      <c r="P74" s="137">
        <v>-1</v>
      </c>
      <c r="Q74" s="137" t="s">
        <v>29</v>
      </c>
      <c r="R74" s="137" t="s">
        <v>29</v>
      </c>
      <c r="S74" s="142"/>
      <c r="T74" s="137">
        <v>0</v>
      </c>
      <c r="U74" s="137">
        <v>-1</v>
      </c>
      <c r="V74" s="137">
        <v>0</v>
      </c>
      <c r="W74" s="143"/>
      <c r="X74" s="143"/>
      <c r="Y74" s="137"/>
    </row>
    <row r="75" spans="1:25" ht="14.4">
      <c r="A75" s="117">
        <v>1</v>
      </c>
      <c r="B75" s="118" t="s">
        <v>2078</v>
      </c>
      <c r="C75" s="22">
        <v>75</v>
      </c>
      <c r="D75" s="119">
        <v>3</v>
      </c>
      <c r="E75" s="120">
        <v>43800</v>
      </c>
      <c r="F75" s="121" t="str">
        <f>HYPERLINK("https://lifestyle.okezone.com/read/2019/01/12/196/2003514/5-artis-ini-pernah-alami-dipaksa-bekerja-di-dunia-hiburan-bintang-atau-pekerja-cilik ","sumber")</f>
        <v>sumber</v>
      </c>
      <c r="G75" s="121" t="str">
        <f t="shared" si="0"/>
        <v>lokasi</v>
      </c>
      <c r="H75" s="118">
        <v>357</v>
      </c>
      <c r="I75" s="22">
        <v>2</v>
      </c>
      <c r="J75" s="122">
        <v>1</v>
      </c>
      <c r="K75" s="123"/>
      <c r="L75" s="22">
        <v>-1</v>
      </c>
      <c r="M75" s="22">
        <v>0</v>
      </c>
      <c r="N75" s="125">
        <v>0</v>
      </c>
      <c r="O75" s="22">
        <v>0</v>
      </c>
      <c r="P75" s="22">
        <v>0</v>
      </c>
      <c r="Q75" s="22"/>
      <c r="R75" s="22"/>
      <c r="S75" s="134"/>
      <c r="T75" s="22">
        <v>0</v>
      </c>
      <c r="U75" s="22">
        <v>0</v>
      </c>
      <c r="V75" s="22">
        <v>0</v>
      </c>
      <c r="W75" s="23"/>
      <c r="X75" s="23"/>
      <c r="Y75" s="23"/>
    </row>
    <row r="76" spans="1:25" ht="14.4">
      <c r="A76" s="117">
        <v>1</v>
      </c>
      <c r="B76" s="118" t="s">
        <v>2079</v>
      </c>
      <c r="C76" s="22">
        <v>76</v>
      </c>
      <c r="D76" s="119">
        <v>7</v>
      </c>
      <c r="E76" s="120">
        <v>43800</v>
      </c>
      <c r="F76" s="121" t="str">
        <f>HYPERLINK("http://www.tribunnews.com/sport/2019/01/12/sri-sugiyanti-gagal-raih-emas-lantaran-kurang-berlatih ","sumber")</f>
        <v>sumber</v>
      </c>
      <c r="G76" s="121" t="str">
        <f t="shared" si="0"/>
        <v>lokasi</v>
      </c>
      <c r="H76" s="118">
        <v>260</v>
      </c>
      <c r="I76" s="22">
        <v>3</v>
      </c>
      <c r="J76" s="119">
        <v>2</v>
      </c>
      <c r="K76" s="123" t="s">
        <v>2080</v>
      </c>
      <c r="L76" s="22">
        <v>0</v>
      </c>
      <c r="M76" s="22">
        <v>0</v>
      </c>
      <c r="N76" s="125">
        <v>0</v>
      </c>
      <c r="O76" s="22">
        <v>0</v>
      </c>
      <c r="P76" s="22">
        <v>0</v>
      </c>
      <c r="Q76" s="22" t="s">
        <v>159</v>
      </c>
      <c r="R76" s="22" t="s">
        <v>160</v>
      </c>
      <c r="S76" s="134"/>
      <c r="T76" s="22">
        <v>0</v>
      </c>
      <c r="U76" s="22">
        <v>0</v>
      </c>
      <c r="V76" s="22">
        <v>0</v>
      </c>
      <c r="W76" s="23"/>
      <c r="X76" s="23"/>
      <c r="Y76" s="23"/>
    </row>
    <row r="77" spans="1:25" ht="14.4">
      <c r="A77" s="117">
        <v>1</v>
      </c>
      <c r="B77" s="118" t="s">
        <v>2081</v>
      </c>
      <c r="C77" s="22">
        <v>77</v>
      </c>
      <c r="D77" s="119">
        <v>8</v>
      </c>
      <c r="E77" s="119" t="s">
        <v>657</v>
      </c>
      <c r="F77" s="121" t="str">
        <f>HYPERLINK("https://www.suara.com/news/2019/01/14/184627/prabowo-ancam-mundur-dari-pilpres-2019-kpu-itu-pernyataan-politik ","sumber")</f>
        <v>sumber</v>
      </c>
      <c r="G77" s="121" t="str">
        <f t="shared" si="0"/>
        <v>lokasi</v>
      </c>
      <c r="H77" s="118">
        <v>348</v>
      </c>
      <c r="I77" s="22">
        <v>1</v>
      </c>
      <c r="J77" s="119">
        <v>2</v>
      </c>
      <c r="K77" s="123" t="s">
        <v>2082</v>
      </c>
      <c r="L77" s="22">
        <v>0</v>
      </c>
      <c r="M77" s="22">
        <v>1</v>
      </c>
      <c r="N77" s="125">
        <v>0</v>
      </c>
      <c r="O77" s="22">
        <v>0</v>
      </c>
      <c r="P77" s="22">
        <v>0</v>
      </c>
      <c r="Q77" s="22">
        <v>0</v>
      </c>
      <c r="R77" s="22">
        <v>-1</v>
      </c>
      <c r="S77" s="134"/>
      <c r="T77" s="22">
        <v>0</v>
      </c>
      <c r="U77" s="22">
        <v>0</v>
      </c>
      <c r="V77" s="22">
        <v>0</v>
      </c>
      <c r="W77" s="23"/>
      <c r="X77" s="23"/>
      <c r="Y77" s="23"/>
    </row>
    <row r="78" spans="1:25" ht="14.4">
      <c r="A78" s="111">
        <v>2</v>
      </c>
      <c r="B78" s="112" t="s">
        <v>2083</v>
      </c>
      <c r="C78" s="25">
        <v>78</v>
      </c>
      <c r="D78" s="113">
        <v>10</v>
      </c>
      <c r="E78" s="113" t="s">
        <v>670</v>
      </c>
      <c r="F78" s="115" t="str">
        <f>HYPERLINK("https://bisnis.tempo.co/read/1166666/sandiaga-saya-terenyuh-melihat-petani-demak-buang-cabai-ke-jalan ","sumber")</f>
        <v>sumber</v>
      </c>
      <c r="G78" s="115" t="str">
        <f t="shared" si="0"/>
        <v>lokasi</v>
      </c>
      <c r="H78" s="112">
        <v>249</v>
      </c>
      <c r="I78" s="26"/>
      <c r="J78" s="113">
        <v>2</v>
      </c>
      <c r="K78" s="124"/>
      <c r="L78" s="26"/>
      <c r="M78" s="26"/>
      <c r="N78" s="26"/>
      <c r="O78" s="26"/>
      <c r="P78" s="26"/>
      <c r="Q78" s="26"/>
      <c r="R78" s="26"/>
      <c r="S78" s="124"/>
      <c r="T78" s="26"/>
      <c r="U78" s="26"/>
      <c r="V78" s="26"/>
      <c r="W78" s="26"/>
      <c r="X78" s="26"/>
      <c r="Y78" s="25"/>
    </row>
    <row r="79" spans="1:25" ht="14.4">
      <c r="A79" s="126">
        <v>1</v>
      </c>
      <c r="B79" s="127" t="s">
        <v>2084</v>
      </c>
      <c r="C79" s="33">
        <v>79</v>
      </c>
      <c r="D79" s="128">
        <v>2</v>
      </c>
      <c r="E79" s="128" t="s">
        <v>417</v>
      </c>
      <c r="F79" s="130" t="str">
        <f>HYPERLINK("https://www.cnnindonesia.com/nasional/20190113162842-32-360472/gk-pengusaha-deklarasi-dukungan-untuk-jokowi-maruf","sumber")</f>
        <v>sumber</v>
      </c>
      <c r="G79" s="130" t="str">
        <f t="shared" si="0"/>
        <v>lokasi</v>
      </c>
      <c r="H79" s="127">
        <v>519</v>
      </c>
      <c r="I79" s="33">
        <v>4</v>
      </c>
      <c r="J79" s="128">
        <v>2</v>
      </c>
      <c r="K79" s="131" t="s">
        <v>2085</v>
      </c>
      <c r="L79" s="33">
        <v>0</v>
      </c>
      <c r="M79" s="33">
        <v>0</v>
      </c>
      <c r="N79" s="132">
        <v>0</v>
      </c>
      <c r="O79" s="33">
        <v>0</v>
      </c>
      <c r="P79" s="33">
        <v>0</v>
      </c>
      <c r="Q79" s="33" t="s">
        <v>1655</v>
      </c>
      <c r="R79" s="33" t="s">
        <v>106</v>
      </c>
      <c r="S79" s="133"/>
      <c r="T79" s="33">
        <v>0</v>
      </c>
      <c r="U79" s="33">
        <v>0</v>
      </c>
      <c r="V79" s="33">
        <v>1</v>
      </c>
      <c r="W79" s="24"/>
      <c r="X79" s="24"/>
      <c r="Y79" s="33"/>
    </row>
    <row r="80" spans="1:25" ht="14.4">
      <c r="A80" s="126">
        <v>1</v>
      </c>
      <c r="B80" s="127" t="s">
        <v>2086</v>
      </c>
      <c r="C80" s="33">
        <v>80</v>
      </c>
      <c r="D80" s="128">
        <v>6</v>
      </c>
      <c r="E80" s="128" t="s">
        <v>670</v>
      </c>
      <c r="F80" s="130" t="str">
        <f>HYPERLINK("https://regional.kompas.com/read/2019/01/19/11183911/harapan-terwujud-bocah-dinda-yang-lumpuh-layu-sejak-kecil-bisa-sekolah","sumber")</f>
        <v>sumber</v>
      </c>
      <c r="G80" s="130" t="str">
        <f t="shared" si="0"/>
        <v>lokasi</v>
      </c>
      <c r="H80" s="127">
        <v>294</v>
      </c>
      <c r="I80" s="33">
        <v>2</v>
      </c>
      <c r="J80" s="128">
        <v>2</v>
      </c>
      <c r="K80" s="131" t="s">
        <v>2087</v>
      </c>
      <c r="L80" s="33">
        <v>0</v>
      </c>
      <c r="M80" s="33">
        <v>0</v>
      </c>
      <c r="N80" s="132">
        <v>0</v>
      </c>
      <c r="O80" s="33">
        <v>0</v>
      </c>
      <c r="P80" s="33">
        <v>0</v>
      </c>
      <c r="Q80" s="33" t="s">
        <v>29</v>
      </c>
      <c r="R80" s="33" t="s">
        <v>68</v>
      </c>
      <c r="S80" s="133"/>
      <c r="T80" s="33">
        <v>0</v>
      </c>
      <c r="U80" s="33">
        <v>0</v>
      </c>
      <c r="V80" s="33">
        <v>0</v>
      </c>
      <c r="W80" s="24"/>
      <c r="X80" s="24"/>
      <c r="Y80" s="33"/>
    </row>
    <row r="81" spans="1:25" ht="14.4">
      <c r="A81" s="111">
        <v>2</v>
      </c>
      <c r="B81" s="112" t="s">
        <v>2088</v>
      </c>
      <c r="C81" s="25">
        <v>81</v>
      </c>
      <c r="D81" s="113">
        <v>8</v>
      </c>
      <c r="E81" s="113" t="s">
        <v>55</v>
      </c>
      <c r="F81" s="115" t="str">
        <f>HYPERLINK("https://www.suara.com/news/2019/01/26/183000/sudirman-said-tabloid-indonesia-barokah-disebar-sistematis ","sumber")</f>
        <v>sumber</v>
      </c>
      <c r="G81" s="115" t="str">
        <f t="shared" si="0"/>
        <v>lokasi</v>
      </c>
      <c r="H81" s="112">
        <v>209</v>
      </c>
      <c r="I81" s="26"/>
      <c r="J81" s="113">
        <v>2</v>
      </c>
      <c r="K81" s="124"/>
      <c r="L81" s="26"/>
      <c r="M81" s="26"/>
      <c r="N81" s="26"/>
      <c r="O81" s="26"/>
      <c r="P81" s="26"/>
      <c r="Q81" s="26"/>
      <c r="R81" s="26"/>
      <c r="S81" s="124"/>
      <c r="T81" s="26"/>
      <c r="U81" s="26"/>
      <c r="V81" s="26"/>
      <c r="W81" s="26"/>
      <c r="X81" s="26"/>
      <c r="Y81" s="25"/>
    </row>
    <row r="82" spans="1:25" ht="14.4">
      <c r="A82" s="117">
        <v>1</v>
      </c>
      <c r="B82" s="118" t="s">
        <v>2089</v>
      </c>
      <c r="C82" s="22">
        <v>82</v>
      </c>
      <c r="D82" s="119">
        <v>1</v>
      </c>
      <c r="E82" s="119" t="s">
        <v>66</v>
      </c>
      <c r="F82" s="121" t="str">
        <f>HYPERLINK("https://news.detik.com/berita/d-4409540/kepada-mahasiswa-hnw-tegaskan-rakyat-perlu-diingatkan-pemilu ","sumber")</f>
        <v>sumber</v>
      </c>
      <c r="G82" s="121" t="str">
        <f t="shared" si="0"/>
        <v>lokasi</v>
      </c>
      <c r="H82" s="118">
        <v>376</v>
      </c>
      <c r="I82" s="22">
        <v>3</v>
      </c>
      <c r="J82" s="119">
        <v>2</v>
      </c>
      <c r="K82" s="123" t="s">
        <v>2090</v>
      </c>
      <c r="L82" s="22">
        <v>0</v>
      </c>
      <c r="M82" s="22">
        <v>0</v>
      </c>
      <c r="N82" s="125">
        <v>0</v>
      </c>
      <c r="O82" s="22">
        <v>0</v>
      </c>
      <c r="P82" s="22">
        <v>0</v>
      </c>
      <c r="Q82" s="22" t="s">
        <v>29</v>
      </c>
      <c r="R82" s="22" t="s">
        <v>29</v>
      </c>
      <c r="S82" s="123" t="s">
        <v>2091</v>
      </c>
      <c r="T82" s="22">
        <v>1</v>
      </c>
      <c r="U82" s="22">
        <v>0</v>
      </c>
      <c r="V82" s="22">
        <v>0</v>
      </c>
      <c r="W82" s="23"/>
      <c r="X82" s="23"/>
      <c r="Y82" s="23"/>
    </row>
    <row r="83" spans="1:25" ht="14.4">
      <c r="A83" s="135">
        <v>1</v>
      </c>
      <c r="B83" s="136" t="s">
        <v>2092</v>
      </c>
      <c r="C83" s="137">
        <v>83</v>
      </c>
      <c r="D83" s="138">
        <v>6</v>
      </c>
      <c r="E83" s="138" t="s">
        <v>651</v>
      </c>
      <c r="F83" s="139" t="str">
        <f>HYPERLINK("https://internasional.kompas.com/read/2019/01/24/14365571/perawat-di-as-yang-hamili-pasien-vegetatif-ditangkap","sumber")</f>
        <v>sumber</v>
      </c>
      <c r="G83" s="139" t="str">
        <f t="shared" si="0"/>
        <v>lokasi</v>
      </c>
      <c r="H83" s="136">
        <v>311</v>
      </c>
      <c r="I83" s="137">
        <v>1</v>
      </c>
      <c r="J83" s="138">
        <v>2</v>
      </c>
      <c r="K83" s="140" t="s">
        <v>2093</v>
      </c>
      <c r="L83" s="137">
        <v>0</v>
      </c>
      <c r="M83" s="137">
        <v>1</v>
      </c>
      <c r="N83" s="137">
        <v>-1</v>
      </c>
      <c r="O83" s="137">
        <v>1</v>
      </c>
      <c r="P83" s="137">
        <v>0</v>
      </c>
      <c r="Q83" s="137" t="s">
        <v>21</v>
      </c>
      <c r="R83" s="137" t="s">
        <v>106</v>
      </c>
      <c r="S83" s="142"/>
      <c r="T83" s="137">
        <v>0</v>
      </c>
      <c r="U83" s="137">
        <v>0</v>
      </c>
      <c r="V83" s="137">
        <v>0</v>
      </c>
      <c r="W83" s="143"/>
      <c r="X83" s="143"/>
      <c r="Y83" s="137"/>
    </row>
    <row r="84" spans="1:25" ht="14.4">
      <c r="A84" s="148">
        <v>1</v>
      </c>
      <c r="B84" s="149" t="s">
        <v>2094</v>
      </c>
      <c r="C84" s="33">
        <v>84</v>
      </c>
      <c r="D84" s="128">
        <v>6</v>
      </c>
      <c r="E84" s="129">
        <v>43710</v>
      </c>
      <c r="F84" s="130" t="str">
        <f>HYPERLINK("https://megapolitan.kompas.com/read/2019/02/09/15080101/pemprov-dki-wajibkan-pengembang-sertakan-desain-fasilitas-khusus ","sumber")</f>
        <v>sumber</v>
      </c>
      <c r="G84" s="130" t="str">
        <f t="shared" si="0"/>
        <v>lokasi</v>
      </c>
      <c r="H84" s="127">
        <v>320</v>
      </c>
      <c r="I84" s="33">
        <v>4</v>
      </c>
      <c r="J84" s="128">
        <v>2</v>
      </c>
      <c r="K84" s="131" t="s">
        <v>2095</v>
      </c>
      <c r="L84" s="33">
        <v>0</v>
      </c>
      <c r="M84" s="33">
        <v>0</v>
      </c>
      <c r="N84" s="132">
        <v>0</v>
      </c>
      <c r="O84" s="33">
        <v>0</v>
      </c>
      <c r="P84" s="33">
        <v>0</v>
      </c>
      <c r="Q84" s="33">
        <v>0</v>
      </c>
      <c r="R84" s="33">
        <v>1</v>
      </c>
      <c r="S84" s="133"/>
      <c r="T84" s="33">
        <v>0</v>
      </c>
      <c r="U84" s="33">
        <v>0</v>
      </c>
      <c r="V84" s="33">
        <v>1</v>
      </c>
      <c r="W84" s="24"/>
      <c r="X84" s="24"/>
      <c r="Y84" s="33"/>
    </row>
    <row r="85" spans="1:25" ht="14.4">
      <c r="A85" s="117">
        <v>1</v>
      </c>
      <c r="B85" s="118" t="s">
        <v>2096</v>
      </c>
      <c r="C85" s="22">
        <v>85</v>
      </c>
      <c r="D85" s="119">
        <v>1</v>
      </c>
      <c r="E85" s="120">
        <v>43771</v>
      </c>
      <c r="F85" s="121" t="str">
        <f>HYPERLINK("https://health.detik.com/true-story/d-4423217/remaja-ini-buat-sendiri-tangan-bioniknya-pakai-mainan-lego ","sumber")</f>
        <v>sumber</v>
      </c>
      <c r="G85" s="121" t="str">
        <f t="shared" si="0"/>
        <v>lokasi</v>
      </c>
      <c r="H85" s="118">
        <v>211</v>
      </c>
      <c r="I85" s="22">
        <v>2</v>
      </c>
      <c r="J85" s="119">
        <v>2</v>
      </c>
      <c r="K85" s="123" t="s">
        <v>2097</v>
      </c>
      <c r="L85" s="22">
        <v>0</v>
      </c>
      <c r="M85" s="22">
        <v>0</v>
      </c>
      <c r="N85" s="125">
        <v>0</v>
      </c>
      <c r="O85" s="22">
        <v>0</v>
      </c>
      <c r="P85" s="22">
        <v>0</v>
      </c>
      <c r="Q85" s="22">
        <v>2</v>
      </c>
      <c r="R85" s="22">
        <v>1</v>
      </c>
      <c r="S85" s="134"/>
      <c r="T85" s="22">
        <v>0</v>
      </c>
      <c r="U85" s="22">
        <v>0</v>
      </c>
      <c r="V85" s="22">
        <v>0</v>
      </c>
      <c r="W85" s="23"/>
      <c r="X85" s="23"/>
      <c r="Y85" s="23"/>
    </row>
    <row r="86" spans="1:25" ht="14.4">
      <c r="A86" s="117">
        <v>1</v>
      </c>
      <c r="B86" s="118" t="s">
        <v>2098</v>
      </c>
      <c r="C86" s="22">
        <v>86</v>
      </c>
      <c r="D86" s="119">
        <v>1</v>
      </c>
      <c r="E86" s="120">
        <v>43801</v>
      </c>
      <c r="F86" s="121" t="str">
        <f>HYPERLINK("https://news.detik.com/berita-jawa-barat/d-4425345/ridwan-kamil-sangkal-niat-busuk-kubu-sebelah-sejak-2014 ","sumber")</f>
        <v>sumber</v>
      </c>
      <c r="G86" s="121" t="str">
        <f t="shared" si="0"/>
        <v>lokasi</v>
      </c>
      <c r="H86" s="118">
        <v>252</v>
      </c>
      <c r="I86" s="22">
        <v>5</v>
      </c>
      <c r="J86" s="119">
        <v>4</v>
      </c>
      <c r="K86" s="123" t="s">
        <v>2099</v>
      </c>
      <c r="L86" s="22">
        <v>0</v>
      </c>
      <c r="M86" s="22">
        <v>0</v>
      </c>
      <c r="N86" s="125">
        <v>0</v>
      </c>
      <c r="O86" s="22">
        <v>0</v>
      </c>
      <c r="P86" s="22">
        <v>0</v>
      </c>
      <c r="Q86" s="22">
        <v>0</v>
      </c>
      <c r="R86" s="22">
        <v>0</v>
      </c>
      <c r="S86" s="134"/>
      <c r="T86" s="22">
        <v>0</v>
      </c>
      <c r="U86" s="22">
        <v>0</v>
      </c>
      <c r="V86" s="22">
        <v>0</v>
      </c>
      <c r="W86" s="23"/>
      <c r="X86" s="23"/>
      <c r="Y86" s="23"/>
    </row>
    <row r="87" spans="1:25" ht="14.4">
      <c r="A87" s="117">
        <v>1</v>
      </c>
      <c r="B87" s="118" t="s">
        <v>2100</v>
      </c>
      <c r="C87" s="22">
        <v>87</v>
      </c>
      <c r="D87" s="119">
        <v>10</v>
      </c>
      <c r="E87" s="120">
        <v>43801</v>
      </c>
      <c r="F87" s="121" t="str">
        <f>HYPERLINK("https://dunia.tempo.co/read/1174885/perbudakan-seks-jepang-protes-kaisar-akihito-disuruh-minta-maaf ","sumber")</f>
        <v>sumber</v>
      </c>
      <c r="G87" s="121" t="str">
        <f t="shared" si="0"/>
        <v>lokasi</v>
      </c>
      <c r="H87" s="118">
        <v>417</v>
      </c>
      <c r="I87" s="22">
        <v>1</v>
      </c>
      <c r="J87" s="119">
        <v>1</v>
      </c>
      <c r="K87" s="123" t="s">
        <v>2101</v>
      </c>
      <c r="L87" s="22">
        <v>0</v>
      </c>
      <c r="M87" s="22">
        <v>1</v>
      </c>
      <c r="N87" s="125">
        <v>0</v>
      </c>
      <c r="O87" s="22">
        <v>0</v>
      </c>
      <c r="P87" s="22">
        <v>0</v>
      </c>
      <c r="Q87" s="22" t="s">
        <v>21</v>
      </c>
      <c r="R87" s="22" t="s">
        <v>21</v>
      </c>
      <c r="S87" s="134"/>
      <c r="T87" s="22">
        <v>0</v>
      </c>
      <c r="U87" s="22">
        <v>0</v>
      </c>
      <c r="V87" s="22">
        <v>1</v>
      </c>
      <c r="W87" s="23"/>
      <c r="X87" s="23"/>
      <c r="Y87" s="23"/>
    </row>
    <row r="88" spans="1:25" ht="14.4">
      <c r="A88" s="117">
        <v>1</v>
      </c>
      <c r="B88" s="118" t="s">
        <v>2102</v>
      </c>
      <c r="C88" s="22">
        <v>88</v>
      </c>
      <c r="D88" s="119">
        <v>1</v>
      </c>
      <c r="E88" s="119" t="s">
        <v>1963</v>
      </c>
      <c r="F88" s="121" t="str">
        <f>HYPERLINK("https://news.detik.com/berita-jawa-barat/d-4430327/pembunuh-pria-yang-salat-di-masjid-alami-gangguan-jiwa ","sumber")</f>
        <v>sumber</v>
      </c>
      <c r="G88" s="121" t="str">
        <f t="shared" si="0"/>
        <v>lokasi</v>
      </c>
      <c r="H88" s="118">
        <v>216</v>
      </c>
      <c r="I88" s="22">
        <v>1</v>
      </c>
      <c r="J88" s="119">
        <v>2</v>
      </c>
      <c r="K88" s="123" t="s">
        <v>2103</v>
      </c>
      <c r="L88" s="22">
        <v>0</v>
      </c>
      <c r="M88" s="22">
        <v>-1</v>
      </c>
      <c r="N88" s="125">
        <v>0</v>
      </c>
      <c r="O88" s="22">
        <v>0</v>
      </c>
      <c r="P88" s="22">
        <v>0</v>
      </c>
      <c r="Q88" s="22">
        <v>0</v>
      </c>
      <c r="R88" s="22">
        <v>0</v>
      </c>
      <c r="S88" s="123" t="s">
        <v>2071</v>
      </c>
      <c r="T88" s="22">
        <v>1</v>
      </c>
      <c r="U88" s="22">
        <v>0</v>
      </c>
      <c r="V88" s="22">
        <v>0</v>
      </c>
      <c r="W88" s="23"/>
      <c r="X88" s="23"/>
      <c r="Y88" s="23"/>
    </row>
    <row r="89" spans="1:25" ht="14.4">
      <c r="A89" s="117">
        <v>1</v>
      </c>
      <c r="B89" s="118" t="s">
        <v>2104</v>
      </c>
      <c r="C89" s="22">
        <v>89</v>
      </c>
      <c r="D89" s="119">
        <v>10</v>
      </c>
      <c r="E89" s="119" t="s">
        <v>689</v>
      </c>
      <c r="F89" s="121" t="str">
        <f>HYPERLINK("https://pemilu.tempo.co/read/1176803/relawan-demokrasi-sosialisasi-pemilu-ke-pasar-pasar-tradisional ","sumber")</f>
        <v>sumber</v>
      </c>
      <c r="G89" s="121" t="str">
        <f t="shared" si="0"/>
        <v>lokasi</v>
      </c>
      <c r="H89" s="118">
        <v>333</v>
      </c>
      <c r="I89" s="22">
        <v>3</v>
      </c>
      <c r="J89" s="119">
        <v>2</v>
      </c>
      <c r="K89" s="123" t="s">
        <v>2105</v>
      </c>
      <c r="L89" s="22">
        <v>0</v>
      </c>
      <c r="M89" s="22">
        <v>0</v>
      </c>
      <c r="N89" s="125">
        <v>0</v>
      </c>
      <c r="O89" s="22">
        <v>0</v>
      </c>
      <c r="P89" s="22">
        <v>0</v>
      </c>
      <c r="Q89" s="22">
        <v>0</v>
      </c>
      <c r="R89" s="22">
        <v>1</v>
      </c>
      <c r="S89" s="134"/>
      <c r="T89" s="22">
        <v>0</v>
      </c>
      <c r="U89" s="22">
        <v>0</v>
      </c>
      <c r="V89" s="22">
        <v>1</v>
      </c>
      <c r="W89" s="23"/>
      <c r="X89" s="23"/>
      <c r="Y89" s="23"/>
    </row>
    <row r="90" spans="1:25" ht="14.4">
      <c r="A90" s="126">
        <v>1</v>
      </c>
      <c r="B90" s="127" t="s">
        <v>2106</v>
      </c>
      <c r="C90" s="33">
        <v>90</v>
      </c>
      <c r="D90" s="128">
        <v>8</v>
      </c>
      <c r="E90" s="128" t="s">
        <v>76</v>
      </c>
      <c r="F90" s="130" t="str">
        <f>HYPERLINK("https://www.suara.com/health/2019/02/13/154332/idap-sindrom-tetra-amelia-bayi-ini-lahir-tanpa-tangan-dan-kaki ","sumber")</f>
        <v>sumber</v>
      </c>
      <c r="G90" s="130" t="str">
        <f t="shared" si="0"/>
        <v>lokasi</v>
      </c>
      <c r="H90" s="127">
        <v>259</v>
      </c>
      <c r="I90" s="33">
        <v>2</v>
      </c>
      <c r="J90" s="128">
        <v>2</v>
      </c>
      <c r="K90" s="131" t="s">
        <v>2107</v>
      </c>
      <c r="L90" s="33">
        <v>0</v>
      </c>
      <c r="M90" s="33">
        <v>0</v>
      </c>
      <c r="N90" s="132">
        <v>0</v>
      </c>
      <c r="O90" s="33">
        <v>0</v>
      </c>
      <c r="P90" s="33">
        <v>0</v>
      </c>
      <c r="Q90" s="33">
        <v>0</v>
      </c>
      <c r="R90" s="33">
        <v>1</v>
      </c>
      <c r="S90" s="133"/>
      <c r="T90" s="33">
        <v>0</v>
      </c>
      <c r="U90" s="33">
        <v>0</v>
      </c>
      <c r="V90" s="33">
        <v>0</v>
      </c>
      <c r="W90" s="24"/>
      <c r="X90" s="24"/>
      <c r="Y90" s="33"/>
    </row>
    <row r="91" spans="1:25" ht="14.4">
      <c r="A91" s="111">
        <v>2</v>
      </c>
      <c r="B91" s="112" t="s">
        <v>1215</v>
      </c>
      <c r="C91" s="25">
        <v>91</v>
      </c>
      <c r="D91" s="113">
        <v>7</v>
      </c>
      <c r="E91" s="113" t="s">
        <v>457</v>
      </c>
      <c r="F91" s="115" t="str">
        <f>HYPERLINK("http://www.tribunnews.com/superskor/2019/02/20/liverpool-vs-bayern-muenchen-leg-pertama-berakhir-0-0 ","sumber")</f>
        <v>sumber</v>
      </c>
      <c r="G91" s="115" t="str">
        <f t="shared" si="0"/>
        <v>lokasi</v>
      </c>
      <c r="H91" s="112">
        <v>154</v>
      </c>
      <c r="I91" s="26"/>
      <c r="J91" s="113">
        <v>2</v>
      </c>
      <c r="K91" s="124"/>
      <c r="L91" s="26"/>
      <c r="M91" s="26"/>
      <c r="N91" s="26"/>
      <c r="O91" s="26"/>
      <c r="P91" s="26"/>
      <c r="Q91" s="26"/>
      <c r="R91" s="26"/>
      <c r="S91" s="124"/>
      <c r="T91" s="26"/>
      <c r="U91" s="26"/>
      <c r="V91" s="26"/>
      <c r="W91" s="26"/>
      <c r="X91" s="26"/>
      <c r="Y91" s="25"/>
    </row>
    <row r="92" spans="1:25" ht="14.4">
      <c r="A92" s="117">
        <v>1</v>
      </c>
      <c r="B92" s="118" t="s">
        <v>2108</v>
      </c>
      <c r="C92" s="22">
        <v>92</v>
      </c>
      <c r="D92" s="119">
        <v>8</v>
      </c>
      <c r="E92" s="119" t="s">
        <v>322</v>
      </c>
      <c r="F92" s="121" t="str">
        <f>HYPERLINK("https://www.suara.com/health/2019/02/21/143942/jika-cemas-lelaki-di-korea-ini-telan-batu-kerikil-sampai-koin ","sumber")</f>
        <v>sumber</v>
      </c>
      <c r="G92" s="121" t="str">
        <f t="shared" si="0"/>
        <v>lokasi</v>
      </c>
      <c r="H92" s="118">
        <v>265</v>
      </c>
      <c r="I92" s="22">
        <v>2</v>
      </c>
      <c r="J92" s="119">
        <v>2</v>
      </c>
      <c r="K92" s="123" t="s">
        <v>2109</v>
      </c>
      <c r="L92" s="22">
        <v>0</v>
      </c>
      <c r="M92" s="22">
        <v>0</v>
      </c>
      <c r="N92" s="125">
        <v>0</v>
      </c>
      <c r="O92" s="22">
        <v>0</v>
      </c>
      <c r="P92" s="22">
        <v>0</v>
      </c>
      <c r="Q92" s="22">
        <v>0</v>
      </c>
      <c r="R92" s="22">
        <v>0</v>
      </c>
      <c r="S92" s="123" t="s">
        <v>2110</v>
      </c>
      <c r="T92" s="22">
        <v>1</v>
      </c>
      <c r="U92" s="22">
        <v>0</v>
      </c>
      <c r="V92" s="22">
        <v>0</v>
      </c>
      <c r="W92" s="23"/>
      <c r="X92" s="23"/>
      <c r="Y92" s="23"/>
    </row>
    <row r="93" spans="1:25" ht="14.4">
      <c r="A93" s="117">
        <v>1</v>
      </c>
      <c r="B93" s="118" t="s">
        <v>2111</v>
      </c>
      <c r="C93" s="22">
        <v>93</v>
      </c>
      <c r="D93" s="119">
        <v>7</v>
      </c>
      <c r="E93" s="119" t="s">
        <v>322</v>
      </c>
      <c r="F93" s="121" t="str">
        <f>HYPERLINK("http://www.tribunnews.com/seleb/2019/02/21/tantang-raffi-ahmad-jadi-orang-gila-baim-wong-kerjai-badut-pengamen-sampai-bersimpuh-di-kakinya ","sumber")</f>
        <v>sumber</v>
      </c>
      <c r="G93" s="121" t="str">
        <f t="shared" si="0"/>
        <v>lokasi</v>
      </c>
      <c r="H93" s="118">
        <v>163</v>
      </c>
      <c r="I93" s="22">
        <v>2</v>
      </c>
      <c r="J93" s="119">
        <v>2</v>
      </c>
      <c r="K93" s="150" t="s">
        <v>2112</v>
      </c>
      <c r="L93" s="22">
        <v>0</v>
      </c>
      <c r="M93" s="22">
        <v>0</v>
      </c>
      <c r="N93" s="125">
        <v>0</v>
      </c>
      <c r="O93" s="22">
        <v>0</v>
      </c>
      <c r="P93" s="22">
        <v>0</v>
      </c>
      <c r="Q93" s="22">
        <v>0</v>
      </c>
      <c r="R93" s="22">
        <v>0</v>
      </c>
      <c r="S93" s="123" t="s">
        <v>2113</v>
      </c>
      <c r="T93" s="22">
        <v>1</v>
      </c>
      <c r="U93" s="22">
        <v>0</v>
      </c>
      <c r="V93" s="22">
        <v>0</v>
      </c>
      <c r="W93" s="23"/>
      <c r="X93" s="23"/>
      <c r="Y93" s="23"/>
    </row>
    <row r="94" spans="1:25" ht="14.4">
      <c r="A94" s="126">
        <v>1</v>
      </c>
      <c r="B94" s="127" t="s">
        <v>2114</v>
      </c>
      <c r="C94" s="33">
        <v>94</v>
      </c>
      <c r="D94" s="128">
        <v>10</v>
      </c>
      <c r="E94" s="129">
        <v>43710</v>
      </c>
      <c r="F94" s="130" t="str">
        <f>HYPERLINK("https://difabel.tempo.co/read/1173806/riset-penyandang-disabilitas-pria-lebih-rentan-bunuh-diri ","sumber")</f>
        <v>sumber</v>
      </c>
      <c r="G94" s="130" t="str">
        <f t="shared" si="0"/>
        <v>lokasi</v>
      </c>
      <c r="H94" s="127">
        <v>325</v>
      </c>
      <c r="I94" s="33">
        <v>2</v>
      </c>
      <c r="J94" s="128">
        <v>2</v>
      </c>
      <c r="K94" s="131" t="s">
        <v>2115</v>
      </c>
      <c r="L94" s="33">
        <v>0</v>
      </c>
      <c r="M94" s="33">
        <v>0</v>
      </c>
      <c r="N94" s="132">
        <v>0</v>
      </c>
      <c r="O94" s="33">
        <v>0</v>
      </c>
      <c r="P94" s="33">
        <v>0</v>
      </c>
      <c r="Q94" s="33">
        <v>0</v>
      </c>
      <c r="R94" s="33">
        <v>1</v>
      </c>
      <c r="S94" s="133"/>
      <c r="T94" s="33">
        <v>0</v>
      </c>
      <c r="U94" s="33">
        <v>0</v>
      </c>
      <c r="V94" s="33">
        <v>1</v>
      </c>
      <c r="W94" s="24"/>
      <c r="X94" s="24"/>
      <c r="Y94" s="33"/>
    </row>
    <row r="95" spans="1:25" ht="14.4">
      <c r="A95" s="111">
        <v>2</v>
      </c>
      <c r="B95" s="112" t="s">
        <v>2116</v>
      </c>
      <c r="C95" s="25">
        <v>95</v>
      </c>
      <c r="D95" s="113">
        <v>7</v>
      </c>
      <c r="E95" s="113" t="s">
        <v>2117</v>
      </c>
      <c r="F95" s="115" t="str">
        <f>HYPERLINK("http://www.tribunnews.com/section/2019/02/23/jimin-bts-jadi-perbincangan-saat-fotonya-muncul-dalam-sebuah-acara-beri-dukungan-pada-teman-lama ","sumber")</f>
        <v>sumber</v>
      </c>
      <c r="G95" s="115" t="str">
        <f t="shared" si="0"/>
        <v>lokasi</v>
      </c>
      <c r="H95" s="112">
        <v>197</v>
      </c>
      <c r="I95" s="25">
        <v>3</v>
      </c>
      <c r="J95" s="113">
        <v>2</v>
      </c>
      <c r="K95" s="116" t="s">
        <v>2118</v>
      </c>
      <c r="L95" s="25">
        <v>0</v>
      </c>
      <c r="M95" s="25">
        <v>0</v>
      </c>
      <c r="N95" s="151">
        <v>0</v>
      </c>
      <c r="O95" s="25">
        <v>0</v>
      </c>
      <c r="P95" s="25">
        <v>0</v>
      </c>
      <c r="Q95" s="25">
        <v>2</v>
      </c>
      <c r="R95" s="25">
        <v>0</v>
      </c>
      <c r="S95" s="124"/>
      <c r="T95" s="25">
        <v>0</v>
      </c>
      <c r="U95" s="25">
        <v>0</v>
      </c>
      <c r="V95" s="25">
        <v>0</v>
      </c>
      <c r="W95" s="26"/>
      <c r="X95" s="26"/>
      <c r="Y95" s="26"/>
    </row>
    <row r="96" spans="1:25" ht="14.4">
      <c r="A96" s="135">
        <v>1</v>
      </c>
      <c r="B96" s="136" t="s">
        <v>2119</v>
      </c>
      <c r="C96" s="137">
        <v>96</v>
      </c>
      <c r="D96" s="138">
        <v>6</v>
      </c>
      <c r="E96" s="138" t="s">
        <v>85</v>
      </c>
      <c r="F96" s="139" t="str">
        <f>HYPERLINK("https://regional.kompas.com/read/2019/02/17/08001341/mayat-tanpa-identitas-dan-sudah-membusuk-ditemukan-warga-di-area-persawahan ","sumber")</f>
        <v>sumber</v>
      </c>
      <c r="G96" s="139" t="str">
        <f t="shared" si="0"/>
        <v>lokasi</v>
      </c>
      <c r="H96" s="136">
        <v>259</v>
      </c>
      <c r="I96" s="137">
        <v>1</v>
      </c>
      <c r="J96" s="138">
        <v>2</v>
      </c>
      <c r="K96" s="140" t="s">
        <v>2120</v>
      </c>
      <c r="L96" s="137">
        <v>0</v>
      </c>
      <c r="M96" s="137">
        <v>1</v>
      </c>
      <c r="N96" s="141">
        <v>0</v>
      </c>
      <c r="O96" s="137">
        <v>0</v>
      </c>
      <c r="P96" s="137">
        <v>-1</v>
      </c>
      <c r="Q96" s="137" t="s">
        <v>29</v>
      </c>
      <c r="R96" s="137" t="s">
        <v>29</v>
      </c>
      <c r="S96" s="140" t="s">
        <v>2121</v>
      </c>
      <c r="T96" s="137">
        <v>1</v>
      </c>
      <c r="U96" s="137">
        <v>0</v>
      </c>
      <c r="V96" s="137">
        <v>0</v>
      </c>
      <c r="W96" s="143"/>
      <c r="X96" s="143"/>
      <c r="Y96" s="137"/>
    </row>
    <row r="97" spans="1:25" ht="14.4">
      <c r="A97" s="117">
        <v>1</v>
      </c>
      <c r="B97" s="118" t="s">
        <v>2122</v>
      </c>
      <c r="C97" s="22">
        <v>97</v>
      </c>
      <c r="D97" s="119">
        <v>9</v>
      </c>
      <c r="E97" s="120">
        <v>43468</v>
      </c>
      <c r="F97" s="121" t="str">
        <f>HYPERLINK("https://khazanah.republika.co.id/berita/dunia-islam/islam-nusantara/pnol8z313/asupan-literasi-keagamaan-untuk-disabilitas-sangat-penting ","sumber")</f>
        <v>sumber</v>
      </c>
      <c r="G97" s="121" t="str">
        <f t="shared" si="0"/>
        <v>lokasi</v>
      </c>
      <c r="H97" s="118">
        <v>316</v>
      </c>
      <c r="I97" s="22">
        <v>2</v>
      </c>
      <c r="J97" s="119">
        <v>2</v>
      </c>
      <c r="K97" s="123" t="s">
        <v>2123</v>
      </c>
      <c r="L97" s="22">
        <v>0</v>
      </c>
      <c r="M97" s="22">
        <v>0</v>
      </c>
      <c r="N97" s="125">
        <v>0</v>
      </c>
      <c r="O97" s="22">
        <v>0</v>
      </c>
      <c r="P97" s="22">
        <v>0</v>
      </c>
      <c r="Q97" s="22" t="s">
        <v>29</v>
      </c>
      <c r="R97" s="22" t="s">
        <v>160</v>
      </c>
      <c r="S97" s="123" t="s">
        <v>2124</v>
      </c>
      <c r="T97" s="22">
        <v>1</v>
      </c>
      <c r="U97" s="22">
        <v>0</v>
      </c>
      <c r="V97" s="22">
        <v>0</v>
      </c>
      <c r="W97" s="23"/>
      <c r="X97" s="23"/>
      <c r="Y97" s="23"/>
    </row>
    <row r="98" spans="1:25" ht="14.4">
      <c r="A98" s="111">
        <v>2</v>
      </c>
      <c r="B98" s="112" t="s">
        <v>2125</v>
      </c>
      <c r="C98" s="25">
        <v>98</v>
      </c>
      <c r="D98" s="113">
        <v>4</v>
      </c>
      <c r="E98" s="114">
        <v>43619</v>
      </c>
      <c r="F98" s="115" t="str">
        <f>HYPERLINK("https://www.liputan6.com/health/read/3910831/pemeran-utama-captain-marvel-alergi-kucing-ini-yang-terjadi-selama-syuting ","sumber")</f>
        <v>sumber</v>
      </c>
      <c r="G98" s="115" t="str">
        <f t="shared" si="0"/>
        <v>lokasi</v>
      </c>
      <c r="H98" s="112">
        <v>309</v>
      </c>
      <c r="I98" s="26"/>
      <c r="J98" s="113">
        <v>2</v>
      </c>
      <c r="K98" s="124"/>
      <c r="L98" s="26"/>
      <c r="M98" s="26"/>
      <c r="N98" s="26"/>
      <c r="O98" s="26"/>
      <c r="P98" s="26"/>
      <c r="Q98" s="26"/>
      <c r="R98" s="26"/>
      <c r="S98" s="124"/>
      <c r="T98" s="26"/>
      <c r="U98" s="26"/>
      <c r="V98" s="26"/>
      <c r="W98" s="26"/>
      <c r="X98" s="26"/>
      <c r="Y98" s="25"/>
    </row>
    <row r="99" spans="1:25" ht="14.4">
      <c r="A99" s="117">
        <v>1</v>
      </c>
      <c r="B99" s="118" t="s">
        <v>2126</v>
      </c>
      <c r="C99" s="22">
        <v>99</v>
      </c>
      <c r="D99" s="119">
        <v>3</v>
      </c>
      <c r="E99" s="120">
        <v>43711</v>
      </c>
      <c r="F99" s="121" t="str">
        <f>HYPERLINK("https://lifestyle.okezone.com/read/2019/03/09/196/2027822/sungguh-luar-biasa-bocah-buta-ini-mampu-melihat-segalanya ","sumber")</f>
        <v>sumber</v>
      </c>
      <c r="G99" s="121" t="str">
        <f t="shared" si="0"/>
        <v>lokasi</v>
      </c>
      <c r="H99" s="118">
        <v>361</v>
      </c>
      <c r="I99" s="22">
        <v>3</v>
      </c>
      <c r="J99" s="119">
        <v>2</v>
      </c>
      <c r="K99" s="123"/>
      <c r="L99" s="22">
        <v>-1</v>
      </c>
      <c r="M99" s="22">
        <v>0</v>
      </c>
      <c r="N99" s="125">
        <v>0</v>
      </c>
      <c r="O99" s="22">
        <v>0</v>
      </c>
      <c r="P99" s="22">
        <v>-1</v>
      </c>
      <c r="Q99" s="22"/>
      <c r="R99" s="22"/>
      <c r="S99" s="123" t="s">
        <v>2127</v>
      </c>
      <c r="T99" s="22">
        <v>5</v>
      </c>
      <c r="U99" s="22">
        <v>0</v>
      </c>
      <c r="V99" s="22">
        <v>0</v>
      </c>
      <c r="W99" s="23"/>
      <c r="X99" s="23"/>
      <c r="Y99" s="23"/>
    </row>
    <row r="100" spans="1:25" ht="14.4">
      <c r="A100" s="126">
        <v>1</v>
      </c>
      <c r="B100" s="127" t="s">
        <v>2128</v>
      </c>
      <c r="C100" s="33">
        <v>100</v>
      </c>
      <c r="D100" s="128">
        <v>8</v>
      </c>
      <c r="E100" s="129">
        <v>43711</v>
      </c>
      <c r="F100" s="130" t="str">
        <f>HYPERLINK("https://www.suara.com/bisnis/2019/03/09/205240/catat-ini-persyaratan-melamar-11000-lowongan-kerja-bumn ","sumber")</f>
        <v>sumber</v>
      </c>
      <c r="G100" s="130" t="str">
        <f t="shared" si="0"/>
        <v>lokasi</v>
      </c>
      <c r="H100" s="127">
        <v>359</v>
      </c>
      <c r="I100" s="33">
        <v>4</v>
      </c>
      <c r="J100" s="128">
        <v>2</v>
      </c>
      <c r="K100" s="131" t="s">
        <v>2129</v>
      </c>
      <c r="L100" s="33">
        <v>0</v>
      </c>
      <c r="M100" s="33">
        <v>0</v>
      </c>
      <c r="N100" s="132">
        <v>0</v>
      </c>
      <c r="O100" s="33">
        <v>0</v>
      </c>
      <c r="P100" s="33">
        <v>0</v>
      </c>
      <c r="Q100" s="33">
        <v>0</v>
      </c>
      <c r="R100" s="33">
        <v>0</v>
      </c>
      <c r="S100" s="133"/>
      <c r="T100" s="33">
        <v>0</v>
      </c>
      <c r="U100" s="33">
        <v>0</v>
      </c>
      <c r="V100" s="33">
        <v>1</v>
      </c>
      <c r="W100" s="24"/>
      <c r="X100" s="24"/>
      <c r="Y100" s="33"/>
    </row>
    <row r="101" spans="1:25" ht="14.4">
      <c r="A101" s="117">
        <v>1</v>
      </c>
      <c r="B101" s="118" t="s">
        <v>2130</v>
      </c>
      <c r="C101" s="22">
        <v>101</v>
      </c>
      <c r="D101" s="119">
        <v>6</v>
      </c>
      <c r="E101" s="120">
        <v>43772</v>
      </c>
      <c r="F101" s="121" t="str">
        <f>HYPERLINK("https://regional.kompas.com/read/2019/03/11/08262111/anak-pembunuh-ibu-kandung-di-gresik-diduga-alami-gangguan-jiwa ","sumber")</f>
        <v>sumber</v>
      </c>
      <c r="G101" s="121" t="str">
        <f t="shared" si="0"/>
        <v>lokasi</v>
      </c>
      <c r="H101" s="118">
        <v>366</v>
      </c>
      <c r="I101" s="22">
        <v>1</v>
      </c>
      <c r="J101" s="119">
        <v>2</v>
      </c>
      <c r="K101" s="123" t="s">
        <v>2131</v>
      </c>
      <c r="L101" s="22">
        <v>0</v>
      </c>
      <c r="M101" s="22">
        <v>1</v>
      </c>
      <c r="N101" s="125">
        <v>0</v>
      </c>
      <c r="O101" s="22">
        <v>0</v>
      </c>
      <c r="P101" s="22">
        <v>0</v>
      </c>
      <c r="Q101" s="22" t="s">
        <v>57</v>
      </c>
      <c r="R101" s="152" t="s">
        <v>57</v>
      </c>
      <c r="S101" s="134"/>
      <c r="T101" s="22">
        <v>0</v>
      </c>
      <c r="U101" s="22">
        <v>0</v>
      </c>
      <c r="V101" s="22">
        <v>0</v>
      </c>
      <c r="W101" s="23"/>
      <c r="X101" s="23"/>
      <c r="Y101" s="23"/>
    </row>
    <row r="102" spans="1:25" ht="14.4">
      <c r="A102" s="148">
        <v>1</v>
      </c>
      <c r="B102" s="149" t="s">
        <v>2132</v>
      </c>
      <c r="C102" s="33">
        <v>102</v>
      </c>
      <c r="D102" s="128">
        <v>10</v>
      </c>
      <c r="E102" s="128" t="s">
        <v>474</v>
      </c>
      <c r="F102" s="130" t="str">
        <f>HYPERLINK("https://metro.tempo.co/read/1188943/akses-integrasi-mrt-dan-transjakarta-tak-ramah-disabilitas ","sumber")</f>
        <v>sumber</v>
      </c>
      <c r="G102" s="130" t="str">
        <f t="shared" si="0"/>
        <v>lokasi</v>
      </c>
      <c r="H102" s="127">
        <v>6</v>
      </c>
      <c r="I102" s="33">
        <v>4</v>
      </c>
      <c r="J102" s="128">
        <v>2</v>
      </c>
      <c r="K102" s="131" t="s">
        <v>2133</v>
      </c>
      <c r="L102" s="33">
        <v>0</v>
      </c>
      <c r="M102" s="33">
        <v>0</v>
      </c>
      <c r="N102" s="132">
        <v>0</v>
      </c>
      <c r="O102" s="33">
        <v>0</v>
      </c>
      <c r="P102" s="33">
        <v>0</v>
      </c>
      <c r="Q102" s="33">
        <v>0</v>
      </c>
      <c r="R102" s="33">
        <v>0</v>
      </c>
      <c r="S102" s="133"/>
      <c r="T102" s="33">
        <v>0</v>
      </c>
      <c r="U102" s="33">
        <v>0</v>
      </c>
      <c r="V102" s="33">
        <v>1</v>
      </c>
      <c r="W102" s="24"/>
      <c r="X102" s="24"/>
      <c r="Y102" s="33"/>
    </row>
    <row r="103" spans="1:25" ht="14.4">
      <c r="A103" s="126">
        <v>1</v>
      </c>
      <c r="B103" s="127" t="s">
        <v>2134</v>
      </c>
      <c r="C103" s="33">
        <v>103</v>
      </c>
      <c r="D103" s="128">
        <v>9</v>
      </c>
      <c r="E103" s="129">
        <v>43802</v>
      </c>
      <c r="F103" s="130" t="str">
        <f>HYPERLINK("https://republika.co.id/berita/inpicture/nasional-inpicture/po99ek283/ujian-praktik-musik-disabilitas-netra ","sumber")</f>
        <v>sumber</v>
      </c>
      <c r="G103" s="130" t="str">
        <f t="shared" si="0"/>
        <v>lokasi</v>
      </c>
      <c r="H103" s="127">
        <v>6</v>
      </c>
      <c r="I103" s="33">
        <v>2</v>
      </c>
      <c r="J103" s="128">
        <v>2</v>
      </c>
      <c r="K103" s="131"/>
      <c r="L103" s="33">
        <v>0</v>
      </c>
      <c r="M103" s="33">
        <v>0</v>
      </c>
      <c r="N103" s="132">
        <v>0</v>
      </c>
      <c r="O103" s="33">
        <v>0</v>
      </c>
      <c r="P103" s="33">
        <v>0</v>
      </c>
      <c r="Q103" s="33"/>
      <c r="R103" s="33"/>
      <c r="S103" s="133"/>
      <c r="T103" s="33">
        <v>0</v>
      </c>
      <c r="U103" s="33">
        <v>0</v>
      </c>
      <c r="V103" s="33">
        <v>0</v>
      </c>
      <c r="W103" s="24"/>
      <c r="X103" s="24"/>
      <c r="Y103" s="33"/>
    </row>
    <row r="104" spans="1:25" ht="14.4">
      <c r="A104" s="117">
        <v>1</v>
      </c>
      <c r="B104" s="118" t="s">
        <v>2135</v>
      </c>
      <c r="C104" s="22">
        <v>104</v>
      </c>
      <c r="D104" s="119">
        <v>3</v>
      </c>
      <c r="E104" s="119" t="s">
        <v>124</v>
      </c>
      <c r="F104" s="121" t="str">
        <f>HYPERLINK("https://lifestyle.okezone.com/read/2019/03/21/196/2032934/hari-down-syndrome-sedunia-yuk-pahami-kemampuan-mereka ","sumber")</f>
        <v>sumber</v>
      </c>
      <c r="G104" s="121" t="str">
        <f t="shared" si="0"/>
        <v>lokasi</v>
      </c>
      <c r="H104" s="118">
        <v>483</v>
      </c>
      <c r="I104" s="22">
        <v>3</v>
      </c>
      <c r="J104" s="119">
        <v>2</v>
      </c>
      <c r="K104" s="123" t="s">
        <v>2136</v>
      </c>
      <c r="L104" s="22">
        <v>0</v>
      </c>
      <c r="M104" s="22">
        <v>0</v>
      </c>
      <c r="N104" s="125">
        <v>0</v>
      </c>
      <c r="O104" s="22">
        <v>0</v>
      </c>
      <c r="P104" s="22">
        <v>0</v>
      </c>
      <c r="Q104" s="22">
        <v>0</v>
      </c>
      <c r="R104" s="22">
        <v>1</v>
      </c>
      <c r="S104" s="134"/>
      <c r="T104" s="22">
        <v>0</v>
      </c>
      <c r="U104" s="22">
        <v>0</v>
      </c>
      <c r="V104" s="22">
        <v>0</v>
      </c>
      <c r="W104" s="23"/>
      <c r="X104" s="23"/>
      <c r="Y104" s="23"/>
    </row>
    <row r="105" spans="1:25" ht="14.4">
      <c r="A105" s="111">
        <v>2</v>
      </c>
      <c r="B105" s="112" t="s">
        <v>2137</v>
      </c>
      <c r="C105" s="25">
        <v>105</v>
      </c>
      <c r="D105" s="113">
        <v>3</v>
      </c>
      <c r="E105" s="113" t="s">
        <v>704</v>
      </c>
      <c r="F105" s="115" t="str">
        <f>HYPERLINK("https://lifestyle.okezone.com/read/2019/03/23/196/2034108/curhatan-perempuan-yang-pacarnya-lebih-sayang-game-online-kamu-senasib ","sumber")</f>
        <v>sumber</v>
      </c>
      <c r="G105" s="115" t="str">
        <f t="shared" si="0"/>
        <v>lokasi</v>
      </c>
      <c r="H105" s="112">
        <v>738</v>
      </c>
      <c r="I105" s="26"/>
      <c r="J105" s="113">
        <v>2</v>
      </c>
      <c r="K105" s="124"/>
      <c r="L105" s="26"/>
      <c r="M105" s="26"/>
      <c r="N105" s="26"/>
      <c r="O105" s="26"/>
      <c r="P105" s="26"/>
      <c r="Q105" s="26"/>
      <c r="R105" s="26"/>
      <c r="S105" s="124"/>
      <c r="T105" s="26"/>
      <c r="U105" s="26"/>
      <c r="V105" s="26"/>
      <c r="W105" s="26"/>
      <c r="X105" s="26"/>
      <c r="Y105" s="25"/>
    </row>
    <row r="106" spans="1:25" ht="14.4">
      <c r="A106" s="111">
        <v>2</v>
      </c>
      <c r="B106" s="112" t="s">
        <v>2138</v>
      </c>
      <c r="C106" s="25">
        <v>106</v>
      </c>
      <c r="D106" s="113">
        <v>1</v>
      </c>
      <c r="E106" s="113" t="s">
        <v>502</v>
      </c>
      <c r="F106" s="115" t="str">
        <f>HYPERLINK("https://news.detik.com/berita/d-4487074/wiranto-cerita-98-sby-tanya-kita-ambil-alih-saya-jawab-tidak ","sumber")</f>
        <v>sumber</v>
      </c>
      <c r="G106" s="115" t="str">
        <f t="shared" si="0"/>
        <v>lokasi</v>
      </c>
      <c r="H106" s="112">
        <v>689</v>
      </c>
      <c r="I106" s="26"/>
      <c r="J106" s="113">
        <v>2</v>
      </c>
      <c r="K106" s="124"/>
      <c r="L106" s="26"/>
      <c r="M106" s="26"/>
      <c r="N106" s="26"/>
      <c r="O106" s="26"/>
      <c r="P106" s="26"/>
      <c r="Q106" s="26"/>
      <c r="R106" s="26"/>
      <c r="S106" s="124"/>
      <c r="T106" s="26"/>
      <c r="U106" s="26"/>
      <c r="V106" s="26"/>
      <c r="W106" s="26"/>
      <c r="X106" s="26"/>
      <c r="Y106" s="25"/>
    </row>
    <row r="107" spans="1:25" ht="14.4">
      <c r="A107" s="117">
        <v>1</v>
      </c>
      <c r="B107" s="118" t="s">
        <v>2139</v>
      </c>
      <c r="C107" s="22">
        <v>107</v>
      </c>
      <c r="D107" s="119">
        <v>10</v>
      </c>
      <c r="E107" s="119" t="s">
        <v>502</v>
      </c>
      <c r="F107" s="121" t="str">
        <f>HYPERLINK("https://nasional.tempo.co/read/1189865/gelar-mimbar-politik-kelompok-sipil-desak-pengesahan-ruu-pks ","sumber")</f>
        <v>sumber</v>
      </c>
      <c r="G107" s="121" t="str">
        <f t="shared" si="0"/>
        <v>lokasi</v>
      </c>
      <c r="H107" s="118">
        <v>552</v>
      </c>
      <c r="I107" s="22">
        <v>4</v>
      </c>
      <c r="J107" s="119">
        <v>1</v>
      </c>
      <c r="K107" s="123" t="s">
        <v>2140</v>
      </c>
      <c r="L107" s="22">
        <v>0</v>
      </c>
      <c r="M107" s="22">
        <v>0</v>
      </c>
      <c r="N107" s="125">
        <v>0</v>
      </c>
      <c r="O107" s="22">
        <v>0</v>
      </c>
      <c r="P107" s="22">
        <v>0</v>
      </c>
      <c r="Q107" s="22" t="s">
        <v>106</v>
      </c>
      <c r="R107" s="22" t="s">
        <v>1552</v>
      </c>
      <c r="S107" s="134"/>
      <c r="T107" s="22">
        <v>0</v>
      </c>
      <c r="U107" s="22">
        <v>0</v>
      </c>
      <c r="V107" s="22">
        <v>1</v>
      </c>
      <c r="W107" s="23"/>
      <c r="X107" s="23"/>
      <c r="Y107" s="23"/>
    </row>
    <row r="108" spans="1:25" ht="14.4">
      <c r="A108" s="117">
        <v>1</v>
      </c>
      <c r="B108" s="118" t="s">
        <v>2141</v>
      </c>
      <c r="C108" s="22">
        <v>108</v>
      </c>
      <c r="D108" s="119">
        <v>9</v>
      </c>
      <c r="E108" s="119" t="s">
        <v>132</v>
      </c>
      <c r="F108" s="121" t="str">
        <f>HYPERLINK("https://nasional.republika.co.id/berita/nasional/jabodetabek-nasional/pp4xy5330/disabilitas-juga-mampu-bekerja ","sumber")</f>
        <v>sumber</v>
      </c>
      <c r="G108" s="121" t="str">
        <f t="shared" si="0"/>
        <v>lokasi</v>
      </c>
      <c r="H108" s="118">
        <v>702</v>
      </c>
      <c r="I108" s="22">
        <v>2</v>
      </c>
      <c r="J108" s="119">
        <v>2</v>
      </c>
      <c r="K108" s="123" t="s">
        <v>2142</v>
      </c>
      <c r="L108" s="22">
        <v>0</v>
      </c>
      <c r="M108" s="22">
        <v>0</v>
      </c>
      <c r="N108" s="125">
        <v>0</v>
      </c>
      <c r="O108" s="22">
        <v>0</v>
      </c>
      <c r="P108" s="22">
        <v>0</v>
      </c>
      <c r="Q108" s="22" t="s">
        <v>178</v>
      </c>
      <c r="R108" s="22" t="s">
        <v>160</v>
      </c>
      <c r="S108" s="134"/>
      <c r="T108" s="22">
        <v>0</v>
      </c>
      <c r="U108" s="22">
        <v>0</v>
      </c>
      <c r="V108" s="22">
        <v>0</v>
      </c>
      <c r="W108" s="23"/>
      <c r="X108" s="23"/>
      <c r="Y108" s="23"/>
    </row>
    <row r="109" spans="1:25" ht="14.4">
      <c r="A109" s="111">
        <v>2</v>
      </c>
      <c r="B109" s="112" t="s">
        <v>2143</v>
      </c>
      <c r="C109" s="25">
        <v>109</v>
      </c>
      <c r="D109" s="113">
        <v>2</v>
      </c>
      <c r="E109" s="113" t="s">
        <v>139</v>
      </c>
      <c r="F109" s="115" t="str">
        <f>HYPERLINK("https://www.cnnindonesia.com/teknologi/20190329170610-185-381836/facebook-larang-pengguna-dukung-separatis-kulit-putih ","sumber")</f>
        <v>sumber</v>
      </c>
      <c r="G109" s="115" t="str">
        <f t="shared" si="0"/>
        <v>lokasi</v>
      </c>
      <c r="H109" s="112">
        <v>304</v>
      </c>
      <c r="I109" s="26"/>
      <c r="J109" s="113">
        <v>2</v>
      </c>
      <c r="K109" s="124"/>
      <c r="L109" s="26"/>
      <c r="M109" s="26"/>
      <c r="N109" s="26"/>
      <c r="O109" s="26"/>
      <c r="P109" s="26"/>
      <c r="Q109" s="26"/>
      <c r="R109" s="26"/>
      <c r="S109" s="124"/>
      <c r="T109" s="26"/>
      <c r="U109" s="26"/>
      <c r="V109" s="26"/>
      <c r="W109" s="26"/>
      <c r="X109" s="26"/>
      <c r="Y109" s="25"/>
    </row>
    <row r="110" spans="1:25" ht="14.4">
      <c r="A110" s="117">
        <v>1</v>
      </c>
      <c r="B110" s="118" t="s">
        <v>2144</v>
      </c>
      <c r="C110" s="22">
        <v>110</v>
      </c>
      <c r="D110" s="119">
        <v>6</v>
      </c>
      <c r="E110" s="120">
        <v>43469</v>
      </c>
      <c r="F110" s="121" t="str">
        <f>HYPERLINK("https://regional.kompas.com/read/2019/04/01/14421591/pemilu-para-tunanetra-akan-memilih-secara-mandiri-dan-disertai-pendamping ","sumber")</f>
        <v>sumber</v>
      </c>
      <c r="G110" s="121" t="str">
        <f t="shared" si="0"/>
        <v>lokasi</v>
      </c>
      <c r="H110" s="118">
        <v>300</v>
      </c>
      <c r="I110" s="22">
        <v>4</v>
      </c>
      <c r="J110" s="119">
        <v>2</v>
      </c>
      <c r="K110" s="123" t="s">
        <v>2145</v>
      </c>
      <c r="L110" s="22">
        <v>0</v>
      </c>
      <c r="M110" s="22">
        <v>0</v>
      </c>
      <c r="N110" s="125">
        <v>0</v>
      </c>
      <c r="O110" s="22">
        <v>0</v>
      </c>
      <c r="P110" s="22">
        <v>0</v>
      </c>
      <c r="Q110" s="22">
        <v>0</v>
      </c>
      <c r="R110" s="22">
        <v>0</v>
      </c>
      <c r="S110" s="134"/>
      <c r="T110" s="22">
        <v>0</v>
      </c>
      <c r="U110" s="22">
        <v>0</v>
      </c>
      <c r="V110" s="22">
        <v>1</v>
      </c>
      <c r="W110" s="23"/>
      <c r="X110" s="23"/>
      <c r="Y110" s="23"/>
    </row>
    <row r="111" spans="1:25" ht="14.4">
      <c r="A111" s="117">
        <v>1</v>
      </c>
      <c r="B111" s="118" t="s">
        <v>2146</v>
      </c>
      <c r="C111" s="22">
        <v>111</v>
      </c>
      <c r="D111" s="119">
        <v>6</v>
      </c>
      <c r="E111" s="120">
        <v>43528</v>
      </c>
      <c r="F111" s="121" t="str">
        <f>HYPERLINK("https://regional.kompas.com/read/2019/04/03/18150471/penyandang-tunanetra-harap-ada-audiobook-untuk-kenali-kandidat-dalam-pemilu ","sumber")</f>
        <v>sumber</v>
      </c>
      <c r="G111" s="121" t="str">
        <f t="shared" si="0"/>
        <v>lokasi</v>
      </c>
      <c r="H111" s="118">
        <v>311</v>
      </c>
      <c r="I111" s="22">
        <v>4</v>
      </c>
      <c r="J111" s="119">
        <v>2</v>
      </c>
      <c r="K111" s="123" t="s">
        <v>2147</v>
      </c>
      <c r="L111" s="22">
        <v>0</v>
      </c>
      <c r="M111" s="22">
        <v>0</v>
      </c>
      <c r="N111" s="125">
        <v>0</v>
      </c>
      <c r="O111" s="22">
        <v>0</v>
      </c>
      <c r="P111" s="22">
        <v>0</v>
      </c>
      <c r="Q111" s="22">
        <v>2</v>
      </c>
      <c r="R111" s="22">
        <v>1</v>
      </c>
      <c r="S111" s="134"/>
      <c r="T111" s="22">
        <v>0</v>
      </c>
      <c r="U111" s="22">
        <v>0</v>
      </c>
      <c r="V111" s="22">
        <v>1</v>
      </c>
      <c r="W111" s="23"/>
      <c r="X111" s="23"/>
      <c r="Y111" s="23"/>
    </row>
    <row r="112" spans="1:25" ht="14.4">
      <c r="A112" s="126">
        <v>1</v>
      </c>
      <c r="B112" s="127" t="s">
        <v>2148</v>
      </c>
      <c r="C112" s="33">
        <v>112</v>
      </c>
      <c r="D112" s="128">
        <v>2</v>
      </c>
      <c r="E112" s="129">
        <v>43589</v>
      </c>
      <c r="F112" s="130" t="str">
        <f>HYPERLINK("https://www.cnnindonesia.com/hiburan/20190404204853-227-383537/vokalis-sugar-ray-akui-kini-kehilangan-pendengaran ","sumber")</f>
        <v>sumber</v>
      </c>
      <c r="G112" s="130" t="str">
        <f t="shared" si="0"/>
        <v>lokasi</v>
      </c>
      <c r="H112" s="127">
        <v>364</v>
      </c>
      <c r="I112" s="33">
        <v>2</v>
      </c>
      <c r="J112" s="128">
        <v>2</v>
      </c>
      <c r="K112" s="131" t="s">
        <v>2149</v>
      </c>
      <c r="L112" s="33">
        <v>0</v>
      </c>
      <c r="M112" s="33">
        <v>0</v>
      </c>
      <c r="N112" s="132">
        <v>0</v>
      </c>
      <c r="O112" s="33">
        <v>0</v>
      </c>
      <c r="P112" s="33">
        <v>0</v>
      </c>
      <c r="Q112" s="33">
        <v>2</v>
      </c>
      <c r="R112" s="33">
        <v>1</v>
      </c>
      <c r="S112" s="133"/>
      <c r="T112" s="33">
        <v>0</v>
      </c>
      <c r="U112" s="33">
        <v>0</v>
      </c>
      <c r="V112" s="33">
        <v>0</v>
      </c>
      <c r="W112" s="24"/>
      <c r="X112" s="24"/>
      <c r="Y112" s="33"/>
    </row>
    <row r="113" spans="1:25" ht="14.4">
      <c r="A113" s="117">
        <v>1</v>
      </c>
      <c r="B113" s="118" t="s">
        <v>2150</v>
      </c>
      <c r="C113" s="22">
        <v>113</v>
      </c>
      <c r="D113" s="119">
        <v>4</v>
      </c>
      <c r="E113" s="120">
        <v>43589</v>
      </c>
      <c r="F113" s="121" t="str">
        <f>HYPERLINK("https://www.liputan6.com/pilpres/read/3934156/komunitas-olahraga-hingga-penyandang-disabilitas-akan-deklarasi-dukung-jokowi ","sumber")</f>
        <v>sumber</v>
      </c>
      <c r="G113" s="121" t="str">
        <f t="shared" si="0"/>
        <v>lokasi</v>
      </c>
      <c r="H113" s="118">
        <v>426</v>
      </c>
      <c r="I113" s="22">
        <v>3</v>
      </c>
      <c r="J113" s="119">
        <v>2</v>
      </c>
      <c r="K113" s="123" t="s">
        <v>2151</v>
      </c>
      <c r="L113" s="22">
        <v>0</v>
      </c>
      <c r="M113" s="22">
        <v>0</v>
      </c>
      <c r="N113" s="125">
        <v>0</v>
      </c>
      <c r="O113" s="22">
        <v>0</v>
      </c>
      <c r="P113" s="22">
        <v>0</v>
      </c>
      <c r="Q113" s="22" t="s">
        <v>29</v>
      </c>
      <c r="R113" s="22" t="s">
        <v>160</v>
      </c>
      <c r="S113" s="134"/>
      <c r="T113" s="22">
        <v>0</v>
      </c>
      <c r="U113" s="22">
        <v>0</v>
      </c>
      <c r="V113" s="22">
        <v>1</v>
      </c>
      <c r="W113" s="23"/>
      <c r="X113" s="23"/>
      <c r="Y113" s="23"/>
    </row>
    <row r="114" spans="1:25" ht="14.4">
      <c r="A114" s="111">
        <v>2</v>
      </c>
      <c r="B114" s="112" t="s">
        <v>2152</v>
      </c>
      <c r="C114" s="25">
        <v>1</v>
      </c>
      <c r="D114" s="113">
        <v>2</v>
      </c>
      <c r="E114" s="113" t="s">
        <v>734</v>
      </c>
      <c r="F114" s="115" t="str">
        <f>HYPERLINK("https://www.cnnindonesia.com/gaya-hidup/20190409122425-255-384537/olahraga-satu-jam-tiap-minggu-bisa-cegah-cacat-saat-tua ","sumber")</f>
        <v>sumber</v>
      </c>
      <c r="G114" s="115" t="str">
        <f t="shared" si="0"/>
        <v>lokasi</v>
      </c>
      <c r="H114" s="112">
        <v>221</v>
      </c>
      <c r="I114" s="25">
        <v>5</v>
      </c>
      <c r="J114" s="113">
        <v>2</v>
      </c>
      <c r="K114" s="116"/>
      <c r="L114" s="25"/>
      <c r="M114" s="25"/>
      <c r="N114" s="25"/>
      <c r="O114" s="25"/>
      <c r="P114" s="25"/>
      <c r="Q114" s="25"/>
      <c r="R114" s="25"/>
      <c r="S114" s="124"/>
      <c r="T114" s="25"/>
      <c r="U114" s="25"/>
      <c r="V114" s="25"/>
      <c r="W114" s="26"/>
      <c r="X114" s="26"/>
      <c r="Y114" s="26"/>
    </row>
    <row r="115" spans="1:25" ht="14.4">
      <c r="A115" s="117">
        <v>1</v>
      </c>
      <c r="B115" s="118" t="s">
        <v>2153</v>
      </c>
      <c r="C115" s="22">
        <v>115</v>
      </c>
      <c r="D115" s="119">
        <v>9</v>
      </c>
      <c r="E115" s="119" t="s">
        <v>516</v>
      </c>
      <c r="F115" s="121" t="str">
        <f>HYPERLINK("https://nasional.republika.co.id/berita/nasional/politik/ppyigq428/penyelenggara-pemilu-diingatkan-perhatikan-akses-disabilitas ","sumber")</f>
        <v>sumber</v>
      </c>
      <c r="G115" s="121" t="str">
        <f t="shared" si="0"/>
        <v>lokasi</v>
      </c>
      <c r="H115" s="118">
        <v>231</v>
      </c>
      <c r="I115" s="22">
        <v>4</v>
      </c>
      <c r="J115" s="119">
        <v>2</v>
      </c>
      <c r="K115" s="123" t="s">
        <v>2154</v>
      </c>
      <c r="L115" s="22">
        <v>0</v>
      </c>
      <c r="M115" s="22">
        <v>0</v>
      </c>
      <c r="N115" s="125">
        <v>0</v>
      </c>
      <c r="O115" s="22">
        <v>0</v>
      </c>
      <c r="P115" s="22">
        <v>0</v>
      </c>
      <c r="Q115" s="22" t="s">
        <v>68</v>
      </c>
      <c r="R115" s="22" t="s">
        <v>160</v>
      </c>
      <c r="S115" s="134"/>
      <c r="T115" s="22">
        <v>0</v>
      </c>
      <c r="U115" s="22">
        <v>0</v>
      </c>
      <c r="V115" s="22">
        <v>1</v>
      </c>
      <c r="W115" s="23"/>
      <c r="X115" s="23"/>
      <c r="Y115" s="23"/>
    </row>
    <row r="116" spans="1:25" ht="14.4">
      <c r="A116" s="117">
        <v>1</v>
      </c>
      <c r="B116" s="118" t="s">
        <v>2155</v>
      </c>
      <c r="C116" s="22">
        <v>116</v>
      </c>
      <c r="D116" s="119">
        <v>10</v>
      </c>
      <c r="E116" s="119" t="s">
        <v>2012</v>
      </c>
      <c r="F116" s="121" t="str">
        <f>HYPERLINK("https://difabel.tempo.co/read/1196758/pemilu-2019-harapan-penyandang-disabilitas-dari-bilik-suara-tps ","sumber")</f>
        <v>sumber</v>
      </c>
      <c r="G116" s="121" t="str">
        <f t="shared" si="0"/>
        <v>lokasi</v>
      </c>
      <c r="H116" s="118">
        <v>526</v>
      </c>
      <c r="I116" s="22">
        <v>4</v>
      </c>
      <c r="J116" s="119">
        <v>2</v>
      </c>
      <c r="K116" s="123" t="s">
        <v>2156</v>
      </c>
      <c r="L116" s="22">
        <v>0</v>
      </c>
      <c r="M116" s="22">
        <v>0</v>
      </c>
      <c r="N116" s="125">
        <v>0</v>
      </c>
      <c r="O116" s="22">
        <v>0</v>
      </c>
      <c r="P116" s="22">
        <v>0</v>
      </c>
      <c r="Q116" s="22" t="s">
        <v>1870</v>
      </c>
      <c r="R116" s="22" t="s">
        <v>160</v>
      </c>
      <c r="S116" s="134"/>
      <c r="T116" s="22">
        <v>0</v>
      </c>
      <c r="U116" s="22">
        <v>0</v>
      </c>
      <c r="V116" s="22">
        <v>1</v>
      </c>
      <c r="W116" s="23"/>
      <c r="X116" s="23"/>
      <c r="Y116" s="23"/>
    </row>
    <row r="117" spans="1:25" ht="14.4">
      <c r="A117" s="117">
        <v>1</v>
      </c>
      <c r="B117" s="118" t="s">
        <v>2157</v>
      </c>
      <c r="C117" s="22">
        <v>117</v>
      </c>
      <c r="D117" s="119">
        <v>7</v>
      </c>
      <c r="E117" s="119" t="s">
        <v>2012</v>
      </c>
      <c r="F117" s="121" t="str">
        <f>HYPERLINK("http://www.tribunnews.com/regional/2019/04/17/sama-kuat-jokowi-dan-prabowo-di-tps-rsj-daerah-surakarta ","sumber")</f>
        <v>sumber</v>
      </c>
      <c r="G117" s="121" t="str">
        <f t="shared" si="0"/>
        <v>lokasi</v>
      </c>
      <c r="H117" s="118">
        <v>295</v>
      </c>
      <c r="I117" s="22">
        <v>4</v>
      </c>
      <c r="J117" s="119">
        <v>2</v>
      </c>
      <c r="K117" s="123" t="s">
        <v>2158</v>
      </c>
      <c r="L117" s="22">
        <v>0</v>
      </c>
      <c r="M117" s="22">
        <v>0</v>
      </c>
      <c r="N117" s="125">
        <v>0</v>
      </c>
      <c r="O117" s="22">
        <v>0</v>
      </c>
      <c r="P117" s="22">
        <v>0</v>
      </c>
      <c r="Q117" s="22">
        <v>0</v>
      </c>
      <c r="R117" s="22">
        <v>1</v>
      </c>
      <c r="S117" s="134"/>
      <c r="T117" s="22">
        <v>0</v>
      </c>
      <c r="U117" s="22">
        <v>0</v>
      </c>
      <c r="V117" s="22">
        <v>1</v>
      </c>
      <c r="W117" s="23"/>
      <c r="X117" s="23"/>
      <c r="Y117" s="23"/>
    </row>
    <row r="118" spans="1:25" ht="14.4">
      <c r="A118" s="117">
        <v>1</v>
      </c>
      <c r="B118" s="118" t="s">
        <v>2159</v>
      </c>
      <c r="C118" s="22">
        <v>118</v>
      </c>
      <c r="D118" s="119">
        <v>5</v>
      </c>
      <c r="E118" s="119" t="s">
        <v>537</v>
      </c>
      <c r="F118" s="121" t="str">
        <f>HYPERLINK("https://tirto.id/komnas-ham-imbau-masyarakat-jaga-kedamaian-setelah-pilpres-dmHr ","sumber")</f>
        <v>sumber</v>
      </c>
      <c r="G118" s="121" t="str">
        <f t="shared" si="0"/>
        <v>lokasi</v>
      </c>
      <c r="H118" s="118">
        <v>246</v>
      </c>
      <c r="I118" s="22">
        <v>4</v>
      </c>
      <c r="J118" s="119">
        <v>2</v>
      </c>
      <c r="K118" s="123" t="s">
        <v>2160</v>
      </c>
      <c r="L118" s="22">
        <v>0</v>
      </c>
      <c r="M118" s="22">
        <v>0</v>
      </c>
      <c r="N118" s="125">
        <v>0</v>
      </c>
      <c r="O118" s="22">
        <v>0</v>
      </c>
      <c r="P118" s="22">
        <v>0</v>
      </c>
      <c r="Q118" s="22">
        <v>0</v>
      </c>
      <c r="R118" s="22">
        <v>1</v>
      </c>
      <c r="S118" s="134"/>
      <c r="T118" s="22">
        <v>0</v>
      </c>
      <c r="U118" s="22">
        <v>0</v>
      </c>
      <c r="V118" s="22">
        <v>1</v>
      </c>
      <c r="W118" s="23"/>
      <c r="X118" s="23"/>
      <c r="Y118" s="23"/>
    </row>
    <row r="119" spans="1:25" ht="14.4">
      <c r="A119" s="111">
        <v>2</v>
      </c>
      <c r="B119" s="112" t="s">
        <v>2161</v>
      </c>
      <c r="C119" s="25">
        <v>119</v>
      </c>
      <c r="D119" s="113">
        <v>2</v>
      </c>
      <c r="E119" s="113" t="s">
        <v>162</v>
      </c>
      <c r="F119" s="115" t="str">
        <f>HYPERLINK("https://www.cnnindonesia.com/teknologi/20190423183928-384-388972/tesla-sering-terbakar-blue-bird-klaim-taksi-listrik-aman ","sumber")</f>
        <v>sumber</v>
      </c>
      <c r="G119" s="115" t="str">
        <f t="shared" si="0"/>
        <v>lokasi</v>
      </c>
      <c r="H119" s="112">
        <v>461</v>
      </c>
      <c r="I119" s="26"/>
      <c r="J119" s="113">
        <v>2</v>
      </c>
      <c r="K119" s="124"/>
      <c r="L119" s="26"/>
      <c r="M119" s="26"/>
      <c r="N119" s="26"/>
      <c r="O119" s="26"/>
      <c r="P119" s="26"/>
      <c r="Q119" s="26"/>
      <c r="R119" s="26"/>
      <c r="S119" s="124"/>
      <c r="T119" s="26"/>
      <c r="U119" s="26"/>
      <c r="V119" s="26"/>
      <c r="W119" s="26"/>
      <c r="X119" s="26"/>
      <c r="Y119" s="25"/>
    </row>
    <row r="120" spans="1:25" ht="14.4">
      <c r="A120" s="126">
        <v>1</v>
      </c>
      <c r="B120" s="127" t="s">
        <v>2162</v>
      </c>
      <c r="C120" s="33">
        <v>120</v>
      </c>
      <c r="D120" s="128">
        <v>5</v>
      </c>
      <c r="E120" s="128" t="s">
        <v>2012</v>
      </c>
      <c r="F120" s="153" t="s">
        <v>2163</v>
      </c>
      <c r="G120" s="130" t="str">
        <f t="shared" si="0"/>
        <v>lokasi</v>
      </c>
      <c r="H120" s="127">
        <v>256</v>
      </c>
      <c r="I120" s="33">
        <v>2</v>
      </c>
      <c r="J120" s="128">
        <v>2</v>
      </c>
      <c r="K120" s="131" t="s">
        <v>2164</v>
      </c>
      <c r="L120" s="33">
        <v>0</v>
      </c>
      <c r="M120" s="33">
        <v>0</v>
      </c>
      <c r="N120" s="33">
        <v>0</v>
      </c>
      <c r="O120" s="33">
        <v>0</v>
      </c>
      <c r="P120" s="33">
        <v>0</v>
      </c>
      <c r="Q120" s="33">
        <v>2</v>
      </c>
      <c r="R120" s="33">
        <v>1</v>
      </c>
      <c r="S120" s="133"/>
      <c r="T120" s="33">
        <v>0</v>
      </c>
      <c r="U120" s="33">
        <v>0</v>
      </c>
      <c r="V120" s="33">
        <v>0</v>
      </c>
      <c r="W120" s="24"/>
      <c r="X120" s="24"/>
      <c r="Y120" s="24"/>
    </row>
    <row r="121" spans="1:25" ht="14.4">
      <c r="A121" s="135">
        <v>1</v>
      </c>
      <c r="B121" s="136" t="s">
        <v>2165</v>
      </c>
      <c r="C121" s="137">
        <v>121</v>
      </c>
      <c r="D121" s="138">
        <v>7</v>
      </c>
      <c r="E121" s="154">
        <v>43682</v>
      </c>
      <c r="F121" s="139" t="str">
        <f>HYPERLINK("http://www.tribunnews.com/metropolitan/2019/05/08/seorang-pria-di-tangerang-nyaris-akhiri-hidupnya-dengan-melompat-dari-jpo-di-tangerang ","sumber")</f>
        <v>sumber</v>
      </c>
      <c r="G121" s="139" t="str">
        <f t="shared" si="0"/>
        <v>lokasi</v>
      </c>
      <c r="H121" s="136">
        <v>258</v>
      </c>
      <c r="I121" s="137">
        <v>1</v>
      </c>
      <c r="J121" s="138">
        <v>2</v>
      </c>
      <c r="K121" s="140" t="s">
        <v>2166</v>
      </c>
      <c r="L121" s="137">
        <v>0</v>
      </c>
      <c r="M121" s="137">
        <v>-1</v>
      </c>
      <c r="N121" s="137">
        <v>-1</v>
      </c>
      <c r="O121" s="137">
        <v>0</v>
      </c>
      <c r="P121" s="137">
        <v>0</v>
      </c>
      <c r="Q121" s="137">
        <v>0</v>
      </c>
      <c r="R121" s="137">
        <v>0</v>
      </c>
      <c r="S121" s="142"/>
      <c r="T121" s="137">
        <v>0</v>
      </c>
      <c r="U121" s="137">
        <v>0</v>
      </c>
      <c r="V121" s="137">
        <v>0</v>
      </c>
      <c r="W121" s="143"/>
      <c r="X121" s="143"/>
      <c r="Y121" s="137"/>
    </row>
    <row r="122" spans="1:25" ht="14.4">
      <c r="A122" s="117">
        <v>1</v>
      </c>
      <c r="B122" s="118" t="s">
        <v>2167</v>
      </c>
      <c r="C122" s="22">
        <v>122</v>
      </c>
      <c r="D122" s="119">
        <v>1</v>
      </c>
      <c r="E122" s="120">
        <v>43713</v>
      </c>
      <c r="F122" s="121" t="str">
        <f>HYPERLINK("https://health.detik.com/true-story/d-4542741/bayi-ini-alami-cacat-lahir-langka-otaknya-tumbuh-di-hidung ","sumber")</f>
        <v>sumber</v>
      </c>
      <c r="G122" s="121" t="str">
        <f t="shared" si="0"/>
        <v>lokasi</v>
      </c>
      <c r="H122" s="118">
        <v>274</v>
      </c>
      <c r="I122" s="22">
        <v>5</v>
      </c>
      <c r="J122" s="119">
        <v>2</v>
      </c>
      <c r="K122" s="123" t="s">
        <v>2168</v>
      </c>
      <c r="L122" s="22">
        <v>0</v>
      </c>
      <c r="M122" s="22">
        <v>0</v>
      </c>
      <c r="N122" s="125">
        <v>0</v>
      </c>
      <c r="O122" s="22">
        <v>0</v>
      </c>
      <c r="P122" s="22">
        <v>0</v>
      </c>
      <c r="Q122" s="22" t="s">
        <v>29</v>
      </c>
      <c r="R122" s="22" t="s">
        <v>29</v>
      </c>
      <c r="S122" s="134"/>
      <c r="T122" s="22">
        <v>0</v>
      </c>
      <c r="U122" s="22">
        <v>0</v>
      </c>
      <c r="V122" s="22">
        <v>0</v>
      </c>
      <c r="W122" s="23"/>
      <c r="X122" s="23"/>
      <c r="Y122" s="23"/>
    </row>
    <row r="123" spans="1:25" ht="14.4">
      <c r="A123" s="126">
        <v>1</v>
      </c>
      <c r="B123" s="127" t="s">
        <v>2169</v>
      </c>
      <c r="C123" s="33">
        <v>123</v>
      </c>
      <c r="D123" s="128">
        <v>8</v>
      </c>
      <c r="E123" s="128" t="s">
        <v>372</v>
      </c>
      <c r="F123" s="130" t="str">
        <f>HYPERLINK("https://www.suara.com/lifestyle/2019/05/30/103000/lahir-tanpa-lengan-desainer-ini-justru-raih-kesuksesan-dengan-kakinya ","sumber")</f>
        <v>sumber</v>
      </c>
      <c r="G123" s="130" t="str">
        <f t="shared" si="0"/>
        <v>lokasi</v>
      </c>
      <c r="H123" s="127">
        <v>256</v>
      </c>
      <c r="I123" s="33">
        <v>3</v>
      </c>
      <c r="J123" s="128">
        <v>2</v>
      </c>
      <c r="K123" s="131" t="s">
        <v>2170</v>
      </c>
      <c r="L123" s="33">
        <v>0</v>
      </c>
      <c r="M123" s="33">
        <v>0</v>
      </c>
      <c r="N123" s="132">
        <v>0</v>
      </c>
      <c r="O123" s="33">
        <v>0</v>
      </c>
      <c r="P123" s="33">
        <v>0</v>
      </c>
      <c r="Q123" s="33">
        <v>2</v>
      </c>
      <c r="R123" s="33">
        <v>1</v>
      </c>
      <c r="S123" s="133"/>
      <c r="T123" s="33">
        <v>0</v>
      </c>
      <c r="U123" s="33">
        <v>0</v>
      </c>
      <c r="V123" s="33">
        <v>0</v>
      </c>
      <c r="W123" s="24"/>
      <c r="X123" s="24"/>
      <c r="Y123" s="33"/>
    </row>
    <row r="124" spans="1:25" ht="14.4">
      <c r="A124" s="111">
        <v>2</v>
      </c>
      <c r="B124" s="112" t="s">
        <v>2171</v>
      </c>
      <c r="C124" s="25">
        <v>124</v>
      </c>
      <c r="D124" s="113">
        <v>5</v>
      </c>
      <c r="E124" s="114">
        <v>43774</v>
      </c>
      <c r="F124" s="115" t="str">
        <f>HYPERLINK("https://tirto.id/alasan-atalanta-menjadi-tim-paling-menarik-di-serie-a-musim-ini-dyEG ","sumber")</f>
        <v>sumber</v>
      </c>
      <c r="G124" s="115" t="str">
        <f t="shared" si="0"/>
        <v>lokasi</v>
      </c>
      <c r="H124" s="112">
        <v>1134</v>
      </c>
      <c r="I124" s="26"/>
      <c r="J124" s="113">
        <v>2</v>
      </c>
      <c r="K124" s="124"/>
      <c r="L124" s="26"/>
      <c r="M124" s="26"/>
      <c r="N124" s="26"/>
      <c r="O124" s="26"/>
      <c r="P124" s="26"/>
      <c r="Q124" s="26"/>
      <c r="R124" s="26"/>
      <c r="S124" s="124"/>
      <c r="T124" s="26"/>
      <c r="U124" s="26"/>
      <c r="V124" s="26"/>
      <c r="W124" s="26"/>
      <c r="X124" s="26"/>
      <c r="Y124" s="25"/>
    </row>
    <row r="125" spans="1:25" ht="14.4">
      <c r="A125" s="111">
        <v>2</v>
      </c>
      <c r="B125" s="112" t="s">
        <v>2172</v>
      </c>
      <c r="C125" s="25">
        <v>125</v>
      </c>
      <c r="D125" s="113">
        <v>2</v>
      </c>
      <c r="E125" s="113" t="s">
        <v>2173</v>
      </c>
      <c r="F125" s="115" t="str">
        <f>HYPERLINK("https://www.cnnindonesia.com/nasional/20190518010415-32-395940/moeldoko-sebut-tuntutan-kubu-prabowo-mirip-pilpres-2014 ","sumber")</f>
        <v>sumber</v>
      </c>
      <c r="G125" s="115" t="str">
        <f t="shared" si="0"/>
        <v>lokasi</v>
      </c>
      <c r="H125" s="112">
        <v>274</v>
      </c>
      <c r="I125" s="26"/>
      <c r="J125" s="113">
        <v>2</v>
      </c>
      <c r="K125" s="124"/>
      <c r="L125" s="26"/>
      <c r="M125" s="26"/>
      <c r="N125" s="26"/>
      <c r="O125" s="26"/>
      <c r="P125" s="26"/>
      <c r="Q125" s="26"/>
      <c r="R125" s="26"/>
      <c r="S125" s="124"/>
      <c r="T125" s="26"/>
      <c r="U125" s="26"/>
      <c r="V125" s="26"/>
      <c r="W125" s="26"/>
      <c r="X125" s="26"/>
      <c r="Y125" s="25"/>
    </row>
    <row r="126" spans="1:25" ht="14.4">
      <c r="A126" s="117">
        <v>1</v>
      </c>
      <c r="B126" s="118" t="s">
        <v>2174</v>
      </c>
      <c r="C126" s="22">
        <v>126</v>
      </c>
      <c r="D126" s="119">
        <v>4</v>
      </c>
      <c r="E126" s="119" t="s">
        <v>358</v>
      </c>
      <c r="F126" s="121" t="str">
        <f>HYPERLINK("https://www.liputan6.com/bisnis/read/3969814/kementerian-pupr-resmikan-jembatan-ramah-lingkungan-di-solo ","sumber")</f>
        <v>sumber</v>
      </c>
      <c r="G126" s="121" t="str">
        <f t="shared" si="0"/>
        <v>lokasi</v>
      </c>
      <c r="H126" s="118">
        <v>336</v>
      </c>
      <c r="I126" s="22">
        <v>4</v>
      </c>
      <c r="J126" s="119">
        <v>2</v>
      </c>
      <c r="K126" s="123" t="s">
        <v>2175</v>
      </c>
      <c r="L126" s="22">
        <v>0</v>
      </c>
      <c r="M126" s="22">
        <v>0</v>
      </c>
      <c r="N126" s="125">
        <v>0</v>
      </c>
      <c r="O126" s="22">
        <v>0</v>
      </c>
      <c r="P126" s="22">
        <v>0</v>
      </c>
      <c r="Q126" s="22">
        <v>0</v>
      </c>
      <c r="R126" s="22">
        <v>0</v>
      </c>
      <c r="S126" s="134"/>
      <c r="T126" s="22">
        <v>0</v>
      </c>
      <c r="U126" s="22">
        <v>0</v>
      </c>
      <c r="V126" s="22">
        <v>1</v>
      </c>
      <c r="W126" s="23"/>
      <c r="X126" s="23"/>
      <c r="Y126" s="23"/>
    </row>
    <row r="127" spans="1:25" ht="14.4">
      <c r="A127" s="111">
        <v>2</v>
      </c>
      <c r="B127" s="112" t="s">
        <v>2176</v>
      </c>
      <c r="C127" s="25">
        <v>127</v>
      </c>
      <c r="D127" s="113">
        <v>3</v>
      </c>
      <c r="E127" s="113" t="s">
        <v>2177</v>
      </c>
      <c r="F127" s="115" t="str">
        <f>HYPERLINK("https://sports.okezone.com/read/2019/05/27/38/2060941/keberanian-lorenzo-berpindah-pindah-tim-di-motogp-diapresiasi-bigot ","sumber")</f>
        <v>sumber</v>
      </c>
      <c r="G127" s="115" t="str">
        <f t="shared" si="0"/>
        <v>lokasi</v>
      </c>
      <c r="H127" s="112">
        <v>348</v>
      </c>
      <c r="I127" s="26"/>
      <c r="J127" s="113">
        <v>2</v>
      </c>
      <c r="K127" s="124"/>
      <c r="L127" s="26"/>
      <c r="M127" s="26"/>
      <c r="N127" s="26"/>
      <c r="O127" s="26"/>
      <c r="P127" s="26"/>
      <c r="Q127" s="26"/>
      <c r="R127" s="26"/>
      <c r="S127" s="124"/>
      <c r="T127" s="26"/>
      <c r="U127" s="26"/>
      <c r="V127" s="26"/>
      <c r="W127" s="26"/>
      <c r="X127" s="26"/>
      <c r="Y127" s="25"/>
    </row>
    <row r="128" spans="1:25" ht="14.4">
      <c r="A128" s="117">
        <v>1</v>
      </c>
      <c r="B128" s="118" t="s">
        <v>2178</v>
      </c>
      <c r="C128" s="22">
        <v>128</v>
      </c>
      <c r="D128" s="119">
        <v>2</v>
      </c>
      <c r="E128" s="119" t="s">
        <v>2030</v>
      </c>
      <c r="F128" s="121" t="str">
        <f>HYPERLINK("https://www.cnnindonesia.com/nasional/20190528160121-12-399181/sehat-jasamani-rohani-ratna-sarumpaet-tak-bebas-pidana ","sumber")</f>
        <v>sumber</v>
      </c>
      <c r="G128" s="121" t="str">
        <f t="shared" si="0"/>
        <v>lokasi</v>
      </c>
      <c r="H128" s="118">
        <v>256</v>
      </c>
      <c r="I128" s="22">
        <v>2</v>
      </c>
      <c r="J128" s="119">
        <v>2</v>
      </c>
      <c r="K128" s="123" t="s">
        <v>2179</v>
      </c>
      <c r="L128" s="22">
        <v>0</v>
      </c>
      <c r="M128" s="22">
        <v>0</v>
      </c>
      <c r="N128" s="125">
        <v>0</v>
      </c>
      <c r="O128" s="22">
        <v>0</v>
      </c>
      <c r="P128" s="22">
        <v>0</v>
      </c>
      <c r="Q128" s="22">
        <v>0</v>
      </c>
      <c r="R128" s="22">
        <v>0</v>
      </c>
      <c r="S128" s="134"/>
      <c r="T128" s="22">
        <v>0</v>
      </c>
      <c r="U128" s="22">
        <v>0</v>
      </c>
      <c r="V128" s="22">
        <v>0</v>
      </c>
      <c r="W128" s="23"/>
      <c r="X128" s="23"/>
      <c r="Y128" s="23"/>
    </row>
    <row r="129" spans="1:25" ht="14.4">
      <c r="A129" s="148">
        <v>1</v>
      </c>
      <c r="B129" s="149" t="s">
        <v>2180</v>
      </c>
      <c r="C129" s="33">
        <v>129</v>
      </c>
      <c r="D129" s="128">
        <v>5</v>
      </c>
      <c r="E129" s="128" t="s">
        <v>2181</v>
      </c>
      <c r="F129" s="130" t="str">
        <f>HYPERLINK("https://tirto.id/kpai-minta-pemerintah-ciptakan-mudik-ramah-disabilitas-d9hq ","sumber")</f>
        <v>sumber</v>
      </c>
      <c r="G129" s="130" t="str">
        <f t="shared" si="0"/>
        <v>lokasi</v>
      </c>
      <c r="H129" s="127">
        <v>269</v>
      </c>
      <c r="I129" s="33">
        <v>4</v>
      </c>
      <c r="J129" s="128">
        <v>2</v>
      </c>
      <c r="K129" s="131" t="s">
        <v>2182</v>
      </c>
      <c r="L129" s="33">
        <v>0</v>
      </c>
      <c r="M129" s="33">
        <v>0</v>
      </c>
      <c r="N129" s="132">
        <v>0</v>
      </c>
      <c r="O129" s="33">
        <v>0</v>
      </c>
      <c r="P129" s="33">
        <v>0</v>
      </c>
      <c r="Q129" s="33" t="s">
        <v>29</v>
      </c>
      <c r="R129" s="33" t="s">
        <v>160</v>
      </c>
      <c r="S129" s="133"/>
      <c r="T129" s="33">
        <v>0</v>
      </c>
      <c r="U129" s="33">
        <v>0</v>
      </c>
      <c r="V129" s="33">
        <v>1</v>
      </c>
      <c r="W129" s="24"/>
      <c r="X129" s="24"/>
      <c r="Y129" s="33"/>
    </row>
    <row r="130" spans="1:25" ht="14.4">
      <c r="A130" s="126">
        <v>1</v>
      </c>
      <c r="B130" s="127" t="s">
        <v>2183</v>
      </c>
      <c r="C130" s="33">
        <v>130</v>
      </c>
      <c r="D130" s="128">
        <v>6</v>
      </c>
      <c r="E130" s="128" t="s">
        <v>180</v>
      </c>
      <c r="F130" s="130" t="str">
        <f>HYPERLINK("https://regional.kompas.com/read/2019/05/31/14442641/risma-sebut-tiap-tahun-penderita-gangguan-jiwa-dikirim-ke-surabaya-jumlahnya ","sumber")</f>
        <v>sumber</v>
      </c>
      <c r="G130" s="130" t="str">
        <f t="shared" si="0"/>
        <v>lokasi</v>
      </c>
      <c r="H130" s="127">
        <v>235</v>
      </c>
      <c r="I130" s="33">
        <v>5</v>
      </c>
      <c r="J130" s="128">
        <v>2</v>
      </c>
      <c r="K130" s="131" t="s">
        <v>2184</v>
      </c>
      <c r="L130" s="33">
        <v>0</v>
      </c>
      <c r="M130" s="33">
        <v>0</v>
      </c>
      <c r="N130" s="132">
        <v>0</v>
      </c>
      <c r="O130" s="33">
        <v>0</v>
      </c>
      <c r="P130" s="33">
        <v>-1</v>
      </c>
      <c r="Q130" s="33">
        <v>0</v>
      </c>
      <c r="R130" s="33">
        <v>-1</v>
      </c>
      <c r="S130" s="133"/>
      <c r="T130" s="33">
        <v>0</v>
      </c>
      <c r="U130" s="33">
        <v>0</v>
      </c>
      <c r="V130" s="33">
        <v>0</v>
      </c>
      <c r="W130" s="24"/>
      <c r="X130" s="24"/>
      <c r="Y130" s="33"/>
    </row>
    <row r="131" spans="1:25" ht="14.4">
      <c r="A131" s="111">
        <v>2</v>
      </c>
      <c r="B131" s="112" t="s">
        <v>2185</v>
      </c>
      <c r="C131" s="25">
        <v>131</v>
      </c>
      <c r="D131" s="113">
        <v>7</v>
      </c>
      <c r="E131" s="113" t="s">
        <v>180</v>
      </c>
      <c r="F131" s="115" t="str">
        <f>HYPERLINK("http://www.tribunnews.com/kesehatan/2019/05/31/ibu-rumah-tangga-gagal-diet-umumnya-karena-kebiasaan-ini ","sumber")</f>
        <v>sumber</v>
      </c>
      <c r="G131" s="115" t="str">
        <f t="shared" si="0"/>
        <v>lokasi</v>
      </c>
      <c r="H131" s="112">
        <v>199</v>
      </c>
      <c r="I131" s="26"/>
      <c r="J131" s="113">
        <v>2</v>
      </c>
      <c r="K131" s="124"/>
      <c r="L131" s="26"/>
      <c r="M131" s="26"/>
      <c r="N131" s="26"/>
      <c r="O131" s="26"/>
      <c r="P131" s="26"/>
      <c r="Q131" s="26"/>
      <c r="R131" s="26"/>
      <c r="S131" s="124"/>
      <c r="T131" s="26"/>
      <c r="U131" s="26"/>
      <c r="V131" s="26"/>
      <c r="W131" s="26"/>
      <c r="X131" s="26"/>
      <c r="Y131" s="25"/>
    </row>
    <row r="132" spans="1:25" ht="14.4">
      <c r="A132" s="148">
        <v>1</v>
      </c>
      <c r="B132" s="149" t="s">
        <v>2186</v>
      </c>
      <c r="C132" s="33">
        <v>132</v>
      </c>
      <c r="D132" s="128">
        <v>7</v>
      </c>
      <c r="E132" s="128" t="s">
        <v>227</v>
      </c>
      <c r="F132" s="130" t="str">
        <f>HYPERLINK("http://www.tribunnews.com/seleb/2019/06/15/viral-curhatan-netizen-biarkan-orang-gila-bertamu-di-rumahnya-dikira-prank-begini-reaksi-baim-wong ","sumber")</f>
        <v>sumber</v>
      </c>
      <c r="G132" s="130" t="str">
        <f t="shared" si="0"/>
        <v>lokasi</v>
      </c>
      <c r="H132" s="127">
        <v>182</v>
      </c>
      <c r="I132" s="33">
        <v>5</v>
      </c>
      <c r="J132" s="128">
        <v>2</v>
      </c>
      <c r="K132" s="131" t="s">
        <v>2112</v>
      </c>
      <c r="L132" s="33">
        <v>0</v>
      </c>
      <c r="M132" s="33">
        <v>0</v>
      </c>
      <c r="N132" s="132">
        <v>0</v>
      </c>
      <c r="O132" s="33">
        <v>0</v>
      </c>
      <c r="P132" s="33">
        <v>-1</v>
      </c>
      <c r="Q132" s="33">
        <v>0</v>
      </c>
      <c r="R132" s="33">
        <v>0</v>
      </c>
      <c r="S132" s="131" t="s">
        <v>2187</v>
      </c>
      <c r="T132" s="33">
        <v>10</v>
      </c>
      <c r="U132" s="33">
        <v>0</v>
      </c>
      <c r="V132" s="33">
        <v>0</v>
      </c>
      <c r="W132" s="24"/>
      <c r="X132" s="24"/>
      <c r="Y132" s="33"/>
    </row>
    <row r="133" spans="1:25" ht="14.4">
      <c r="A133" s="117">
        <v>1</v>
      </c>
      <c r="B133" s="118" t="s">
        <v>2188</v>
      </c>
      <c r="C133" s="22">
        <v>133</v>
      </c>
      <c r="D133" s="119">
        <v>5</v>
      </c>
      <c r="E133" s="120">
        <v>43683</v>
      </c>
      <c r="F133" s="121" t="str">
        <f>HYPERLINK("https://tirto.id/104066-wisatawan-kunjungi-gunungkidul-saat-lebaran-2019-d9Al ","sumber")</f>
        <v>sumber</v>
      </c>
      <c r="G133" s="121" t="str">
        <f t="shared" si="0"/>
        <v>lokasi</v>
      </c>
      <c r="H133" s="118">
        <v>388</v>
      </c>
      <c r="I133" s="22">
        <v>3</v>
      </c>
      <c r="J133" s="119">
        <v>2</v>
      </c>
      <c r="K133" s="123" t="s">
        <v>2189</v>
      </c>
      <c r="L133" s="22">
        <v>0</v>
      </c>
      <c r="M133" s="22">
        <v>0</v>
      </c>
      <c r="N133" s="125">
        <v>0</v>
      </c>
      <c r="O133" s="22">
        <v>0</v>
      </c>
      <c r="P133" s="22">
        <v>0</v>
      </c>
      <c r="Q133" s="22" t="s">
        <v>29</v>
      </c>
      <c r="R133" s="22" t="s">
        <v>29</v>
      </c>
      <c r="S133" s="134"/>
      <c r="T133" s="22">
        <v>0</v>
      </c>
      <c r="U133" s="22">
        <v>0</v>
      </c>
      <c r="V133" s="22">
        <v>0</v>
      </c>
      <c r="W133" s="23"/>
      <c r="X133" s="23"/>
      <c r="Y133" s="23"/>
    </row>
    <row r="134" spans="1:25" ht="14.4">
      <c r="A134" s="117">
        <v>1</v>
      </c>
      <c r="B134" s="118" t="s">
        <v>2190</v>
      </c>
      <c r="C134" s="22">
        <v>134</v>
      </c>
      <c r="D134" s="119">
        <v>3</v>
      </c>
      <c r="E134" s="120">
        <v>43775</v>
      </c>
      <c r="F134" s="121" t="str">
        <f>HYPERLINK("https://index.okezone.com/read/2019/06/11/612/2065313/11-anak-ini-memiliki-kekuatan-super-di-kehidupan-nyata ","sumber")</f>
        <v>sumber</v>
      </c>
      <c r="G134" s="121" t="str">
        <f t="shared" si="0"/>
        <v>lokasi</v>
      </c>
      <c r="H134" s="118">
        <v>885</v>
      </c>
      <c r="I134" s="22">
        <v>2</v>
      </c>
      <c r="J134" s="119">
        <v>2</v>
      </c>
      <c r="K134" s="123" t="s">
        <v>2191</v>
      </c>
      <c r="L134" s="22">
        <v>-1</v>
      </c>
      <c r="M134" s="22">
        <v>0</v>
      </c>
      <c r="N134" s="125">
        <v>0</v>
      </c>
      <c r="O134" s="22">
        <v>0</v>
      </c>
      <c r="P134" s="22">
        <v>0</v>
      </c>
      <c r="Q134" s="22">
        <v>0</v>
      </c>
      <c r="R134" s="22">
        <v>0</v>
      </c>
      <c r="S134" s="123" t="s">
        <v>2192</v>
      </c>
      <c r="T134" s="22">
        <v>1</v>
      </c>
      <c r="U134" s="22">
        <v>0</v>
      </c>
      <c r="V134" s="22">
        <v>0</v>
      </c>
      <c r="W134" s="23"/>
      <c r="X134" s="23"/>
      <c r="Y134" s="23"/>
    </row>
    <row r="135" spans="1:25" ht="14.4">
      <c r="A135" s="117">
        <v>1</v>
      </c>
      <c r="B135" s="118" t="s">
        <v>2193</v>
      </c>
      <c r="C135" s="22">
        <v>135</v>
      </c>
      <c r="D135" s="119">
        <v>5</v>
      </c>
      <c r="E135" s="120">
        <v>43775</v>
      </c>
      <c r="F135" s="121" t="str">
        <f>HYPERLINK("https://tirto.id/ashin-wirathu-biksu-radikal-sobat-setia-militer-myanmar-d9rr ","sumber")</f>
        <v>sumber</v>
      </c>
      <c r="G135" s="121" t="str">
        <f t="shared" si="0"/>
        <v>lokasi</v>
      </c>
      <c r="H135" s="118">
        <v>1443</v>
      </c>
      <c r="I135" s="22">
        <v>1</v>
      </c>
      <c r="J135" s="119">
        <v>2</v>
      </c>
      <c r="K135" s="123" t="s">
        <v>2194</v>
      </c>
      <c r="L135" s="22">
        <v>0</v>
      </c>
      <c r="M135" s="22">
        <v>1</v>
      </c>
      <c r="N135" s="125">
        <v>0</v>
      </c>
      <c r="O135" s="22">
        <v>0</v>
      </c>
      <c r="P135" s="22">
        <v>0</v>
      </c>
      <c r="Q135" s="22" t="s">
        <v>21</v>
      </c>
      <c r="R135" s="22" t="s">
        <v>2195</v>
      </c>
      <c r="S135" s="134"/>
      <c r="T135" s="22">
        <v>0</v>
      </c>
      <c r="U135" s="22">
        <v>0</v>
      </c>
      <c r="V135" s="22">
        <v>1</v>
      </c>
      <c r="W135" s="23"/>
      <c r="X135" s="23"/>
      <c r="Y135" s="23"/>
    </row>
    <row r="136" spans="1:25" ht="14.4">
      <c r="A136" s="148">
        <v>1</v>
      </c>
      <c r="B136" s="149" t="s">
        <v>2196</v>
      </c>
      <c r="C136" s="33">
        <v>136</v>
      </c>
      <c r="D136" s="128">
        <v>10</v>
      </c>
      <c r="E136" s="129">
        <v>43591</v>
      </c>
      <c r="F136" s="130" t="str">
        <f>HYPERLINK("https://bisnis.tempo.co/read/1212360/open-house-lebaran-gubernur-bi-terima-tamu-komunitas-difabel ","sumber")</f>
        <v>sumber</v>
      </c>
      <c r="G136" s="130" t="str">
        <f t="shared" si="0"/>
        <v>lokasi</v>
      </c>
      <c r="H136" s="127">
        <v>275</v>
      </c>
      <c r="I136" s="33">
        <v>3</v>
      </c>
      <c r="J136" s="128">
        <v>2</v>
      </c>
      <c r="K136" s="131" t="s">
        <v>2197</v>
      </c>
      <c r="L136" s="33">
        <v>0</v>
      </c>
      <c r="M136" s="33">
        <v>0</v>
      </c>
      <c r="N136" s="132">
        <v>0</v>
      </c>
      <c r="O136" s="33">
        <v>0</v>
      </c>
      <c r="P136" s="33">
        <v>0</v>
      </c>
      <c r="Q136" s="33">
        <v>0</v>
      </c>
      <c r="R136" s="33">
        <v>1</v>
      </c>
      <c r="S136" s="133"/>
      <c r="T136" s="33">
        <v>0</v>
      </c>
      <c r="U136" s="33">
        <v>0</v>
      </c>
      <c r="V136" s="33">
        <v>0</v>
      </c>
      <c r="W136" s="24"/>
      <c r="X136" s="24"/>
      <c r="Y136" s="33"/>
    </row>
    <row r="137" spans="1:25" ht="14.4">
      <c r="A137" s="111">
        <v>2</v>
      </c>
      <c r="B137" s="112" t="s">
        <v>2198</v>
      </c>
      <c r="C137" s="25">
        <v>137</v>
      </c>
      <c r="D137" s="113">
        <v>7</v>
      </c>
      <c r="E137" s="113" t="s">
        <v>382</v>
      </c>
      <c r="F137" s="115" t="str">
        <f>HYPERLINK("http://www.tribunnews.com/seleb/2019/06/18/cium-putrinya-di-tempat-umum-david-beckham-kembali-tuai-kontroversi ","sumber")</f>
        <v>sumber</v>
      </c>
      <c r="G137" s="115" t="str">
        <f t="shared" si="0"/>
        <v>lokasi</v>
      </c>
      <c r="H137" s="112">
        <v>112</v>
      </c>
      <c r="I137" s="26"/>
      <c r="J137" s="113">
        <v>2</v>
      </c>
      <c r="K137" s="124"/>
      <c r="L137" s="26"/>
      <c r="M137" s="26"/>
      <c r="N137" s="26"/>
      <c r="O137" s="26"/>
      <c r="P137" s="26"/>
      <c r="Q137" s="26"/>
      <c r="R137" s="26"/>
      <c r="S137" s="124"/>
      <c r="T137" s="26"/>
      <c r="U137" s="26"/>
      <c r="V137" s="26"/>
      <c r="W137" s="26"/>
      <c r="X137" s="26"/>
      <c r="Y137" s="25"/>
    </row>
    <row r="138" spans="1:25" ht="14.4">
      <c r="A138" s="111">
        <v>2</v>
      </c>
      <c r="B138" s="112" t="s">
        <v>2199</v>
      </c>
      <c r="C138" s="25">
        <v>138</v>
      </c>
      <c r="D138" s="113">
        <v>6</v>
      </c>
      <c r="E138" s="113" t="s">
        <v>220</v>
      </c>
      <c r="F138" s="115" t="str">
        <f>HYPERLINK("https://regional.kompas.com/read/2019/06/21/19115411/ridwan-kamil-80-persen-pinjaman-bank-dunia-untuk-atasi-sampah-bandung-raya ","sumber")</f>
        <v>sumber</v>
      </c>
      <c r="G138" s="115" t="str">
        <f t="shared" si="0"/>
        <v>lokasi</v>
      </c>
      <c r="H138" s="112">
        <v>252</v>
      </c>
      <c r="I138" s="26"/>
      <c r="J138" s="113">
        <v>2</v>
      </c>
      <c r="K138" s="124"/>
      <c r="L138" s="26"/>
      <c r="M138" s="26"/>
      <c r="N138" s="26"/>
      <c r="O138" s="26"/>
      <c r="P138" s="26"/>
      <c r="Q138" s="26"/>
      <c r="R138" s="26"/>
      <c r="S138" s="124"/>
      <c r="T138" s="26"/>
      <c r="U138" s="26"/>
      <c r="V138" s="26"/>
      <c r="W138" s="26"/>
      <c r="X138" s="26"/>
      <c r="Y138" s="25"/>
    </row>
    <row r="139" spans="1:25" ht="14.4">
      <c r="A139" s="117">
        <v>1</v>
      </c>
      <c r="B139" s="118" t="s">
        <v>2200</v>
      </c>
      <c r="C139" s="22">
        <v>139</v>
      </c>
      <c r="D139" s="119">
        <v>1</v>
      </c>
      <c r="E139" s="119" t="s">
        <v>235</v>
      </c>
      <c r="F139" s="121" t="str">
        <f>HYPERLINK("https://health.detik.com/berita-detikhealth/d-4596181/156-juta-orang-indonesia-alami-depresi-cuma-8-persen-yang-berobat ","sumber")</f>
        <v>sumber</v>
      </c>
      <c r="G139" s="121" t="str">
        <f t="shared" si="0"/>
        <v>lokasi</v>
      </c>
      <c r="H139" s="118">
        <v>206</v>
      </c>
      <c r="I139" s="22">
        <v>5</v>
      </c>
      <c r="J139" s="119">
        <v>2</v>
      </c>
      <c r="K139" s="123" t="s">
        <v>1264</v>
      </c>
      <c r="L139" s="22">
        <v>0</v>
      </c>
      <c r="M139" s="22">
        <v>0</v>
      </c>
      <c r="N139" s="125">
        <v>0</v>
      </c>
      <c r="O139" s="22">
        <v>0</v>
      </c>
      <c r="P139" s="22">
        <v>0</v>
      </c>
      <c r="Q139" s="22">
        <v>0</v>
      </c>
      <c r="R139" s="22">
        <v>1</v>
      </c>
      <c r="S139" s="134"/>
      <c r="T139" s="22">
        <v>0</v>
      </c>
      <c r="U139" s="22">
        <v>0</v>
      </c>
      <c r="V139" s="22">
        <v>1</v>
      </c>
      <c r="W139" s="23"/>
      <c r="X139" s="23"/>
      <c r="Y139" s="23"/>
    </row>
    <row r="140" spans="1:25" ht="14.4">
      <c r="A140" s="117">
        <v>1</v>
      </c>
      <c r="B140" s="118" t="s">
        <v>2201</v>
      </c>
      <c r="C140" s="22">
        <v>140</v>
      </c>
      <c r="D140" s="119">
        <v>1</v>
      </c>
      <c r="E140" s="119" t="s">
        <v>2202</v>
      </c>
      <c r="F140" s="121" t="str">
        <f>HYPERLINK("https://health.detik.com/berita-detikhealth/d-4596593/sedih-masih-banyak-yang-menanggap-depresi-sebagai-aib-daripada-penyakit ","sumber")</f>
        <v>sumber</v>
      </c>
      <c r="G140" s="121" t="str">
        <f t="shared" si="0"/>
        <v>lokasi</v>
      </c>
      <c r="H140" s="118">
        <v>255</v>
      </c>
      <c r="I140" s="22">
        <v>5</v>
      </c>
      <c r="J140" s="119">
        <v>2</v>
      </c>
      <c r="K140" s="123" t="s">
        <v>2203</v>
      </c>
      <c r="L140" s="22">
        <v>0</v>
      </c>
      <c r="M140" s="22">
        <v>0</v>
      </c>
      <c r="N140" s="125">
        <v>0</v>
      </c>
      <c r="O140" s="22">
        <v>0</v>
      </c>
      <c r="P140" s="22">
        <v>-1</v>
      </c>
      <c r="Q140" s="22" t="s">
        <v>29</v>
      </c>
      <c r="R140" s="22" t="s">
        <v>160</v>
      </c>
      <c r="S140" s="134"/>
      <c r="T140" s="22">
        <v>0</v>
      </c>
      <c r="U140" s="22">
        <v>0</v>
      </c>
      <c r="V140" s="22">
        <v>1</v>
      </c>
      <c r="W140" s="23"/>
      <c r="X140" s="23"/>
      <c r="Y140" s="23"/>
    </row>
    <row r="141" spans="1:25" ht="14.4">
      <c r="A141" s="148">
        <v>1</v>
      </c>
      <c r="B141" s="149" t="s">
        <v>2204</v>
      </c>
      <c r="C141" s="33">
        <v>141</v>
      </c>
      <c r="D141" s="128">
        <v>10</v>
      </c>
      <c r="E141" s="128" t="s">
        <v>388</v>
      </c>
      <c r="F141" s="130" t="str">
        <f>HYPERLINK("https://difabel.tempo.co/read/1215285/6-tips-parenting-mengatasi-tantrum-anak-multi-disabilitas ","sumber")</f>
        <v>sumber</v>
      </c>
      <c r="G141" s="130" t="str">
        <f t="shared" si="0"/>
        <v>lokasi</v>
      </c>
      <c r="H141" s="127">
        <v>422</v>
      </c>
      <c r="I141" s="33">
        <v>2</v>
      </c>
      <c r="J141" s="128">
        <v>2</v>
      </c>
      <c r="K141" s="131" t="s">
        <v>2205</v>
      </c>
      <c r="L141" s="33">
        <v>0</v>
      </c>
      <c r="M141" s="33">
        <v>0</v>
      </c>
      <c r="N141" s="132">
        <v>0</v>
      </c>
      <c r="O141" s="33">
        <v>0</v>
      </c>
      <c r="P141" s="33">
        <v>0</v>
      </c>
      <c r="Q141" s="33">
        <v>0</v>
      </c>
      <c r="R141" s="33">
        <v>1</v>
      </c>
      <c r="S141" s="133"/>
      <c r="T141" s="33">
        <v>0</v>
      </c>
      <c r="U141" s="33">
        <v>0</v>
      </c>
      <c r="V141" s="33">
        <v>1</v>
      </c>
      <c r="W141" s="24"/>
      <c r="X141" s="24"/>
      <c r="Y141" s="33"/>
    </row>
    <row r="142" spans="1:25" ht="14.4">
      <c r="A142" s="111">
        <v>2</v>
      </c>
      <c r="B142" s="112" t="s">
        <v>2206</v>
      </c>
      <c r="C142" s="25">
        <v>142</v>
      </c>
      <c r="D142" s="113">
        <v>9</v>
      </c>
      <c r="E142" s="113" t="s">
        <v>238</v>
      </c>
      <c r="F142" s="115" t="str">
        <f>HYPERLINK("https://republika.co.id/berita/kolom/wacana/ptmuip385/dadhanggula-blues-country-kisah-diponegoro-november-1828 ","sumber")</f>
        <v>sumber</v>
      </c>
      <c r="G142" s="115" t="str">
        <f t="shared" si="0"/>
        <v>lokasi</v>
      </c>
      <c r="H142" s="112">
        <v>647</v>
      </c>
      <c r="I142" s="26"/>
      <c r="J142" s="113">
        <v>2</v>
      </c>
      <c r="K142" s="124"/>
      <c r="L142" s="26"/>
      <c r="M142" s="26"/>
      <c r="N142" s="26"/>
      <c r="O142" s="26"/>
      <c r="P142" s="26"/>
      <c r="Q142" s="26"/>
      <c r="R142" s="26"/>
      <c r="S142" s="124"/>
      <c r="T142" s="26"/>
      <c r="U142" s="26"/>
      <c r="V142" s="26"/>
      <c r="W142" s="26"/>
      <c r="X142" s="26"/>
      <c r="Y142" s="25"/>
    </row>
    <row r="143" spans="1:25" ht="14.4">
      <c r="A143" s="111">
        <v>2</v>
      </c>
      <c r="B143" s="112" t="s">
        <v>2207</v>
      </c>
      <c r="C143" s="25">
        <v>143</v>
      </c>
      <c r="D143" s="113">
        <v>3</v>
      </c>
      <c r="E143" s="113" t="s">
        <v>241</v>
      </c>
      <c r="F143" s="115" t="str">
        <f>HYPERLINK("https://sports.okezone.com/read/2019/06/28/38/2072035/lorenzo-lepas-dari-hukuman-vinales-kesal ","sumber")</f>
        <v>sumber</v>
      </c>
      <c r="G143" s="115" t="str">
        <f t="shared" si="0"/>
        <v>lokasi</v>
      </c>
      <c r="H143" s="112">
        <v>357</v>
      </c>
      <c r="I143" s="26"/>
      <c r="J143" s="113">
        <v>2</v>
      </c>
      <c r="K143" s="124"/>
      <c r="L143" s="26"/>
      <c r="M143" s="26"/>
      <c r="N143" s="26"/>
      <c r="O143" s="26"/>
      <c r="P143" s="26"/>
      <c r="Q143" s="26"/>
      <c r="R143" s="26"/>
      <c r="S143" s="124"/>
      <c r="T143" s="26"/>
      <c r="U143" s="26"/>
      <c r="V143" s="26"/>
      <c r="W143" s="26"/>
      <c r="X143" s="26"/>
      <c r="Y143" s="25"/>
    </row>
    <row r="144" spans="1:25" ht="14.4">
      <c r="A144" s="111">
        <v>2</v>
      </c>
      <c r="B144" s="112" t="s">
        <v>2208</v>
      </c>
      <c r="C144" s="25">
        <v>144</v>
      </c>
      <c r="D144" s="113">
        <v>2</v>
      </c>
      <c r="E144" s="114">
        <v>43592</v>
      </c>
      <c r="F144" s="115" t="str">
        <f>HYPERLINK("https://www.cnnindonesia.com/ekonomi/20190704174436-92-409203/perluas-pasar-indonesian-tobacco-akan-gandeng-india ","sumber")</f>
        <v>sumber</v>
      </c>
      <c r="G144" s="115" t="str">
        <f t="shared" si="0"/>
        <v>lokasi</v>
      </c>
      <c r="H144" s="112">
        <v>410</v>
      </c>
      <c r="I144" s="26"/>
      <c r="J144" s="113">
        <v>2</v>
      </c>
      <c r="K144" s="124"/>
      <c r="L144" s="26"/>
      <c r="M144" s="26"/>
      <c r="N144" s="26"/>
      <c r="O144" s="26"/>
      <c r="P144" s="26"/>
      <c r="Q144" s="26"/>
      <c r="R144" s="26"/>
      <c r="S144" s="124"/>
      <c r="T144" s="26"/>
      <c r="U144" s="26"/>
      <c r="V144" s="26"/>
      <c r="W144" s="26"/>
      <c r="X144" s="26"/>
      <c r="Y144" s="25"/>
    </row>
    <row r="145" spans="1:25" ht="14.4">
      <c r="A145" s="117">
        <v>1</v>
      </c>
      <c r="B145" s="118" t="s">
        <v>2209</v>
      </c>
      <c r="C145" s="22">
        <v>145</v>
      </c>
      <c r="D145" s="119">
        <v>6</v>
      </c>
      <c r="E145" s="120">
        <v>43745</v>
      </c>
      <c r="F145" s="121" t="str">
        <f>HYPERLINK("https://megapolitan.kompas.com/read/2019/07/10/13050591/kantor-imigrasi-baru-di-bekasi-diklaim-jadi-role-model-kolaborasi ","sumber")</f>
        <v>sumber</v>
      </c>
      <c r="G145" s="121" t="str">
        <f t="shared" si="0"/>
        <v>lokasi</v>
      </c>
      <c r="H145" s="118">
        <v>350</v>
      </c>
      <c r="I145" s="22">
        <v>4</v>
      </c>
      <c r="J145" s="119">
        <v>2</v>
      </c>
      <c r="K145" s="123" t="s">
        <v>2210</v>
      </c>
      <c r="L145" s="22">
        <v>0</v>
      </c>
      <c r="M145" s="22">
        <v>0</v>
      </c>
      <c r="N145" s="125">
        <v>0</v>
      </c>
      <c r="O145" s="22">
        <v>0</v>
      </c>
      <c r="P145" s="22">
        <v>0</v>
      </c>
      <c r="Q145" s="22" t="s">
        <v>29</v>
      </c>
      <c r="R145" s="22" t="s">
        <v>29</v>
      </c>
      <c r="S145" s="134"/>
      <c r="T145" s="22">
        <v>0</v>
      </c>
      <c r="U145" s="22">
        <v>0</v>
      </c>
      <c r="V145" s="22">
        <v>1</v>
      </c>
      <c r="W145" s="23"/>
      <c r="X145" s="23"/>
      <c r="Y145" s="23"/>
    </row>
    <row r="146" spans="1:25" ht="14.4">
      <c r="A146" s="117">
        <v>1</v>
      </c>
      <c r="B146" s="118" t="s">
        <v>2211</v>
      </c>
      <c r="C146" s="22">
        <v>146</v>
      </c>
      <c r="D146" s="119">
        <v>4</v>
      </c>
      <c r="E146" s="119" t="s">
        <v>613</v>
      </c>
      <c r="F146" s="121" t="str">
        <f>HYPERLINK("https://www.liputan6.com/news/read/4011446/cerita-pilu-bocah-10-tahun-dibunuh-kakak-kandung-di-bogor ","sumber")</f>
        <v>sumber</v>
      </c>
      <c r="G146" s="121" t="str">
        <f t="shared" si="0"/>
        <v>lokasi</v>
      </c>
      <c r="H146" s="118">
        <v>676</v>
      </c>
      <c r="I146" s="22">
        <v>1</v>
      </c>
      <c r="J146" s="119">
        <v>2</v>
      </c>
      <c r="K146" s="123" t="s">
        <v>2212</v>
      </c>
      <c r="L146" s="22">
        <v>0</v>
      </c>
      <c r="M146" s="22">
        <v>1</v>
      </c>
      <c r="N146" s="125">
        <v>0</v>
      </c>
      <c r="O146" s="22">
        <v>0</v>
      </c>
      <c r="P146" s="22">
        <v>0</v>
      </c>
      <c r="Q146" s="22" t="s">
        <v>21</v>
      </c>
      <c r="R146" s="22" t="s">
        <v>21</v>
      </c>
      <c r="S146" s="134"/>
      <c r="T146" s="22">
        <v>0</v>
      </c>
      <c r="U146" s="22">
        <v>0</v>
      </c>
      <c r="V146" s="22">
        <v>0</v>
      </c>
      <c r="W146" s="23"/>
      <c r="X146" s="23"/>
      <c r="Y146" s="23"/>
    </row>
    <row r="147" spans="1:25" ht="14.4">
      <c r="A147" s="135">
        <v>1</v>
      </c>
      <c r="B147" s="155" t="s">
        <v>2213</v>
      </c>
      <c r="C147" s="137">
        <v>147</v>
      </c>
      <c r="D147" s="138">
        <v>3</v>
      </c>
      <c r="E147" s="154">
        <v>43531</v>
      </c>
      <c r="F147" s="139" t="str">
        <f>HYPERLINK("https://news.okezone.com/read/2019/07/03/338/2074243/perempuan-pembawa-anjing-ke-masjid-tak-wajib-di-bap ","sumber")</f>
        <v>sumber</v>
      </c>
      <c r="G147" s="139" t="str">
        <f t="shared" si="0"/>
        <v>lokasi</v>
      </c>
      <c r="H147" s="136">
        <v>177</v>
      </c>
      <c r="I147" s="137">
        <v>1</v>
      </c>
      <c r="J147" s="138">
        <v>2</v>
      </c>
      <c r="K147" s="140" t="s">
        <v>2214</v>
      </c>
      <c r="L147" s="137">
        <v>0</v>
      </c>
      <c r="M147" s="137">
        <v>-1</v>
      </c>
      <c r="N147" s="141">
        <v>0</v>
      </c>
      <c r="O147" s="137">
        <v>0</v>
      </c>
      <c r="P147" s="137">
        <v>0</v>
      </c>
      <c r="Q147" s="137">
        <v>0</v>
      </c>
      <c r="R147" s="137">
        <v>0</v>
      </c>
      <c r="S147" s="140" t="s">
        <v>2215</v>
      </c>
      <c r="T147" s="137">
        <v>1</v>
      </c>
      <c r="U147" s="137">
        <v>0</v>
      </c>
      <c r="V147" s="137">
        <v>0</v>
      </c>
      <c r="W147" s="143"/>
      <c r="X147" s="143"/>
      <c r="Y147" s="137"/>
    </row>
    <row r="148" spans="1:25" ht="14.4">
      <c r="A148" s="111">
        <v>2</v>
      </c>
      <c r="B148" s="112" t="s">
        <v>2216</v>
      </c>
      <c r="C148" s="25">
        <v>148</v>
      </c>
      <c r="D148" s="113">
        <v>4</v>
      </c>
      <c r="E148" s="156" t="s">
        <v>444</v>
      </c>
      <c r="F148" s="115" t="str">
        <f>HYPERLINK("https://www.liputan6.com/showbiz/read/4016168/sukses-di-yogyakarta-konser-jikustik-reunian-digelar-di-jakarta-jumat-malam-ini ","sumber")</f>
        <v>sumber</v>
      </c>
      <c r="G148" s="115" t="str">
        <f t="shared" si="0"/>
        <v>lokasi</v>
      </c>
      <c r="H148" s="112">
        <v>278</v>
      </c>
      <c r="I148" s="26"/>
      <c r="J148" s="113">
        <v>2</v>
      </c>
      <c r="K148" s="124"/>
      <c r="L148" s="26"/>
      <c r="M148" s="26"/>
      <c r="N148" s="26"/>
      <c r="O148" s="26"/>
      <c r="P148" s="26"/>
      <c r="Q148" s="26"/>
      <c r="R148" s="26"/>
      <c r="S148" s="124"/>
      <c r="T148" s="26"/>
      <c r="U148" s="26"/>
      <c r="V148" s="26"/>
      <c r="W148" s="26"/>
      <c r="X148" s="26"/>
      <c r="Y148" s="25"/>
    </row>
    <row r="149" spans="1:25" ht="14.4">
      <c r="A149" s="157">
        <v>1</v>
      </c>
      <c r="B149" s="158" t="s">
        <v>1326</v>
      </c>
      <c r="C149" s="159">
        <v>149</v>
      </c>
      <c r="D149" s="160">
        <v>9</v>
      </c>
      <c r="E149" s="160" t="s">
        <v>2047</v>
      </c>
      <c r="F149" s="161" t="str">
        <f>HYPERLINK("https://gayahidup.republika.co.id/berita/pv7b71459/sulit-konsentrasi-bisa-jadi-tanda-disabilitas-psikososial ","sumber")</f>
        <v>sumber</v>
      </c>
      <c r="G149" s="161" t="str">
        <f t="shared" si="0"/>
        <v>lokasi</v>
      </c>
      <c r="H149" s="162">
        <v>37</v>
      </c>
      <c r="I149" s="159">
        <v>5</v>
      </c>
      <c r="J149" s="160">
        <v>2</v>
      </c>
      <c r="K149" s="163" t="s">
        <v>1328</v>
      </c>
      <c r="L149" s="159">
        <v>0</v>
      </c>
      <c r="M149" s="159">
        <v>0</v>
      </c>
      <c r="N149" s="164">
        <v>0</v>
      </c>
      <c r="O149" s="159">
        <v>0</v>
      </c>
      <c r="P149" s="159">
        <v>0</v>
      </c>
      <c r="Q149" s="159" t="s">
        <v>29</v>
      </c>
      <c r="R149" s="159" t="s">
        <v>182</v>
      </c>
      <c r="S149" s="165"/>
      <c r="T149" s="159">
        <v>0</v>
      </c>
      <c r="U149" s="159">
        <v>0</v>
      </c>
      <c r="V149" s="159">
        <v>0</v>
      </c>
      <c r="W149" s="166"/>
      <c r="X149" s="166"/>
      <c r="Y149" s="159"/>
    </row>
    <row r="150" spans="1:25" ht="14.4">
      <c r="A150" s="148">
        <v>1</v>
      </c>
      <c r="B150" s="149" t="s">
        <v>2217</v>
      </c>
      <c r="C150" s="33">
        <v>150</v>
      </c>
      <c r="D150" s="128">
        <v>2</v>
      </c>
      <c r="E150" s="128" t="s">
        <v>2218</v>
      </c>
      <c r="F150" s="130" t="str">
        <f>HYPERLINK("https://www.cnnindonesia.com/olahraga/20190720182545-175-413987/sore-yang-indah-untuk-samuel-di-indonesia-open ","sumber")</f>
        <v>sumber</v>
      </c>
      <c r="G150" s="130" t="str">
        <f t="shared" si="0"/>
        <v>lokasi</v>
      </c>
      <c r="H150" s="127">
        <v>446</v>
      </c>
      <c r="I150" s="33">
        <v>2</v>
      </c>
      <c r="J150" s="128">
        <v>2</v>
      </c>
      <c r="K150" s="131" t="s">
        <v>2219</v>
      </c>
      <c r="L150" s="33">
        <v>0</v>
      </c>
      <c r="M150" s="33">
        <v>0</v>
      </c>
      <c r="N150" s="132">
        <v>0</v>
      </c>
      <c r="O150" s="33">
        <v>0</v>
      </c>
      <c r="P150" s="33">
        <v>0</v>
      </c>
      <c r="Q150" s="33">
        <v>0</v>
      </c>
      <c r="R150" s="33">
        <v>0</v>
      </c>
      <c r="S150" s="133"/>
      <c r="T150" s="33">
        <v>0</v>
      </c>
      <c r="U150" s="33">
        <v>0</v>
      </c>
      <c r="V150" s="33">
        <v>1</v>
      </c>
      <c r="W150" s="24"/>
      <c r="X150" s="24"/>
      <c r="Y150" s="33"/>
    </row>
    <row r="151" spans="1:25" ht="14.4">
      <c r="A151" s="148">
        <v>1</v>
      </c>
      <c r="B151" s="149" t="s">
        <v>2220</v>
      </c>
      <c r="C151" s="33">
        <v>151</v>
      </c>
      <c r="D151" s="128">
        <v>9</v>
      </c>
      <c r="E151" s="129">
        <v>43776</v>
      </c>
      <c r="F151" s="130" t="str">
        <f>HYPERLINK("https://khazanah.republika.co.id/berita/puh232458/disabilitas-sambut-baik-rekomendasi-ijtima-ulama-alquran ","sumber")</f>
        <v>sumber</v>
      </c>
      <c r="G151" s="130" t="str">
        <f t="shared" si="0"/>
        <v>lokasi</v>
      </c>
      <c r="H151" s="127">
        <v>78</v>
      </c>
      <c r="I151" s="33">
        <v>2</v>
      </c>
      <c r="J151" s="128">
        <v>2</v>
      </c>
      <c r="K151" s="131" t="s">
        <v>2221</v>
      </c>
      <c r="L151" s="33">
        <v>0</v>
      </c>
      <c r="M151" s="33">
        <v>0</v>
      </c>
      <c r="N151" s="132">
        <v>0</v>
      </c>
      <c r="O151" s="33">
        <v>0</v>
      </c>
      <c r="P151" s="33">
        <v>0</v>
      </c>
      <c r="Q151" s="33">
        <v>0</v>
      </c>
      <c r="R151" s="33">
        <v>1</v>
      </c>
      <c r="S151" s="133"/>
      <c r="T151" s="33">
        <v>0</v>
      </c>
      <c r="U151" s="33">
        <v>0</v>
      </c>
      <c r="V151" s="33">
        <v>1</v>
      </c>
      <c r="W151" s="24"/>
      <c r="X151" s="24"/>
      <c r="Y151" s="33"/>
    </row>
    <row r="152" spans="1:25" ht="14.4">
      <c r="A152" s="148">
        <v>1</v>
      </c>
      <c r="B152" s="149" t="s">
        <v>2222</v>
      </c>
      <c r="C152" s="33">
        <v>152</v>
      </c>
      <c r="D152" s="128">
        <v>5</v>
      </c>
      <c r="E152" s="128" t="s">
        <v>839</v>
      </c>
      <c r="F152" s="130" t="str">
        <f>HYPERLINK("https://tirto.id/meski-ramai-pengunjung-tak-ada-riuh-rendah-di-kafe-sunyi-eemT ","sumber")</f>
        <v>sumber</v>
      </c>
      <c r="G152" s="130" t="str">
        <f t="shared" si="0"/>
        <v>lokasi</v>
      </c>
      <c r="H152" s="127">
        <v>972</v>
      </c>
      <c r="I152" s="33">
        <v>2</v>
      </c>
      <c r="J152" s="128">
        <v>2</v>
      </c>
      <c r="K152" s="131" t="s">
        <v>2223</v>
      </c>
      <c r="L152" s="33">
        <v>0</v>
      </c>
      <c r="M152" s="33">
        <v>0</v>
      </c>
      <c r="N152" s="132">
        <v>0</v>
      </c>
      <c r="O152" s="33">
        <v>0</v>
      </c>
      <c r="P152" s="33">
        <v>0</v>
      </c>
      <c r="Q152" s="33" t="s">
        <v>178</v>
      </c>
      <c r="R152" s="33" t="s">
        <v>160</v>
      </c>
      <c r="S152" s="133"/>
      <c r="T152" s="33">
        <v>0</v>
      </c>
      <c r="U152" s="33">
        <v>0</v>
      </c>
      <c r="V152" s="33">
        <v>0</v>
      </c>
      <c r="W152" s="24"/>
      <c r="X152" s="24"/>
      <c r="Y152" s="33"/>
    </row>
    <row r="153" spans="1:25" ht="14.4">
      <c r="A153" s="135">
        <v>1</v>
      </c>
      <c r="B153" s="155" t="s">
        <v>2224</v>
      </c>
      <c r="C153" s="137">
        <v>153</v>
      </c>
      <c r="D153" s="138">
        <v>1</v>
      </c>
      <c r="E153" s="154">
        <v>43592</v>
      </c>
      <c r="F153" s="139" t="str">
        <f>HYPERLINK("https://news.detik.com/berita/d-4612195/polres-bogor-jemput-wanita-pembawa-anjing-ke-masjid-sentul-di-rs-polri ","sumber")</f>
        <v>sumber</v>
      </c>
      <c r="G153" s="139" t="str">
        <f t="shared" si="0"/>
        <v>lokasi</v>
      </c>
      <c r="H153" s="136">
        <v>480</v>
      </c>
      <c r="I153" s="137">
        <v>1</v>
      </c>
      <c r="J153" s="138">
        <v>2</v>
      </c>
      <c r="K153" s="140" t="s">
        <v>2225</v>
      </c>
      <c r="L153" s="137">
        <v>0</v>
      </c>
      <c r="M153" s="137">
        <v>1</v>
      </c>
      <c r="N153" s="141">
        <v>0</v>
      </c>
      <c r="O153" s="137">
        <v>0</v>
      </c>
      <c r="P153" s="137">
        <v>0</v>
      </c>
      <c r="Q153" s="137" t="s">
        <v>21</v>
      </c>
      <c r="R153" s="137" t="s">
        <v>106</v>
      </c>
      <c r="S153" s="142"/>
      <c r="T153" s="137">
        <v>0</v>
      </c>
      <c r="U153" s="137">
        <v>0</v>
      </c>
      <c r="V153" s="137">
        <v>0</v>
      </c>
      <c r="W153" s="143"/>
      <c r="X153" s="143"/>
      <c r="Y153" s="137"/>
    </row>
    <row r="154" spans="1:25" ht="14.4">
      <c r="A154" s="148">
        <v>1</v>
      </c>
      <c r="B154" s="149" t="s">
        <v>2226</v>
      </c>
      <c r="C154" s="33">
        <v>154</v>
      </c>
      <c r="D154" s="128">
        <v>10</v>
      </c>
      <c r="E154" s="128" t="s">
        <v>613</v>
      </c>
      <c r="F154" s="130" t="str">
        <f>HYPERLINK("https://difabel.tempo.co/read/1224105/tempat-rehabilitasi-sosial-terbaik-untuk-anak-disabilitas ","sumber")</f>
        <v>sumber</v>
      </c>
      <c r="G154" s="130" t="str">
        <f t="shared" si="0"/>
        <v>lokasi</v>
      </c>
      <c r="H154" s="127">
        <v>227</v>
      </c>
      <c r="I154" s="33">
        <v>3</v>
      </c>
      <c r="J154" s="128">
        <v>2</v>
      </c>
      <c r="K154" s="131" t="s">
        <v>2227</v>
      </c>
      <c r="L154" s="33">
        <v>0</v>
      </c>
      <c r="M154" s="33">
        <v>0</v>
      </c>
      <c r="N154" s="132">
        <v>0</v>
      </c>
      <c r="O154" s="33">
        <v>0</v>
      </c>
      <c r="P154" s="33">
        <v>0</v>
      </c>
      <c r="Q154" s="33">
        <v>0</v>
      </c>
      <c r="R154" s="33">
        <v>1</v>
      </c>
      <c r="S154" s="133"/>
      <c r="T154" s="33">
        <v>0</v>
      </c>
      <c r="U154" s="33">
        <v>0</v>
      </c>
      <c r="V154" s="33">
        <v>1</v>
      </c>
      <c r="W154" s="24"/>
      <c r="X154" s="24"/>
      <c r="Y154" s="33"/>
    </row>
    <row r="155" spans="1:25" ht="14.4">
      <c r="A155" s="111">
        <v>2</v>
      </c>
      <c r="B155" s="112" t="s">
        <v>2228</v>
      </c>
      <c r="C155" s="25">
        <v>155</v>
      </c>
      <c r="D155" s="113">
        <v>8</v>
      </c>
      <c r="E155" s="113" t="s">
        <v>2229</v>
      </c>
      <c r="F155" s="115" t="str">
        <f>HYPERLINK("https://www.suara.com/news/2019/07/30/110631/praperadilan-kivlan-zein-ditolak ","sumber")</f>
        <v>sumber</v>
      </c>
      <c r="G155" s="115" t="str">
        <f t="shared" si="0"/>
        <v>lokasi</v>
      </c>
      <c r="H155" s="112">
        <v>257</v>
      </c>
      <c r="I155" s="26"/>
      <c r="J155" s="113">
        <v>2</v>
      </c>
      <c r="K155" s="124"/>
      <c r="L155" s="26"/>
      <c r="M155" s="26"/>
      <c r="N155" s="26"/>
      <c r="O155" s="26"/>
      <c r="P155" s="26"/>
      <c r="Q155" s="26"/>
      <c r="R155" s="26"/>
      <c r="S155" s="124"/>
      <c r="T155" s="26"/>
      <c r="U155" s="26"/>
      <c r="V155" s="26"/>
      <c r="W155" s="26"/>
      <c r="X155" s="26"/>
      <c r="Y155" s="25"/>
    </row>
    <row r="156" spans="1:25" ht="14.4">
      <c r="A156" s="148">
        <v>1</v>
      </c>
      <c r="B156" s="149" t="s">
        <v>2230</v>
      </c>
      <c r="C156" s="33">
        <v>156</v>
      </c>
      <c r="D156" s="128">
        <v>10</v>
      </c>
      <c r="E156" s="128" t="s">
        <v>2231</v>
      </c>
      <c r="F156" s="130" t="str">
        <f>HYPERLINK("https://difabel.tempo.co/read/1218293/bravo-komunitas-relawan-pendamping-penyandang-disabilitas ","sumber")</f>
        <v>sumber</v>
      </c>
      <c r="G156" s="130" t="str">
        <f t="shared" si="0"/>
        <v>lokasi</v>
      </c>
      <c r="H156" s="127">
        <v>615</v>
      </c>
      <c r="I156" s="33">
        <v>2</v>
      </c>
      <c r="J156" s="128">
        <v>2</v>
      </c>
      <c r="K156" s="131" t="s">
        <v>2232</v>
      </c>
      <c r="L156" s="33">
        <v>0</v>
      </c>
      <c r="M156" s="33">
        <v>0</v>
      </c>
      <c r="N156" s="132">
        <v>0</v>
      </c>
      <c r="O156" s="33">
        <v>0</v>
      </c>
      <c r="P156" s="33">
        <v>0</v>
      </c>
      <c r="Q156" s="33" t="s">
        <v>2233</v>
      </c>
      <c r="R156" s="33" t="s">
        <v>360</v>
      </c>
      <c r="S156" s="133"/>
      <c r="T156" s="33">
        <v>0</v>
      </c>
      <c r="U156" s="33">
        <v>0</v>
      </c>
      <c r="V156" s="33">
        <v>0</v>
      </c>
      <c r="W156" s="24"/>
      <c r="X156" s="24"/>
      <c r="Y156" s="33"/>
    </row>
    <row r="157" spans="1:25" ht="14.4">
      <c r="A157" s="117">
        <v>1</v>
      </c>
      <c r="B157" s="118" t="s">
        <v>2234</v>
      </c>
      <c r="C157" s="22">
        <v>157</v>
      </c>
      <c r="D157" s="119">
        <v>6</v>
      </c>
      <c r="E157" s="120">
        <v>43654</v>
      </c>
      <c r="F157" s="121" t="str">
        <f>HYPERLINK("https://regional.kompas.com/read/2019/08/07/12314331/lbh-padang-tunda-gugatan-hukum-kasus-dokter-romi-ini-alasannya ","sumber")</f>
        <v>sumber</v>
      </c>
      <c r="G157" s="121" t="str">
        <f t="shared" si="0"/>
        <v>lokasi</v>
      </c>
      <c r="H157" s="118">
        <v>252</v>
      </c>
      <c r="I157" s="22">
        <v>4</v>
      </c>
      <c r="J157" s="119">
        <v>2</v>
      </c>
      <c r="K157" s="123" t="s">
        <v>611</v>
      </c>
      <c r="L157" s="22">
        <v>0</v>
      </c>
      <c r="M157" s="22">
        <v>0</v>
      </c>
      <c r="N157" s="125">
        <v>0</v>
      </c>
      <c r="O157" s="22">
        <v>0</v>
      </c>
      <c r="P157" s="22">
        <v>0</v>
      </c>
      <c r="Q157" s="22">
        <v>0</v>
      </c>
      <c r="R157" s="22">
        <v>1</v>
      </c>
      <c r="S157" s="134"/>
      <c r="T157" s="22">
        <v>0</v>
      </c>
      <c r="U157" s="22">
        <v>0</v>
      </c>
      <c r="V157" s="22">
        <v>0</v>
      </c>
      <c r="W157" s="23"/>
      <c r="X157" s="23"/>
      <c r="Y157" s="23"/>
    </row>
    <row r="158" spans="1:25" ht="14.4">
      <c r="A158" s="111">
        <v>2</v>
      </c>
      <c r="B158" s="112" t="s">
        <v>2235</v>
      </c>
      <c r="C158" s="25">
        <v>158</v>
      </c>
      <c r="D158" s="113">
        <v>5</v>
      </c>
      <c r="E158" s="114">
        <v>43654</v>
      </c>
      <c r="F158" s="115" t="str">
        <f>HYPERLINK("https://tirto.id/i-wanna-hear-your-song-school-2017-dan-drama-lain-kim-sejeong-efPm ","sumber")</f>
        <v>sumber</v>
      </c>
      <c r="G158" s="115" t="str">
        <f t="shared" si="0"/>
        <v>lokasi</v>
      </c>
      <c r="H158" s="112">
        <v>672</v>
      </c>
      <c r="I158" s="26"/>
      <c r="J158" s="113">
        <v>2</v>
      </c>
      <c r="K158" s="124"/>
      <c r="L158" s="26"/>
      <c r="M158" s="26"/>
      <c r="N158" s="26"/>
      <c r="O158" s="26"/>
      <c r="P158" s="26"/>
      <c r="Q158" s="26"/>
      <c r="R158" s="26"/>
      <c r="S158" s="124"/>
      <c r="T158" s="26"/>
      <c r="U158" s="26"/>
      <c r="V158" s="26"/>
      <c r="W158" s="26"/>
      <c r="X158" s="26"/>
      <c r="Y158" s="25"/>
    </row>
    <row r="159" spans="1:25" ht="14.4">
      <c r="A159" s="148">
        <v>1</v>
      </c>
      <c r="B159" s="149" t="s">
        <v>2236</v>
      </c>
      <c r="C159" s="33">
        <v>159</v>
      </c>
      <c r="D159" s="128">
        <v>4</v>
      </c>
      <c r="E159" s="129">
        <v>43685</v>
      </c>
      <c r="F159" s="130" t="str">
        <f>HYPERLINK("https://www.liputan6.com/news/read/4032575/bupati-muzni-zakaria-diperiksa-ombudsman-terkait-nasib-dokter-romi ","sumber")</f>
        <v>sumber</v>
      </c>
      <c r="G159" s="130" t="str">
        <f t="shared" si="0"/>
        <v>lokasi</v>
      </c>
      <c r="H159" s="127">
        <v>195</v>
      </c>
      <c r="I159" s="33">
        <v>4</v>
      </c>
      <c r="J159" s="128">
        <v>2</v>
      </c>
      <c r="K159" s="131" t="s">
        <v>2237</v>
      </c>
      <c r="L159" s="33">
        <v>0</v>
      </c>
      <c r="M159" s="33">
        <v>0</v>
      </c>
      <c r="N159" s="132">
        <v>0</v>
      </c>
      <c r="O159" s="33">
        <v>0</v>
      </c>
      <c r="P159" s="33">
        <v>0</v>
      </c>
      <c r="Q159" s="33">
        <v>0</v>
      </c>
      <c r="R159" s="33">
        <v>1</v>
      </c>
      <c r="S159" s="133"/>
      <c r="T159" s="33">
        <v>0</v>
      </c>
      <c r="U159" s="33">
        <v>0</v>
      </c>
      <c r="V159" s="33">
        <v>0</v>
      </c>
      <c r="W159" s="24"/>
      <c r="X159" s="24"/>
      <c r="Y159" s="33"/>
    </row>
    <row r="160" spans="1:25" ht="14.4">
      <c r="A160" s="117">
        <v>1</v>
      </c>
      <c r="B160" s="118" t="s">
        <v>2238</v>
      </c>
      <c r="C160" s="22">
        <v>160</v>
      </c>
      <c r="D160" s="119">
        <v>2</v>
      </c>
      <c r="E160" s="120">
        <v>43807</v>
      </c>
      <c r="F160" s="121" t="str">
        <f>HYPERLINK("https://www.cnnindonesia.com/nasional/20190808150443-12-419561/polisi-sebut-kuli-pembunuh-istri-tak-alami-gangguan-jiwa ","sumber")</f>
        <v>sumber</v>
      </c>
      <c r="G160" s="121" t="str">
        <f t="shared" si="0"/>
        <v>lokasi</v>
      </c>
      <c r="H160" s="118">
        <v>236</v>
      </c>
      <c r="I160" s="22">
        <v>1</v>
      </c>
      <c r="J160" s="119">
        <v>2</v>
      </c>
      <c r="K160" s="123" t="s">
        <v>2239</v>
      </c>
      <c r="L160" s="22">
        <v>0</v>
      </c>
      <c r="M160" s="22">
        <v>-1</v>
      </c>
      <c r="N160" s="125">
        <v>0</v>
      </c>
      <c r="O160" s="22">
        <v>0</v>
      </c>
      <c r="P160" s="22">
        <v>0</v>
      </c>
      <c r="Q160" s="22">
        <v>0</v>
      </c>
      <c r="R160" s="22">
        <v>0</v>
      </c>
      <c r="S160" s="134"/>
      <c r="T160" s="22">
        <v>0</v>
      </c>
      <c r="U160" s="22">
        <v>0</v>
      </c>
      <c r="V160" s="22">
        <v>0</v>
      </c>
      <c r="W160" s="23"/>
      <c r="X160" s="23"/>
      <c r="Y160" s="23"/>
    </row>
    <row r="161" spans="1:25" ht="14.4">
      <c r="A161" s="111">
        <v>2</v>
      </c>
      <c r="B161" s="112" t="s">
        <v>2240</v>
      </c>
      <c r="C161" s="25">
        <v>161</v>
      </c>
      <c r="D161" s="113">
        <v>1</v>
      </c>
      <c r="E161" s="114">
        <v>43807</v>
      </c>
      <c r="F161" s="115" t="str">
        <f>HYPERLINK("https://news.detik.com/berita/d-4662341/karnaval-17-agustus-2019-ini-5-tema-kostum-yang-bisa-jadi-pilihan ","sumber")</f>
        <v>sumber</v>
      </c>
      <c r="G161" s="115" t="str">
        <f t="shared" si="0"/>
        <v>lokasi</v>
      </c>
      <c r="H161" s="112">
        <v>361</v>
      </c>
      <c r="I161" s="26"/>
      <c r="J161" s="113">
        <v>2</v>
      </c>
      <c r="K161" s="124"/>
      <c r="L161" s="26"/>
      <c r="M161" s="26"/>
      <c r="N161" s="26"/>
      <c r="O161" s="26"/>
      <c r="P161" s="26"/>
      <c r="Q161" s="26"/>
      <c r="R161" s="26"/>
      <c r="S161" s="124"/>
      <c r="T161" s="26"/>
      <c r="U161" s="26"/>
      <c r="V161" s="26"/>
      <c r="W161" s="26"/>
      <c r="X161" s="26"/>
      <c r="Y161" s="25"/>
    </row>
    <row r="162" spans="1:25" ht="14.4">
      <c r="A162" s="148">
        <v>1</v>
      </c>
      <c r="B162" s="149" t="s">
        <v>2241</v>
      </c>
      <c r="C162" s="33">
        <v>162</v>
      </c>
      <c r="D162" s="128">
        <v>9</v>
      </c>
      <c r="E162" s="129">
        <v>43624</v>
      </c>
      <c r="F162" s="130" t="str">
        <f>HYPERLINK("https://nasional.republika.co.id/berita/pvt5dj335/pengamat-polemik-drg-romi-hanya-puncak-gunung-es ","sumber")</f>
        <v>sumber</v>
      </c>
      <c r="G162" s="130" t="str">
        <f t="shared" si="0"/>
        <v>lokasi</v>
      </c>
      <c r="H162" s="127">
        <v>342</v>
      </c>
      <c r="I162" s="33">
        <v>4</v>
      </c>
      <c r="J162" s="128">
        <v>2</v>
      </c>
      <c r="K162" s="131" t="s">
        <v>2242</v>
      </c>
      <c r="L162" s="33">
        <v>0</v>
      </c>
      <c r="M162" s="33">
        <v>0</v>
      </c>
      <c r="N162" s="132">
        <v>0</v>
      </c>
      <c r="O162" s="33">
        <v>0</v>
      </c>
      <c r="P162" s="33">
        <v>0</v>
      </c>
      <c r="Q162" s="33">
        <v>0</v>
      </c>
      <c r="R162" s="33">
        <v>1</v>
      </c>
      <c r="S162" s="133"/>
      <c r="T162" s="33">
        <v>0</v>
      </c>
      <c r="U162" s="33">
        <v>0</v>
      </c>
      <c r="V162" s="33">
        <v>0</v>
      </c>
      <c r="W162" s="24"/>
      <c r="X162" s="24"/>
      <c r="Y162" s="33"/>
    </row>
    <row r="163" spans="1:25" ht="14.4">
      <c r="A163" s="111">
        <v>2</v>
      </c>
      <c r="B163" s="112" t="s">
        <v>2243</v>
      </c>
      <c r="C163" s="25">
        <v>163</v>
      </c>
      <c r="D163" s="113">
        <v>3</v>
      </c>
      <c r="E163" s="113" t="s">
        <v>268</v>
      </c>
      <c r="F163" s="115" t="str">
        <f>HYPERLINK("https://celebrity.okezone.com/read/2019/08/18/205/2093582/gebrak-panggung-nyalakanindonesia-ran-ajak-penonton-bernyanyi ","sumber")</f>
        <v>sumber</v>
      </c>
      <c r="G163" s="115" t="str">
        <f t="shared" si="0"/>
        <v>lokasi</v>
      </c>
      <c r="H163" s="112">
        <v>265</v>
      </c>
      <c r="I163" s="26"/>
      <c r="J163" s="113">
        <v>2</v>
      </c>
      <c r="K163" s="124"/>
      <c r="L163" s="26"/>
      <c r="M163" s="26"/>
      <c r="N163" s="26"/>
      <c r="O163" s="26"/>
      <c r="P163" s="26"/>
      <c r="Q163" s="26"/>
      <c r="R163" s="26"/>
      <c r="S163" s="124"/>
      <c r="T163" s="26"/>
      <c r="U163" s="26"/>
      <c r="V163" s="26"/>
      <c r="W163" s="26"/>
      <c r="X163" s="26"/>
      <c r="Y163" s="25"/>
    </row>
    <row r="164" spans="1:25" ht="14.4">
      <c r="A164" s="148">
        <v>1</v>
      </c>
      <c r="B164" s="149" t="s">
        <v>2244</v>
      </c>
      <c r="C164" s="33">
        <v>164</v>
      </c>
      <c r="D164" s="128">
        <v>8</v>
      </c>
      <c r="E164" s="129">
        <v>43777</v>
      </c>
      <c r="F164" s="130" t="str">
        <f>HYPERLINK("https://www.suara.com/news/2019/08/11/153708/belajar-bahasa-isyarat-autodidak-farid-azis-ingin-tunarungu-paham-agama ","sumber")</f>
        <v>sumber</v>
      </c>
      <c r="G164" s="130" t="str">
        <f t="shared" si="0"/>
        <v>lokasi</v>
      </c>
      <c r="H164" s="127">
        <v>435</v>
      </c>
      <c r="I164" s="33">
        <v>2</v>
      </c>
      <c r="J164" s="128">
        <v>2</v>
      </c>
      <c r="K164" s="131" t="s">
        <v>2245</v>
      </c>
      <c r="L164" s="33">
        <v>0</v>
      </c>
      <c r="M164" s="33">
        <v>0</v>
      </c>
      <c r="N164" s="132">
        <v>0</v>
      </c>
      <c r="O164" s="33">
        <v>0</v>
      </c>
      <c r="P164" s="33">
        <v>0</v>
      </c>
      <c r="Q164" s="33">
        <v>0</v>
      </c>
      <c r="R164" s="33">
        <v>1</v>
      </c>
      <c r="S164" s="133"/>
      <c r="T164" s="33">
        <v>0</v>
      </c>
      <c r="U164" s="33">
        <v>0</v>
      </c>
      <c r="V164" s="33">
        <v>0</v>
      </c>
      <c r="W164" s="24"/>
      <c r="X164" s="24"/>
      <c r="Y164" s="33"/>
    </row>
    <row r="165" spans="1:25" ht="14.4">
      <c r="A165" s="148">
        <v>1</v>
      </c>
      <c r="B165" s="149" t="s">
        <v>2246</v>
      </c>
      <c r="C165" s="33">
        <v>165</v>
      </c>
      <c r="D165" s="128">
        <v>4</v>
      </c>
      <c r="E165" s="129">
        <v>43807</v>
      </c>
      <c r="F165" s="130" t="str">
        <f>HYPERLINK("https://www.liputan6.com/news/read/4036072/5-hal-yang-perlu-anda-tahu-tentang-perluasan-ganjil-genap-di-jakarta ","sumber")</f>
        <v>sumber</v>
      </c>
      <c r="G165" s="130" t="str">
        <f t="shared" si="0"/>
        <v>lokasi</v>
      </c>
      <c r="H165" s="127">
        <v>1162</v>
      </c>
      <c r="I165" s="33">
        <v>4</v>
      </c>
      <c r="J165" s="128">
        <v>2</v>
      </c>
      <c r="K165" s="131" t="s">
        <v>2247</v>
      </c>
      <c r="L165" s="33">
        <v>0</v>
      </c>
      <c r="M165" s="33">
        <v>0</v>
      </c>
      <c r="N165" s="132">
        <v>0</v>
      </c>
      <c r="O165" s="33">
        <v>0</v>
      </c>
      <c r="P165" s="33">
        <v>0</v>
      </c>
      <c r="Q165" s="33" t="s">
        <v>170</v>
      </c>
      <c r="R165" s="33" t="s">
        <v>170</v>
      </c>
      <c r="S165" s="133"/>
      <c r="T165" s="33">
        <v>0</v>
      </c>
      <c r="U165" s="33">
        <v>0</v>
      </c>
      <c r="V165" s="33">
        <v>1</v>
      </c>
      <c r="W165" s="24"/>
      <c r="X165" s="24"/>
      <c r="Y165" s="33"/>
    </row>
    <row r="166" spans="1:25" ht="14.4">
      <c r="A166" s="117">
        <v>1</v>
      </c>
      <c r="B166" s="118" t="s">
        <v>2248</v>
      </c>
      <c r="C166" s="22">
        <v>166</v>
      </c>
      <c r="D166" s="119">
        <v>4</v>
      </c>
      <c r="E166" s="119" t="s">
        <v>17</v>
      </c>
      <c r="F166" s="121" t="str">
        <f>HYPERLINK("https://www.liputan6.com/health/read/4042005/sarana-bagi-penyandang-disabilitas-di-faskes-belum-memadai ","sumber")</f>
        <v>sumber</v>
      </c>
      <c r="G166" s="121" t="str">
        <f t="shared" si="0"/>
        <v>lokasi</v>
      </c>
      <c r="H166" s="118">
        <v>299</v>
      </c>
      <c r="I166" s="22">
        <v>4</v>
      </c>
      <c r="J166" s="119">
        <v>2</v>
      </c>
      <c r="K166" s="123" t="s">
        <v>2249</v>
      </c>
      <c r="L166" s="22">
        <v>0</v>
      </c>
      <c r="M166" s="22">
        <v>0</v>
      </c>
      <c r="N166" s="125">
        <v>0</v>
      </c>
      <c r="O166" s="22">
        <v>0</v>
      </c>
      <c r="P166" s="22">
        <v>0</v>
      </c>
      <c r="Q166" s="22" t="s">
        <v>29</v>
      </c>
      <c r="R166" s="22" t="s">
        <v>160</v>
      </c>
      <c r="S166" s="134"/>
      <c r="T166" s="22">
        <v>0</v>
      </c>
      <c r="U166" s="22">
        <v>0</v>
      </c>
      <c r="V166" s="22">
        <v>1</v>
      </c>
      <c r="W166" s="23"/>
      <c r="X166" s="23"/>
      <c r="Y166" s="23"/>
    </row>
    <row r="167" spans="1:25" ht="14.4">
      <c r="A167" s="148">
        <v>1</v>
      </c>
      <c r="B167" s="149" t="s">
        <v>2250</v>
      </c>
      <c r="C167" s="33">
        <v>167</v>
      </c>
      <c r="D167" s="128">
        <v>4</v>
      </c>
      <c r="E167" s="129">
        <v>43746</v>
      </c>
      <c r="F167" s="130" t="str">
        <f>HYPERLINK("https://www.liputan6.com/news/read/4034697/masjid-istiqlal-sediakan-saf-khusus-untuk-difabel-saat-salat-idul-adha ","sumber")</f>
        <v>sumber</v>
      </c>
      <c r="G167" s="130" t="str">
        <f t="shared" si="0"/>
        <v>lokasi</v>
      </c>
      <c r="H167" s="127">
        <v>383</v>
      </c>
      <c r="I167" s="33">
        <v>3</v>
      </c>
      <c r="J167" s="128">
        <v>2</v>
      </c>
      <c r="K167" s="131" t="s">
        <v>2251</v>
      </c>
      <c r="L167" s="33">
        <v>0</v>
      </c>
      <c r="M167" s="33">
        <v>0</v>
      </c>
      <c r="N167" s="132">
        <v>0</v>
      </c>
      <c r="O167" s="33">
        <v>0</v>
      </c>
      <c r="P167" s="33">
        <v>0</v>
      </c>
      <c r="Q167" s="33" t="s">
        <v>29</v>
      </c>
      <c r="R167" s="33" t="s">
        <v>68</v>
      </c>
      <c r="S167" s="133"/>
      <c r="T167" s="33">
        <v>0</v>
      </c>
      <c r="U167" s="33">
        <v>0</v>
      </c>
      <c r="V167" s="33">
        <v>0</v>
      </c>
      <c r="W167" s="24"/>
      <c r="X167" s="24"/>
      <c r="Y167" s="33"/>
    </row>
    <row r="168" spans="1:25" ht="14.4">
      <c r="A168" s="135">
        <v>1</v>
      </c>
      <c r="B168" s="155" t="s">
        <v>2252</v>
      </c>
      <c r="C168" s="137">
        <v>168</v>
      </c>
      <c r="D168" s="138">
        <v>5</v>
      </c>
      <c r="E168" s="138" t="s">
        <v>9</v>
      </c>
      <c r="F168" s="139" t="str">
        <f>HYPERLINK("https://tirto.id/alasan-lion-soal-penumpang-difabel-diturunkan-dari-pesawat-wings-egWG ","sumber")</f>
        <v>sumber</v>
      </c>
      <c r="G168" s="139" t="str">
        <f t="shared" si="0"/>
        <v>lokasi</v>
      </c>
      <c r="H168" s="136">
        <v>319</v>
      </c>
      <c r="I168" s="137">
        <v>1</v>
      </c>
      <c r="J168" s="138">
        <v>2</v>
      </c>
      <c r="K168" s="140" t="s">
        <v>2253</v>
      </c>
      <c r="L168" s="137">
        <v>0</v>
      </c>
      <c r="M168" s="137">
        <v>-1</v>
      </c>
      <c r="N168" s="141">
        <v>0</v>
      </c>
      <c r="O168" s="137">
        <v>0</v>
      </c>
      <c r="P168" s="137">
        <v>0</v>
      </c>
      <c r="Q168" s="137">
        <v>0</v>
      </c>
      <c r="R168" s="137">
        <v>0</v>
      </c>
      <c r="S168" s="142"/>
      <c r="T168" s="137">
        <v>0</v>
      </c>
      <c r="U168" s="137">
        <v>0</v>
      </c>
      <c r="V168" s="137">
        <v>0</v>
      </c>
      <c r="W168" s="143"/>
      <c r="X168" s="143"/>
      <c r="Y168" s="137"/>
    </row>
    <row r="169" spans="1:25" ht="14.4">
      <c r="A169" s="117">
        <v>1</v>
      </c>
      <c r="B169" s="118" t="s">
        <v>2254</v>
      </c>
      <c r="C169" s="22">
        <v>169</v>
      </c>
      <c r="D169" s="119">
        <v>9</v>
      </c>
      <c r="E169" s="120">
        <v>43505</v>
      </c>
      <c r="F169" s="121" t="str">
        <f>HYPERLINK("https://internasional.republika.co.id/berita/px6yra/zebra-cross-tiga-dimensi-di-australia-bagaimana-kondisi-pejalan-kaki-di-indonesia ","sumber")</f>
        <v>sumber</v>
      </c>
      <c r="G169" s="121" t="str">
        <f t="shared" si="0"/>
        <v>lokasi</v>
      </c>
      <c r="H169" s="118">
        <v>674</v>
      </c>
      <c r="I169" s="22">
        <v>4</v>
      </c>
      <c r="J169" s="119">
        <v>2</v>
      </c>
      <c r="K169" s="123" t="s">
        <v>2255</v>
      </c>
      <c r="L169" s="22">
        <v>0</v>
      </c>
      <c r="M169" s="22">
        <v>0</v>
      </c>
      <c r="N169" s="125">
        <v>0</v>
      </c>
      <c r="O169" s="22">
        <v>0</v>
      </c>
      <c r="P169" s="22">
        <v>0</v>
      </c>
      <c r="Q169" s="22" t="s">
        <v>21</v>
      </c>
      <c r="R169" s="22" t="s">
        <v>106</v>
      </c>
      <c r="S169" s="134"/>
      <c r="T169" s="22">
        <v>0</v>
      </c>
      <c r="U169" s="22">
        <v>0</v>
      </c>
      <c r="V169" s="22">
        <v>1</v>
      </c>
      <c r="W169" s="23"/>
      <c r="X169" s="23"/>
      <c r="Y169" s="23"/>
    </row>
    <row r="170" spans="1:25" ht="14.4">
      <c r="A170" s="117">
        <v>1</v>
      </c>
      <c r="B170" s="118" t="s">
        <v>2256</v>
      </c>
      <c r="C170" s="22">
        <v>170</v>
      </c>
      <c r="D170" s="119">
        <v>3</v>
      </c>
      <c r="E170" s="120">
        <v>43533</v>
      </c>
      <c r="F170" s="121" t="str">
        <f>HYPERLINK("https://celebrity.okezone.com/read/2019/09/02/33/2099661/dicibir-netizen-soal-pernikahannya-tertunda-begini-reaksi-rina-nose ","sumber")</f>
        <v>sumber</v>
      </c>
      <c r="G170" s="121" t="str">
        <f t="shared" si="0"/>
        <v>lokasi</v>
      </c>
      <c r="H170" s="118">
        <v>333</v>
      </c>
      <c r="I170" s="22">
        <v>2</v>
      </c>
      <c r="J170" s="119">
        <v>2</v>
      </c>
      <c r="K170" s="123" t="s">
        <v>2257</v>
      </c>
      <c r="L170" s="22">
        <v>0</v>
      </c>
      <c r="M170" s="22">
        <v>0</v>
      </c>
      <c r="N170" s="125">
        <v>0</v>
      </c>
      <c r="O170" s="22">
        <v>0</v>
      </c>
      <c r="P170" s="22">
        <v>0</v>
      </c>
      <c r="Q170" s="22">
        <v>0</v>
      </c>
      <c r="R170" s="22">
        <v>0</v>
      </c>
      <c r="S170" s="134"/>
      <c r="T170" s="22">
        <v>0</v>
      </c>
      <c r="U170" s="22">
        <v>0</v>
      </c>
      <c r="V170" s="22">
        <v>0</v>
      </c>
      <c r="W170" s="23"/>
      <c r="X170" s="23"/>
      <c r="Y170" s="23"/>
    </row>
    <row r="171" spans="1:25" ht="14.4">
      <c r="A171" s="111">
        <v>2</v>
      </c>
      <c r="B171" s="112" t="s">
        <v>2258</v>
      </c>
      <c r="C171" s="25">
        <v>171</v>
      </c>
      <c r="D171" s="113">
        <v>1</v>
      </c>
      <c r="E171" s="114">
        <v>43564</v>
      </c>
      <c r="F171" s="115" t="str">
        <f>HYPERLINK("https://hot.detik.com/art/d-4692801/setelah-jokowi-juga-ahok-agan-harahap-ingin-manipulasi-donald-trump ","sumber")</f>
        <v>sumber</v>
      </c>
      <c r="G171" s="115" t="str">
        <f t="shared" si="0"/>
        <v>lokasi</v>
      </c>
      <c r="H171" s="112">
        <v>1809</v>
      </c>
      <c r="I171" s="26"/>
      <c r="J171" s="113">
        <v>2</v>
      </c>
      <c r="K171" s="124"/>
      <c r="L171" s="26"/>
      <c r="M171" s="26"/>
      <c r="N171" s="26"/>
      <c r="O171" s="26"/>
      <c r="P171" s="26"/>
      <c r="Q171" s="26"/>
      <c r="R171" s="26"/>
      <c r="S171" s="124"/>
      <c r="T171" s="26"/>
      <c r="U171" s="26"/>
      <c r="V171" s="26"/>
      <c r="W171" s="26"/>
      <c r="X171" s="26"/>
      <c r="Y171" s="25"/>
    </row>
    <row r="172" spans="1:25" ht="14.4">
      <c r="A172" s="117">
        <v>1</v>
      </c>
      <c r="B172" s="118" t="s">
        <v>2259</v>
      </c>
      <c r="C172" s="22">
        <v>172</v>
      </c>
      <c r="D172" s="119">
        <v>8</v>
      </c>
      <c r="E172" s="119" t="s">
        <v>34</v>
      </c>
      <c r="F172" s="121" t="str">
        <f>HYPERLINK("https://www.suara.com/news/2019/09/22/114700/pengguna-medsos-rentan-dipenjara-usman-hamid-ungkap-alasan-tolak-rkuhp ","sumber")</f>
        <v>sumber</v>
      </c>
      <c r="G172" s="121" t="str">
        <f t="shared" si="0"/>
        <v>lokasi</v>
      </c>
      <c r="H172" s="118">
        <v>525</v>
      </c>
      <c r="I172" s="22">
        <v>4</v>
      </c>
      <c r="J172" s="119">
        <v>2</v>
      </c>
      <c r="K172" s="123" t="s">
        <v>2260</v>
      </c>
      <c r="L172" s="22">
        <v>0</v>
      </c>
      <c r="M172" s="22">
        <v>0</v>
      </c>
      <c r="N172" s="125">
        <v>0</v>
      </c>
      <c r="O172" s="22">
        <v>0</v>
      </c>
      <c r="P172" s="22">
        <v>0</v>
      </c>
      <c r="Q172" s="22">
        <v>0</v>
      </c>
      <c r="R172" s="22">
        <v>1</v>
      </c>
      <c r="S172" s="134"/>
      <c r="T172" s="22">
        <v>0</v>
      </c>
      <c r="U172" s="22">
        <v>0</v>
      </c>
      <c r="V172" s="22">
        <v>1</v>
      </c>
      <c r="W172" s="23"/>
      <c r="X172" s="23"/>
      <c r="Y172" s="23"/>
    </row>
    <row r="173" spans="1:25" ht="14.4">
      <c r="A173" s="111">
        <v>2</v>
      </c>
      <c r="B173" s="112" t="s">
        <v>2261</v>
      </c>
      <c r="C173" s="25">
        <v>173</v>
      </c>
      <c r="D173" s="113">
        <v>1</v>
      </c>
      <c r="E173" s="113" t="s">
        <v>305</v>
      </c>
      <c r="F173" s="115" t="str">
        <f>HYPERLINK("https://hot.detik.com/celeb/d-4723114/melody-prima-private-akun-ig-usai-dikritik-komentari-demo-mahasiswa ","sumber")</f>
        <v>sumber</v>
      </c>
      <c r="G173" s="115" t="str">
        <f t="shared" si="0"/>
        <v>lokasi</v>
      </c>
      <c r="H173" s="112">
        <v>491</v>
      </c>
      <c r="I173" s="26"/>
      <c r="J173" s="113">
        <v>2</v>
      </c>
      <c r="K173" s="124"/>
      <c r="L173" s="26"/>
      <c r="M173" s="26"/>
      <c r="N173" s="26"/>
      <c r="O173" s="26"/>
      <c r="P173" s="26"/>
      <c r="Q173" s="26"/>
      <c r="R173" s="26"/>
      <c r="S173" s="124"/>
      <c r="T173" s="26"/>
      <c r="U173" s="26"/>
      <c r="V173" s="26"/>
      <c r="W173" s="26"/>
      <c r="X173" s="26"/>
      <c r="Y173" s="26"/>
    </row>
    <row r="174" spans="1:25" ht="14.4">
      <c r="A174" s="117">
        <v>1</v>
      </c>
      <c r="B174" s="118" t="s">
        <v>2262</v>
      </c>
      <c r="C174" s="22">
        <v>174</v>
      </c>
      <c r="D174" s="119">
        <v>10</v>
      </c>
      <c r="E174" s="119" t="s">
        <v>305</v>
      </c>
      <c r="F174" s="121" t="str">
        <f>HYPERLINK("https://dunia.tempo.co/read/1252704/balita-penyandang-disabilitas-ditolak-penitipan-anak ","sumber")</f>
        <v>sumber</v>
      </c>
      <c r="G174" s="121" t="str">
        <f t="shared" si="0"/>
        <v>lokasi</v>
      </c>
      <c r="H174" s="118">
        <v>306</v>
      </c>
      <c r="I174" s="22">
        <v>1</v>
      </c>
      <c r="J174" s="119">
        <v>2</v>
      </c>
      <c r="K174" s="123" t="s">
        <v>2263</v>
      </c>
      <c r="L174" s="22">
        <v>0</v>
      </c>
      <c r="M174" s="22">
        <v>-1</v>
      </c>
      <c r="N174" s="125">
        <v>0</v>
      </c>
      <c r="O174" s="22">
        <v>0</v>
      </c>
      <c r="P174" s="22">
        <v>0</v>
      </c>
      <c r="Q174" s="22" t="s">
        <v>29</v>
      </c>
      <c r="R174" s="22" t="s">
        <v>160</v>
      </c>
      <c r="S174" s="134"/>
      <c r="T174" s="22">
        <v>0</v>
      </c>
      <c r="U174" s="22">
        <v>0</v>
      </c>
      <c r="V174" s="22">
        <v>0</v>
      </c>
      <c r="W174" s="23"/>
      <c r="X174" s="23"/>
      <c r="Y174" s="23"/>
    </row>
    <row r="175" spans="1:25" ht="14.4">
      <c r="A175" s="126">
        <v>1</v>
      </c>
      <c r="B175" s="127" t="s">
        <v>1373</v>
      </c>
      <c r="C175" s="33">
        <v>175</v>
      </c>
      <c r="D175" s="128">
        <v>8</v>
      </c>
      <c r="E175" s="128" t="s">
        <v>649</v>
      </c>
      <c r="F175" s="130" t="str">
        <f>HYPERLINK("https://www.suara.com/health/2019/09/28/202123/kekurangan-oksigen-pada-bayi-baru-lahir-berisiko-alami-cacat-jangka-panjang ","sumber")</f>
        <v>sumber</v>
      </c>
      <c r="G175" s="130" t="str">
        <f t="shared" si="0"/>
        <v>lokasi</v>
      </c>
      <c r="H175" s="127">
        <v>207</v>
      </c>
      <c r="I175" s="33">
        <v>2</v>
      </c>
      <c r="J175" s="128">
        <v>2</v>
      </c>
      <c r="K175" s="167" t="s">
        <v>2264</v>
      </c>
      <c r="L175" s="33">
        <v>0</v>
      </c>
      <c r="M175" s="33">
        <v>0</v>
      </c>
      <c r="N175" s="132">
        <v>0</v>
      </c>
      <c r="O175" s="33">
        <v>0</v>
      </c>
      <c r="P175" s="33">
        <v>0</v>
      </c>
      <c r="Q175" s="33">
        <v>0</v>
      </c>
      <c r="R175" s="33">
        <v>0</v>
      </c>
      <c r="S175" s="133"/>
      <c r="T175" s="33">
        <v>0</v>
      </c>
      <c r="U175" s="33">
        <v>0</v>
      </c>
      <c r="V175" s="33">
        <v>1</v>
      </c>
      <c r="W175" s="24"/>
      <c r="X175" s="24"/>
      <c r="Y175" s="33"/>
    </row>
    <row r="176" spans="1:25" ht="14.4">
      <c r="A176" s="111">
        <v>2</v>
      </c>
      <c r="B176" s="112" t="s">
        <v>2265</v>
      </c>
      <c r="C176" s="25">
        <v>176</v>
      </c>
      <c r="D176" s="113">
        <v>10</v>
      </c>
      <c r="E176" s="114">
        <v>43647</v>
      </c>
      <c r="F176" s="115" t="str">
        <f>HYPERLINK("https://kolom.tempo.co/read/1162289/keajaiban-bernama-marie-kondo ","sumber")</f>
        <v>sumber</v>
      </c>
      <c r="G176" s="115" t="str">
        <f t="shared" si="0"/>
        <v>lokasi</v>
      </c>
      <c r="H176" s="112">
        <v>1303</v>
      </c>
      <c r="I176" s="26"/>
      <c r="J176" s="113">
        <v>3</v>
      </c>
      <c r="K176" s="124"/>
      <c r="L176" s="26"/>
      <c r="M176" s="26"/>
      <c r="N176" s="26"/>
      <c r="O176" s="26"/>
      <c r="P176" s="26"/>
      <c r="Q176" s="26"/>
      <c r="R176" s="26"/>
      <c r="S176" s="124"/>
      <c r="T176" s="26"/>
      <c r="U176" s="26"/>
      <c r="V176" s="26"/>
      <c r="W176" s="26"/>
      <c r="X176" s="26"/>
      <c r="Y176" s="25"/>
    </row>
    <row r="177" spans="1:25" ht="14.4">
      <c r="A177" s="117">
        <v>1</v>
      </c>
      <c r="B177" s="118" t="s">
        <v>2266</v>
      </c>
      <c r="C177" s="22">
        <v>177</v>
      </c>
      <c r="D177" s="119">
        <v>7</v>
      </c>
      <c r="E177" s="120">
        <v>43678</v>
      </c>
      <c r="F177" s="121" t="str">
        <f>HYPERLINK("http://www.tribunnews.com/mpr-ri/2019/01/07/paham-menyimpang-di-kalangan-pelajar-makin-tumbuh-ini-jawab-ahmad-basarah ","sumber")</f>
        <v>sumber</v>
      </c>
      <c r="G177" s="121" t="str">
        <f t="shared" si="0"/>
        <v>lokasi</v>
      </c>
      <c r="H177" s="118">
        <v>487</v>
      </c>
      <c r="I177" s="22">
        <v>1</v>
      </c>
      <c r="J177" s="119">
        <v>3</v>
      </c>
      <c r="K177" s="123" t="s">
        <v>2267</v>
      </c>
      <c r="L177" s="22">
        <v>0</v>
      </c>
      <c r="M177" s="22">
        <v>-1</v>
      </c>
      <c r="N177" s="125">
        <v>0</v>
      </c>
      <c r="O177" s="22">
        <v>0</v>
      </c>
      <c r="P177" s="22">
        <v>0</v>
      </c>
      <c r="Q177" s="22">
        <v>0</v>
      </c>
      <c r="R177" s="22">
        <v>-1</v>
      </c>
      <c r="S177" s="123" t="s">
        <v>2268</v>
      </c>
      <c r="T177" s="22">
        <v>1</v>
      </c>
      <c r="U177" s="22">
        <v>0</v>
      </c>
      <c r="V177" s="22">
        <v>1</v>
      </c>
      <c r="W177" s="23"/>
      <c r="X177" s="23"/>
      <c r="Y177" s="23"/>
    </row>
    <row r="178" spans="1:25" ht="14.4">
      <c r="A178" s="117">
        <v>1</v>
      </c>
      <c r="B178" s="118" t="s">
        <v>2269</v>
      </c>
      <c r="C178" s="22">
        <v>178</v>
      </c>
      <c r="D178" s="119">
        <v>4</v>
      </c>
      <c r="E178" s="120">
        <v>43678</v>
      </c>
      <c r="F178" s="121" t="str">
        <f>HYPERLINK("https://www.liputan6.com/showbiz/read/3865107/nyinyir-soal-penampilan-kang-daniel-hingga-v-bts-mc-asal-yunani-minta-maaf ","sumber")</f>
        <v>sumber</v>
      </c>
      <c r="G178" s="121" t="str">
        <f t="shared" si="0"/>
        <v>lokasi</v>
      </c>
      <c r="H178" s="118">
        <v>337</v>
      </c>
      <c r="I178" s="22">
        <v>1</v>
      </c>
      <c r="J178" s="119">
        <v>3</v>
      </c>
      <c r="K178" s="123" t="s">
        <v>2270</v>
      </c>
      <c r="L178" s="22">
        <v>0</v>
      </c>
      <c r="M178" s="22">
        <v>-1</v>
      </c>
      <c r="N178" s="125">
        <v>0</v>
      </c>
      <c r="O178" s="22">
        <v>0</v>
      </c>
      <c r="P178" s="22">
        <v>0</v>
      </c>
      <c r="Q178" s="22">
        <v>0</v>
      </c>
      <c r="R178" s="22">
        <v>-1</v>
      </c>
      <c r="S178" s="134"/>
      <c r="T178" s="22">
        <v>0</v>
      </c>
      <c r="U178" s="22">
        <v>0</v>
      </c>
      <c r="V178" s="22">
        <v>0</v>
      </c>
      <c r="W178" s="23"/>
      <c r="X178" s="23"/>
      <c r="Y178" s="23"/>
    </row>
    <row r="179" spans="1:25" ht="14.4">
      <c r="A179" s="117">
        <v>1</v>
      </c>
      <c r="B179" s="118" t="s">
        <v>2271</v>
      </c>
      <c r="C179" s="22">
        <v>179</v>
      </c>
      <c r="D179" s="119">
        <v>8</v>
      </c>
      <c r="E179" s="120">
        <v>43678</v>
      </c>
      <c r="F179" s="121" t="str">
        <f>HYPERLINK("https://www.suara.com/health/2019/01/08/140846/pengguna-kena-hiv-aplikasi-kencan-gay-blued-ditutup ","sumber")</f>
        <v>sumber</v>
      </c>
      <c r="G179" s="121" t="str">
        <f t="shared" si="0"/>
        <v>lokasi</v>
      </c>
      <c r="H179" s="118">
        <v>163</v>
      </c>
      <c r="I179" s="22">
        <v>1</v>
      </c>
      <c r="J179" s="119">
        <v>3</v>
      </c>
      <c r="K179" s="123" t="s">
        <v>2272</v>
      </c>
      <c r="L179" s="22">
        <v>0</v>
      </c>
      <c r="M179" s="147">
        <v>0</v>
      </c>
      <c r="N179" s="125">
        <v>0</v>
      </c>
      <c r="O179" s="22">
        <v>0</v>
      </c>
      <c r="P179" s="22">
        <v>0</v>
      </c>
      <c r="Q179" s="22" t="s">
        <v>29</v>
      </c>
      <c r="R179" s="22" t="s">
        <v>30</v>
      </c>
      <c r="S179" s="134"/>
      <c r="T179" s="22">
        <v>0</v>
      </c>
      <c r="U179" s="22">
        <v>0</v>
      </c>
      <c r="V179" s="22">
        <v>1</v>
      </c>
      <c r="W179" s="23"/>
      <c r="X179" s="23"/>
      <c r="Y179" s="23"/>
    </row>
    <row r="180" spans="1:25" ht="14.4">
      <c r="A180" s="117">
        <v>1</v>
      </c>
      <c r="B180" s="118" t="s">
        <v>2273</v>
      </c>
      <c r="C180" s="22">
        <v>180</v>
      </c>
      <c r="D180" s="119">
        <v>10</v>
      </c>
      <c r="E180" s="120">
        <v>43800</v>
      </c>
      <c r="F180" s="121" t="str">
        <f>HYPERLINK("https://difabel.tempo.co/read/1164091/lgbt-penyandang-disabilitas-mengalami-diskriminasi-berkali-lipat ","sumber")</f>
        <v>sumber</v>
      </c>
      <c r="G180" s="121" t="str">
        <f t="shared" si="0"/>
        <v>lokasi</v>
      </c>
      <c r="H180" s="118">
        <v>247</v>
      </c>
      <c r="I180" s="22">
        <v>1</v>
      </c>
      <c r="J180" s="119">
        <v>3</v>
      </c>
      <c r="K180" s="123" t="s">
        <v>2274</v>
      </c>
      <c r="L180" s="22">
        <v>0</v>
      </c>
      <c r="M180" s="22">
        <v>-1</v>
      </c>
      <c r="N180" s="125">
        <v>0</v>
      </c>
      <c r="O180" s="22">
        <v>0</v>
      </c>
      <c r="P180" s="22">
        <v>0</v>
      </c>
      <c r="Q180" s="22">
        <v>0</v>
      </c>
      <c r="R180" s="22">
        <v>1</v>
      </c>
      <c r="S180" s="123" t="s">
        <v>807</v>
      </c>
      <c r="T180" s="22">
        <v>1</v>
      </c>
      <c r="U180" s="22">
        <v>0</v>
      </c>
      <c r="V180" s="22">
        <v>1</v>
      </c>
      <c r="W180" s="23"/>
      <c r="X180" s="23"/>
      <c r="Y180" s="23"/>
    </row>
    <row r="181" spans="1:25" ht="14.4">
      <c r="A181" s="148">
        <v>1</v>
      </c>
      <c r="B181" s="149" t="s">
        <v>2275</v>
      </c>
      <c r="C181" s="33">
        <v>181</v>
      </c>
      <c r="D181" s="128">
        <v>7</v>
      </c>
      <c r="E181" s="129">
        <v>43466</v>
      </c>
      <c r="F181" s="130" t="str">
        <f>HYPERLINK("http://www.tribunnews.com/internasional/2019/01/01/di-jerman-bukan-laki-atau-perempuan-tulis-berbeda ","sumber")</f>
        <v>sumber</v>
      </c>
      <c r="G181" s="130" t="str">
        <f t="shared" si="0"/>
        <v>lokasi</v>
      </c>
      <c r="H181" s="127">
        <v>165</v>
      </c>
      <c r="I181" s="33">
        <v>2</v>
      </c>
      <c r="J181" s="128">
        <v>3</v>
      </c>
      <c r="K181" s="131" t="s">
        <v>2276</v>
      </c>
      <c r="L181" s="33">
        <v>0</v>
      </c>
      <c r="M181" s="33">
        <v>0</v>
      </c>
      <c r="N181" s="132">
        <v>0</v>
      </c>
      <c r="O181" s="33">
        <v>0</v>
      </c>
      <c r="P181" s="33">
        <v>0</v>
      </c>
      <c r="Q181" s="33" t="s">
        <v>178</v>
      </c>
      <c r="R181" s="33" t="s">
        <v>160</v>
      </c>
      <c r="S181" s="133"/>
      <c r="T181" s="33">
        <v>0</v>
      </c>
      <c r="U181" s="33">
        <v>0</v>
      </c>
      <c r="V181" s="33">
        <v>0</v>
      </c>
      <c r="W181" s="24"/>
      <c r="X181" s="24"/>
      <c r="Y181" s="33"/>
    </row>
    <row r="182" spans="1:25" ht="14.4">
      <c r="A182" s="117">
        <v>1</v>
      </c>
      <c r="B182" s="118" t="s">
        <v>2277</v>
      </c>
      <c r="C182" s="22">
        <v>182</v>
      </c>
      <c r="D182" s="119">
        <v>6</v>
      </c>
      <c r="E182" s="119" t="s">
        <v>666</v>
      </c>
      <c r="F182" s="121" t="str">
        <f>HYPERLINK("https://nasional.kompas.com/read/2019/01/18/18190231/komnas-ham-kritik-debat-pertama-pilpres-soal-isu-toleransi-dan-diskriminasi ","sumber")</f>
        <v>sumber</v>
      </c>
      <c r="G182" s="121" t="str">
        <f t="shared" si="0"/>
        <v>lokasi</v>
      </c>
      <c r="H182" s="118">
        <v>195</v>
      </c>
      <c r="I182" s="22">
        <v>4</v>
      </c>
      <c r="J182" s="119">
        <v>3</v>
      </c>
      <c r="K182" s="123" t="s">
        <v>2278</v>
      </c>
      <c r="L182" s="22">
        <v>0</v>
      </c>
      <c r="M182" s="22">
        <v>0</v>
      </c>
      <c r="N182" s="125">
        <v>0</v>
      </c>
      <c r="O182" s="22">
        <v>0</v>
      </c>
      <c r="P182" s="22">
        <v>0</v>
      </c>
      <c r="Q182" s="22">
        <v>0</v>
      </c>
      <c r="R182" s="22">
        <v>1</v>
      </c>
      <c r="S182" s="134"/>
      <c r="T182" s="22">
        <v>0</v>
      </c>
      <c r="U182" s="22">
        <v>0</v>
      </c>
      <c r="V182" s="22">
        <v>1</v>
      </c>
      <c r="W182" s="23"/>
      <c r="X182" s="23"/>
      <c r="Y182" s="23"/>
    </row>
    <row r="183" spans="1:25" ht="14.4">
      <c r="A183" s="111">
        <v>2</v>
      </c>
      <c r="B183" s="112" t="s">
        <v>2279</v>
      </c>
      <c r="C183" s="25">
        <v>183</v>
      </c>
      <c r="D183" s="113">
        <v>4</v>
      </c>
      <c r="E183" s="113" t="s">
        <v>670</v>
      </c>
      <c r="F183" s="115" t="str">
        <f>HYPERLINK("https://www.liputan6.com/news/read/3874856/tak-kuat-menahan-sampah-jaring-besi-di-kali-bencong-ambruk ","sumber")</f>
        <v>sumber</v>
      </c>
      <c r="G183" s="115" t="str">
        <f t="shared" si="0"/>
        <v>lokasi</v>
      </c>
      <c r="H183" s="112">
        <v>104</v>
      </c>
      <c r="I183" s="26"/>
      <c r="J183" s="113">
        <v>3</v>
      </c>
      <c r="K183" s="124"/>
      <c r="L183" s="26"/>
      <c r="M183" s="26"/>
      <c r="N183" s="26"/>
      <c r="O183" s="26"/>
      <c r="P183" s="26"/>
      <c r="Q183" s="26"/>
      <c r="R183" s="26"/>
      <c r="S183" s="124"/>
      <c r="T183" s="26"/>
      <c r="U183" s="26"/>
      <c r="V183" s="26"/>
      <c r="W183" s="26"/>
      <c r="X183" s="26"/>
      <c r="Y183" s="25"/>
    </row>
    <row r="184" spans="1:25" ht="14.4">
      <c r="A184" s="111">
        <v>2</v>
      </c>
      <c r="B184" s="112" t="s">
        <v>2280</v>
      </c>
      <c r="C184" s="25">
        <v>184</v>
      </c>
      <c r="D184" s="113">
        <v>4</v>
      </c>
      <c r="E184" s="113" t="s">
        <v>676</v>
      </c>
      <c r="F184" s="115" t="str">
        <f>HYPERLINK("https://www.liputan6.com/global/read/3880964/misteri-temuan-3-karung-tulang-belulang-di-pantai-selandia-baru ","sumber")</f>
        <v>sumber</v>
      </c>
      <c r="G184" s="115" t="str">
        <f t="shared" si="0"/>
        <v>lokasi</v>
      </c>
      <c r="H184" s="112">
        <v>723</v>
      </c>
      <c r="I184" s="26"/>
      <c r="J184" s="113">
        <v>3</v>
      </c>
      <c r="K184" s="124"/>
      <c r="L184" s="26"/>
      <c r="M184" s="26"/>
      <c r="N184" s="26"/>
      <c r="O184" s="26"/>
      <c r="P184" s="26"/>
      <c r="Q184" s="26"/>
      <c r="R184" s="26"/>
      <c r="S184" s="124"/>
      <c r="T184" s="26"/>
      <c r="U184" s="26"/>
      <c r="V184" s="26"/>
      <c r="W184" s="26"/>
      <c r="X184" s="26"/>
      <c r="Y184" s="25"/>
    </row>
    <row r="185" spans="1:25" ht="14.4">
      <c r="A185" s="117">
        <v>1</v>
      </c>
      <c r="B185" s="118" t="s">
        <v>2281</v>
      </c>
      <c r="C185" s="22">
        <v>185</v>
      </c>
      <c r="D185" s="119">
        <v>1</v>
      </c>
      <c r="E185" s="119" t="s">
        <v>434</v>
      </c>
      <c r="F185" s="121" t="str">
        <f>HYPERLINK("https://news.detik.com/berita/d-4406773/ketua-dpr-tepis-ruu-kekerasan-seksual-pro-zina-dasar-kita-agama ","sumber")</f>
        <v>sumber</v>
      </c>
      <c r="G185" s="121" t="str">
        <f t="shared" si="0"/>
        <v>lokasi</v>
      </c>
      <c r="H185" s="118">
        <v>243</v>
      </c>
      <c r="I185" s="22">
        <v>4</v>
      </c>
      <c r="J185" s="119">
        <v>3</v>
      </c>
      <c r="K185" s="123" t="s">
        <v>348</v>
      </c>
      <c r="L185" s="22">
        <v>0</v>
      </c>
      <c r="M185" s="22">
        <v>0</v>
      </c>
      <c r="N185" s="125">
        <v>0</v>
      </c>
      <c r="O185" s="22">
        <v>0</v>
      </c>
      <c r="P185" s="22">
        <v>0</v>
      </c>
      <c r="Q185" s="22">
        <v>0</v>
      </c>
      <c r="R185" s="22">
        <v>-1</v>
      </c>
      <c r="S185" s="134"/>
      <c r="T185" s="22">
        <v>0</v>
      </c>
      <c r="U185" s="22">
        <v>0</v>
      </c>
      <c r="V185" s="22">
        <v>1</v>
      </c>
      <c r="W185" s="23"/>
      <c r="X185" s="23"/>
      <c r="Y185" s="23"/>
    </row>
    <row r="186" spans="1:25" ht="14.4">
      <c r="A186" s="111">
        <v>2</v>
      </c>
      <c r="B186" s="112" t="s">
        <v>2282</v>
      </c>
      <c r="C186" s="25">
        <v>186</v>
      </c>
      <c r="D186" s="113">
        <v>10</v>
      </c>
      <c r="E186" s="113" t="s">
        <v>66</v>
      </c>
      <c r="F186" s="115" t="str">
        <f>HYPERLINK("https://dunia.tempo.co/read/1170822/pemimpin-kuil-setan-takut-kepada-wapres-as-mike-pence-alasannya ","sumber")</f>
        <v>sumber</v>
      </c>
      <c r="G186" s="115" t="str">
        <f t="shared" si="0"/>
        <v>lokasi</v>
      </c>
      <c r="H186" s="112">
        <v>334</v>
      </c>
      <c r="I186" s="26"/>
      <c r="J186" s="113">
        <v>3</v>
      </c>
      <c r="K186" s="124"/>
      <c r="L186" s="26"/>
      <c r="M186" s="26"/>
      <c r="N186" s="26"/>
      <c r="O186" s="26"/>
      <c r="P186" s="26"/>
      <c r="Q186" s="26"/>
      <c r="R186" s="26"/>
      <c r="S186" s="124"/>
      <c r="T186" s="26"/>
      <c r="U186" s="26"/>
      <c r="V186" s="26"/>
      <c r="W186" s="26"/>
      <c r="X186" s="26"/>
      <c r="Y186" s="25"/>
    </row>
    <row r="187" spans="1:25" ht="14.4">
      <c r="A187" s="117">
        <v>1</v>
      </c>
      <c r="B187" s="118" t="s">
        <v>2283</v>
      </c>
      <c r="C187" s="22">
        <v>187</v>
      </c>
      <c r="D187" s="119">
        <v>5</v>
      </c>
      <c r="E187" s="120">
        <v>43467</v>
      </c>
      <c r="F187" s="121" t="str">
        <f>HYPERLINK("https://tirto.id/maimon-tolak-ruu-pks-dan-mereka-yang-enggan-menjadi-feminis-dfFJ ","sumber")</f>
        <v>sumber</v>
      </c>
      <c r="G187" s="121" t="str">
        <f t="shared" si="0"/>
        <v>lokasi</v>
      </c>
      <c r="H187" s="118">
        <v>539</v>
      </c>
      <c r="I187" s="22">
        <v>4</v>
      </c>
      <c r="J187" s="119">
        <v>1</v>
      </c>
      <c r="K187" s="123" t="s">
        <v>2284</v>
      </c>
      <c r="L187" s="22">
        <v>0</v>
      </c>
      <c r="M187" s="22">
        <v>0</v>
      </c>
      <c r="N187" s="125">
        <v>0</v>
      </c>
      <c r="O187" s="22">
        <v>0</v>
      </c>
      <c r="P187" s="22">
        <v>0</v>
      </c>
      <c r="Q187" s="22" t="s">
        <v>29</v>
      </c>
      <c r="R187" s="22" t="s">
        <v>29</v>
      </c>
      <c r="S187" s="134"/>
      <c r="T187" s="22">
        <v>0</v>
      </c>
      <c r="U187" s="22">
        <v>0</v>
      </c>
      <c r="V187" s="22">
        <v>1</v>
      </c>
      <c r="W187" s="23"/>
      <c r="X187" s="23"/>
      <c r="Y187" s="23"/>
    </row>
    <row r="188" spans="1:25" ht="14.4">
      <c r="A188" s="111">
        <v>2</v>
      </c>
      <c r="B188" s="112" t="s">
        <v>2285</v>
      </c>
      <c r="C188" s="25">
        <v>188</v>
      </c>
      <c r="D188" s="113">
        <v>2</v>
      </c>
      <c r="E188" s="114">
        <v>43526</v>
      </c>
      <c r="F188" s="115" t="str">
        <f>HYPERLINK("https://www.cnnindonesia.com/hiburan/20190202182458-227-365999/rela-habiskan-jutaan-demi-senang-ala-fan-k-pop ","sumber")</f>
        <v>sumber</v>
      </c>
      <c r="G188" s="115" t="str">
        <f t="shared" si="0"/>
        <v>lokasi</v>
      </c>
      <c r="H188" s="112">
        <v>785</v>
      </c>
      <c r="I188" s="26"/>
      <c r="J188" s="113">
        <v>3</v>
      </c>
      <c r="K188" s="124"/>
      <c r="L188" s="26"/>
      <c r="M188" s="26"/>
      <c r="N188" s="25"/>
      <c r="O188" s="26"/>
      <c r="P188" s="26"/>
      <c r="Q188" s="26"/>
      <c r="R188" s="26"/>
      <c r="S188" s="124"/>
      <c r="T188" s="26"/>
      <c r="U188" s="26"/>
      <c r="V188" s="26"/>
      <c r="W188" s="26"/>
      <c r="X188" s="26"/>
      <c r="Y188" s="25"/>
    </row>
    <row r="189" spans="1:25" ht="14.4">
      <c r="A189" s="117">
        <v>1</v>
      </c>
      <c r="B189" s="118" t="s">
        <v>2286</v>
      </c>
      <c r="C189" s="22">
        <v>189</v>
      </c>
      <c r="D189" s="119">
        <v>10</v>
      </c>
      <c r="E189" s="120">
        <v>43618</v>
      </c>
      <c r="F189" s="121" t="str">
        <f>HYPERLINK("https://seleb.tempo.co/read/1172822/penyelenggaraan-oscars-2019-akan-berlangsung-tanpa-host ","sumber")</f>
        <v>sumber</v>
      </c>
      <c r="G189" s="121" t="str">
        <f t="shared" si="0"/>
        <v>lokasi</v>
      </c>
      <c r="H189" s="118">
        <v>349</v>
      </c>
      <c r="I189" s="22">
        <v>3</v>
      </c>
      <c r="J189" s="119">
        <v>3</v>
      </c>
      <c r="K189" s="123" t="s">
        <v>2287</v>
      </c>
      <c r="L189" s="22">
        <v>0</v>
      </c>
      <c r="M189" s="22">
        <v>0</v>
      </c>
      <c r="N189" s="125">
        <v>0</v>
      </c>
      <c r="O189" s="22">
        <v>0</v>
      </c>
      <c r="P189" s="22">
        <v>0</v>
      </c>
      <c r="Q189" s="22">
        <v>0</v>
      </c>
      <c r="R189" s="22">
        <v>0</v>
      </c>
      <c r="S189" s="134"/>
      <c r="T189" s="22">
        <v>0</v>
      </c>
      <c r="U189" s="22">
        <v>0</v>
      </c>
      <c r="V189" s="22">
        <v>0</v>
      </c>
      <c r="W189" s="23"/>
      <c r="X189" s="23"/>
      <c r="Y189" s="23"/>
    </row>
    <row r="190" spans="1:25" ht="14.4">
      <c r="A190" s="117">
        <v>1</v>
      </c>
      <c r="B190" s="118" t="s">
        <v>2288</v>
      </c>
      <c r="C190" s="22">
        <v>190</v>
      </c>
      <c r="D190" s="119">
        <v>4</v>
      </c>
      <c r="E190" s="120">
        <v>43710</v>
      </c>
      <c r="F190" s="121" t="str">
        <f>HYPERLINK("https://www.liputan6.com/showbiz/read/3890712/onadio-leonardo-tak-masalah-dicap-pria-kemayu ","sumber")</f>
        <v>sumber</v>
      </c>
      <c r="G190" s="121" t="str">
        <f t="shared" si="0"/>
        <v>lokasi</v>
      </c>
      <c r="H190" s="118">
        <v>309</v>
      </c>
      <c r="I190" s="22">
        <v>2</v>
      </c>
      <c r="J190" s="119">
        <v>3</v>
      </c>
      <c r="K190" s="123" t="s">
        <v>2289</v>
      </c>
      <c r="L190" s="22">
        <v>0</v>
      </c>
      <c r="M190" s="22">
        <v>0</v>
      </c>
      <c r="N190" s="125">
        <v>0</v>
      </c>
      <c r="O190" s="22">
        <v>0</v>
      </c>
      <c r="P190" s="22">
        <v>0</v>
      </c>
      <c r="Q190" s="22">
        <v>0</v>
      </c>
      <c r="R190" s="22">
        <v>0</v>
      </c>
      <c r="S190" s="134"/>
      <c r="T190" s="22">
        <v>0</v>
      </c>
      <c r="U190" s="22">
        <v>0</v>
      </c>
      <c r="V190" s="22">
        <v>0</v>
      </c>
      <c r="W190" s="23"/>
      <c r="X190" s="23"/>
      <c r="Y190" s="23"/>
    </row>
    <row r="191" spans="1:25" ht="14.4">
      <c r="A191" s="117">
        <v>1</v>
      </c>
      <c r="B191" s="118" t="s">
        <v>2290</v>
      </c>
      <c r="C191" s="22">
        <v>191</v>
      </c>
      <c r="D191" s="119">
        <v>7</v>
      </c>
      <c r="E191" s="120">
        <v>43710</v>
      </c>
      <c r="F191" s="121" t="str">
        <f>HYPERLINK("http://www.tribunnews.com/seleb/2019/02/09/berdasarkan-jenis-kelamin-di-ktp-reva-alexa-ditempatkan-di-sel-wanita ","sumber")</f>
        <v>sumber</v>
      </c>
      <c r="G191" s="121" t="str">
        <f t="shared" si="0"/>
        <v>lokasi</v>
      </c>
      <c r="H191" s="118">
        <v>82</v>
      </c>
      <c r="I191" s="22">
        <v>1</v>
      </c>
      <c r="J191" s="119">
        <v>3</v>
      </c>
      <c r="K191" s="123" t="s">
        <v>2291</v>
      </c>
      <c r="L191" s="22">
        <v>0</v>
      </c>
      <c r="M191" s="22">
        <v>-1</v>
      </c>
      <c r="N191" s="125">
        <v>0</v>
      </c>
      <c r="O191" s="22">
        <v>0</v>
      </c>
      <c r="P191" s="22">
        <v>0</v>
      </c>
      <c r="Q191" s="22">
        <v>0</v>
      </c>
      <c r="R191" s="22">
        <v>-1</v>
      </c>
      <c r="S191" s="134"/>
      <c r="T191" s="22">
        <v>0</v>
      </c>
      <c r="U191" s="22">
        <v>-1</v>
      </c>
      <c r="V191" s="22">
        <v>0</v>
      </c>
      <c r="W191" s="23"/>
      <c r="X191" s="23"/>
      <c r="Y191" s="23"/>
    </row>
    <row r="192" spans="1:25" ht="14.4">
      <c r="A192" s="117">
        <v>1</v>
      </c>
      <c r="B192" s="118" t="s">
        <v>2292</v>
      </c>
      <c r="C192" s="22">
        <v>192</v>
      </c>
      <c r="D192" s="119">
        <v>8</v>
      </c>
      <c r="E192" s="119" t="s">
        <v>76</v>
      </c>
      <c r="F192" s="121" t="str">
        <f>HYPERLINK("https://www.suara.com/entertainment/2019/02/13/162544/jupiter-fortissimo-pernah-ngaku-gay-hingga-dua-kali-terseret-kasus-narkoba ","sumber")</f>
        <v>sumber</v>
      </c>
      <c r="G192" s="121" t="str">
        <f t="shared" si="0"/>
        <v>lokasi</v>
      </c>
      <c r="H192" s="118">
        <v>291</v>
      </c>
      <c r="I192" s="22">
        <v>1</v>
      </c>
      <c r="J192" s="119">
        <v>3</v>
      </c>
      <c r="K192" s="123" t="s">
        <v>2291</v>
      </c>
      <c r="L192" s="22">
        <v>0</v>
      </c>
      <c r="M192" s="22">
        <v>-1</v>
      </c>
      <c r="N192" s="125">
        <v>0</v>
      </c>
      <c r="O192" s="22">
        <v>0</v>
      </c>
      <c r="P192" s="22">
        <v>0</v>
      </c>
      <c r="Q192" s="22">
        <v>0</v>
      </c>
      <c r="R192" s="22">
        <v>0</v>
      </c>
      <c r="S192" s="123" t="s">
        <v>2293</v>
      </c>
      <c r="T192" s="22">
        <v>2</v>
      </c>
      <c r="U192" s="22">
        <v>0</v>
      </c>
      <c r="V192" s="22">
        <v>0</v>
      </c>
      <c r="W192" s="23"/>
      <c r="X192" s="23"/>
      <c r="Y192" s="23"/>
    </row>
    <row r="193" spans="1:25" ht="14.4">
      <c r="A193" s="111">
        <v>2</v>
      </c>
      <c r="B193" s="112" t="s">
        <v>2294</v>
      </c>
      <c r="C193" s="25">
        <v>193</v>
      </c>
      <c r="D193" s="113">
        <v>5</v>
      </c>
      <c r="E193" s="113" t="s">
        <v>81</v>
      </c>
      <c r="F193" s="115" t="str">
        <f>HYPERLINK("https://tirto.id/mengenal-tu-bav-hari-valentine-ala-kaum-yahudi-dgQW ","sumber")</f>
        <v>sumber</v>
      </c>
      <c r="G193" s="115" t="str">
        <f t="shared" si="0"/>
        <v>lokasi</v>
      </c>
      <c r="H193" s="112">
        <v>1010</v>
      </c>
      <c r="I193" s="26"/>
      <c r="J193" s="113">
        <v>3</v>
      </c>
      <c r="K193" s="124"/>
      <c r="L193" s="26"/>
      <c r="M193" s="26"/>
      <c r="N193" s="26"/>
      <c r="O193" s="26"/>
      <c r="P193" s="26"/>
      <c r="Q193" s="26"/>
      <c r="R193" s="26"/>
      <c r="S193" s="124"/>
      <c r="T193" s="26"/>
      <c r="U193" s="26"/>
      <c r="V193" s="26"/>
      <c r="W193" s="26"/>
      <c r="X193" s="26"/>
      <c r="Y193" s="25"/>
    </row>
    <row r="194" spans="1:25" ht="14.4">
      <c r="A194" s="117">
        <v>1</v>
      </c>
      <c r="B194" s="118" t="s">
        <v>2295</v>
      </c>
      <c r="C194" s="22">
        <v>194</v>
      </c>
      <c r="D194" s="119">
        <v>10</v>
      </c>
      <c r="E194" s="119" t="s">
        <v>2117</v>
      </c>
      <c r="F194" s="121" t="str">
        <f>HYPERLINK("https://dunia.tempo.co/read/1178687/pasangan-gay-as-menangkan-gugatan-kewarganegaraan-anak-kembarnya ","sumber")</f>
        <v>sumber</v>
      </c>
      <c r="G194" s="121" t="str">
        <f t="shared" si="0"/>
        <v>lokasi</v>
      </c>
      <c r="H194" s="118">
        <v>248</v>
      </c>
      <c r="I194" s="22">
        <v>1</v>
      </c>
      <c r="J194" s="119">
        <v>3</v>
      </c>
      <c r="K194" s="123" t="s">
        <v>2296</v>
      </c>
      <c r="L194" s="22">
        <v>0</v>
      </c>
      <c r="M194" s="22">
        <v>-1</v>
      </c>
      <c r="N194" s="125">
        <v>0</v>
      </c>
      <c r="O194" s="22">
        <v>0</v>
      </c>
      <c r="P194" s="22">
        <v>0</v>
      </c>
      <c r="Q194" s="22">
        <v>1</v>
      </c>
      <c r="R194" s="22">
        <v>1</v>
      </c>
      <c r="S194" s="134"/>
      <c r="T194" s="22">
        <v>0</v>
      </c>
      <c r="U194" s="22">
        <v>0</v>
      </c>
      <c r="V194" s="22">
        <v>0</v>
      </c>
      <c r="W194" s="23"/>
      <c r="X194" s="23"/>
      <c r="Y194" s="23"/>
    </row>
    <row r="195" spans="1:25" ht="14.4">
      <c r="A195" s="117">
        <v>1</v>
      </c>
      <c r="B195" s="118" t="s">
        <v>2297</v>
      </c>
      <c r="C195" s="22">
        <v>195</v>
      </c>
      <c r="D195" s="119">
        <v>4</v>
      </c>
      <c r="E195" s="119" t="s">
        <v>464</v>
      </c>
      <c r="F195" s="121" t="str">
        <f>HYPERLINK("https://www.liputan6.com/pilpres/read/3903520/maruf-amin-nuduh-jokowi-tak-islami-ente-sudah-berbuat-apa-untuk-islam ","sumber")</f>
        <v>sumber</v>
      </c>
      <c r="G195" s="121" t="str">
        <f t="shared" si="0"/>
        <v>lokasi</v>
      </c>
      <c r="H195" s="118">
        <v>324</v>
      </c>
      <c r="I195" s="22">
        <v>4</v>
      </c>
      <c r="J195" s="119">
        <v>3</v>
      </c>
      <c r="K195" s="123" t="s">
        <v>2298</v>
      </c>
      <c r="L195" s="22">
        <v>0</v>
      </c>
      <c r="M195" s="22">
        <v>0</v>
      </c>
      <c r="N195" s="125">
        <v>0</v>
      </c>
      <c r="O195" s="22">
        <v>0</v>
      </c>
      <c r="P195" s="22">
        <v>0</v>
      </c>
      <c r="Q195" s="22">
        <v>0</v>
      </c>
      <c r="R195" s="22">
        <v>-1</v>
      </c>
      <c r="S195" s="134"/>
      <c r="T195" s="22">
        <v>0</v>
      </c>
      <c r="U195" s="22">
        <v>0</v>
      </c>
      <c r="V195" s="22">
        <v>1</v>
      </c>
      <c r="W195" s="23"/>
      <c r="X195" s="23"/>
      <c r="Y195" s="23"/>
    </row>
    <row r="196" spans="1:25" ht="14.4">
      <c r="A196" s="117">
        <v>1</v>
      </c>
      <c r="B196" s="118" t="s">
        <v>2299</v>
      </c>
      <c r="C196" s="22">
        <v>196</v>
      </c>
      <c r="D196" s="119">
        <v>3</v>
      </c>
      <c r="E196" s="119" t="s">
        <v>464</v>
      </c>
      <c r="F196" s="121" t="str">
        <f>HYPERLINK("https://news.okezone.com/read/2019/02/25/525/2022394/ini-3-perempuan-diciduk-polisi-diduga-kampanye-jokowi-menang-lgbt-disahkan-dan-adzan-dilarang ","sumber")</f>
        <v>sumber</v>
      </c>
      <c r="G196" s="121" t="str">
        <f t="shared" si="0"/>
        <v>lokasi</v>
      </c>
      <c r="H196" s="118">
        <v>416</v>
      </c>
      <c r="I196" s="22">
        <v>1</v>
      </c>
      <c r="J196" s="119">
        <v>3</v>
      </c>
      <c r="K196" s="123" t="s">
        <v>2300</v>
      </c>
      <c r="L196" s="22">
        <v>0</v>
      </c>
      <c r="M196" s="22">
        <v>-1</v>
      </c>
      <c r="N196" s="125">
        <v>0</v>
      </c>
      <c r="O196" s="22">
        <v>0</v>
      </c>
      <c r="P196" s="22">
        <v>0</v>
      </c>
      <c r="Q196" s="22" t="s">
        <v>29</v>
      </c>
      <c r="R196" s="22" t="s">
        <v>29</v>
      </c>
      <c r="S196" s="134"/>
      <c r="T196" s="22">
        <v>0</v>
      </c>
      <c r="U196" s="22">
        <v>0</v>
      </c>
      <c r="V196" s="22">
        <v>0</v>
      </c>
      <c r="W196" s="23"/>
      <c r="X196" s="23"/>
      <c r="Y196" s="23"/>
    </row>
    <row r="197" spans="1:25" ht="14.4">
      <c r="A197" s="148">
        <v>1</v>
      </c>
      <c r="B197" s="149" t="s">
        <v>2301</v>
      </c>
      <c r="C197" s="33">
        <v>197</v>
      </c>
      <c r="D197" s="128">
        <v>5</v>
      </c>
      <c r="E197" s="128" t="s">
        <v>81</v>
      </c>
      <c r="F197" s="130" t="str">
        <f>HYPERLINK("https://tirto.id/frozen-2-tampilkan-tokoh-wanita-baru-yang-disebut-sebut-pacar-elsa-dg3c ","sumber")</f>
        <v>sumber</v>
      </c>
      <c r="G197" s="130" t="str">
        <f t="shared" si="0"/>
        <v>lokasi</v>
      </c>
      <c r="H197" s="127">
        <v>562</v>
      </c>
      <c r="I197" s="33">
        <v>3</v>
      </c>
      <c r="J197" s="128">
        <v>3</v>
      </c>
      <c r="K197" s="131" t="s">
        <v>2302</v>
      </c>
      <c r="L197" s="33">
        <v>0</v>
      </c>
      <c r="M197" s="33">
        <v>0</v>
      </c>
      <c r="N197" s="132">
        <v>0</v>
      </c>
      <c r="O197" s="33">
        <v>0</v>
      </c>
      <c r="P197" s="33">
        <v>0</v>
      </c>
      <c r="Q197" s="33">
        <v>0</v>
      </c>
      <c r="R197" s="33">
        <v>0</v>
      </c>
      <c r="S197" s="133"/>
      <c r="T197" s="33">
        <v>0</v>
      </c>
      <c r="U197" s="33">
        <v>0</v>
      </c>
      <c r="V197" s="33">
        <v>0</v>
      </c>
      <c r="W197" s="24"/>
      <c r="X197" s="24"/>
      <c r="Y197" s="33"/>
    </row>
    <row r="198" spans="1:25" ht="14.4">
      <c r="A198" s="117">
        <v>1</v>
      </c>
      <c r="B198" s="118" t="s">
        <v>2303</v>
      </c>
      <c r="C198" s="22">
        <v>198</v>
      </c>
      <c r="D198" s="119">
        <v>6</v>
      </c>
      <c r="E198" s="119" t="s">
        <v>2304</v>
      </c>
      <c r="F198" s="121" t="str">
        <f>HYPERLINK("https://nasional.kompas.com/read/2019/02/28/17225381/ketum-ppp-jika-dari-kubu-01-ada-yang-sebar-hoaks-silakan-ditindak ","sumber")</f>
        <v>sumber</v>
      </c>
      <c r="G198" s="121" t="str">
        <f t="shared" si="0"/>
        <v>lokasi</v>
      </c>
      <c r="H198" s="118">
        <v>341</v>
      </c>
      <c r="I198" s="22">
        <v>4</v>
      </c>
      <c r="J198" s="119">
        <v>3</v>
      </c>
      <c r="K198" s="123" t="s">
        <v>2305</v>
      </c>
      <c r="L198" s="22">
        <v>0</v>
      </c>
      <c r="M198" s="22">
        <v>0</v>
      </c>
      <c r="N198" s="125">
        <v>0</v>
      </c>
      <c r="O198" s="22">
        <v>0</v>
      </c>
      <c r="P198" s="22">
        <v>0</v>
      </c>
      <c r="Q198" s="22">
        <v>0</v>
      </c>
      <c r="R198" s="22">
        <v>0</v>
      </c>
      <c r="S198" s="134"/>
      <c r="T198" s="22">
        <v>0</v>
      </c>
      <c r="U198" s="22">
        <v>0</v>
      </c>
      <c r="V198" s="22">
        <v>1</v>
      </c>
      <c r="W198" s="23"/>
      <c r="X198" s="23"/>
      <c r="Y198" s="23"/>
    </row>
    <row r="199" spans="1:25" ht="14.4">
      <c r="A199" s="111">
        <v>2</v>
      </c>
      <c r="B199" s="112" t="s">
        <v>2306</v>
      </c>
      <c r="C199" s="25">
        <v>199</v>
      </c>
      <c r="D199" s="113">
        <v>3</v>
      </c>
      <c r="E199" s="114">
        <v>43558</v>
      </c>
      <c r="F199" s="115" t="str">
        <f>HYPERLINK("https://lifestyle.okezone.com/read/2019/03/04/194/2025563/6-zodiak-yang-paling-stylish-gayanya-bisa-jadi-trendsetter ","sumber")</f>
        <v>sumber</v>
      </c>
      <c r="G199" s="115" t="str">
        <f t="shared" si="0"/>
        <v>lokasi</v>
      </c>
      <c r="H199" s="112">
        <v>561</v>
      </c>
      <c r="I199" s="26"/>
      <c r="J199" s="113">
        <v>3</v>
      </c>
      <c r="K199" s="124"/>
      <c r="L199" s="26"/>
      <c r="M199" s="26"/>
      <c r="N199" s="26"/>
      <c r="O199" s="26"/>
      <c r="P199" s="26"/>
      <c r="Q199" s="26"/>
      <c r="R199" s="26"/>
      <c r="S199" s="124"/>
      <c r="T199" s="26"/>
      <c r="U199" s="26"/>
      <c r="V199" s="26"/>
      <c r="W199" s="26"/>
      <c r="X199" s="26"/>
      <c r="Y199" s="25"/>
    </row>
    <row r="200" spans="1:25" ht="14.4">
      <c r="A200" s="135">
        <v>1</v>
      </c>
      <c r="B200" s="155" t="s">
        <v>2307</v>
      </c>
      <c r="C200" s="137">
        <v>200</v>
      </c>
      <c r="D200" s="138">
        <v>6</v>
      </c>
      <c r="E200" s="138" t="s">
        <v>208</v>
      </c>
      <c r="F200" s="139" t="str">
        <f>HYPERLINK("https://internasional.kompas.com/read/2019/05/24/13471511/disorot-soal-hukuman-mati-bagi-lgbt-sultan-brunei-kembalikan-gelar-dari ","sumber")</f>
        <v>sumber</v>
      </c>
      <c r="G200" s="139" t="str">
        <f t="shared" si="0"/>
        <v>lokasi</v>
      </c>
      <c r="H200" s="136">
        <v>300</v>
      </c>
      <c r="I200" s="137">
        <v>1</v>
      </c>
      <c r="J200" s="138">
        <v>3</v>
      </c>
      <c r="K200" s="140" t="s">
        <v>2308</v>
      </c>
      <c r="L200" s="137">
        <v>0</v>
      </c>
      <c r="M200" s="137">
        <v>1</v>
      </c>
      <c r="N200" s="141">
        <v>0</v>
      </c>
      <c r="O200" s="137">
        <v>0</v>
      </c>
      <c r="P200" s="137">
        <v>0</v>
      </c>
      <c r="Q200" s="137" t="s">
        <v>29</v>
      </c>
      <c r="R200" s="137" t="s">
        <v>748</v>
      </c>
      <c r="S200" s="142"/>
      <c r="T200" s="137">
        <v>0</v>
      </c>
      <c r="U200" s="137">
        <v>0</v>
      </c>
      <c r="V200" s="137">
        <v>1</v>
      </c>
      <c r="W200" s="143"/>
      <c r="X200" s="143"/>
      <c r="Y200" s="137"/>
    </row>
    <row r="201" spans="1:25" ht="14.4">
      <c r="A201" s="117">
        <v>1</v>
      </c>
      <c r="B201" s="118" t="s">
        <v>2309</v>
      </c>
      <c r="C201" s="22">
        <v>201</v>
      </c>
      <c r="D201" s="119">
        <v>4</v>
      </c>
      <c r="E201" s="120">
        <v>43680</v>
      </c>
      <c r="F201" s="121" t="str">
        <f>HYPERLINK("https://www.liputan6.com/global/read/3912558/pertama-dalam-sejarah-thailand-transgender-jadi-kandidat-perdana-menteri ","sumber")</f>
        <v>sumber</v>
      </c>
      <c r="G201" s="121" t="str">
        <f t="shared" si="0"/>
        <v>lokasi</v>
      </c>
      <c r="H201" s="118">
        <v>685</v>
      </c>
      <c r="I201" s="22">
        <v>4</v>
      </c>
      <c r="J201" s="119">
        <v>3</v>
      </c>
      <c r="K201" s="123" t="s">
        <v>2310</v>
      </c>
      <c r="L201" s="22">
        <v>0</v>
      </c>
      <c r="M201" s="22">
        <v>0</v>
      </c>
      <c r="N201" s="125">
        <v>0</v>
      </c>
      <c r="O201" s="22">
        <v>0</v>
      </c>
      <c r="P201" s="22">
        <v>0</v>
      </c>
      <c r="Q201" s="22" t="s">
        <v>619</v>
      </c>
      <c r="R201" s="22" t="s">
        <v>160</v>
      </c>
      <c r="S201" s="134"/>
      <c r="T201" s="22">
        <v>0</v>
      </c>
      <c r="U201" s="22">
        <v>0</v>
      </c>
      <c r="V201" s="22">
        <v>1</v>
      </c>
      <c r="W201" s="23"/>
      <c r="X201" s="23"/>
      <c r="Y201" s="23"/>
    </row>
    <row r="202" spans="1:25" ht="14.4">
      <c r="A202" s="117">
        <v>1</v>
      </c>
      <c r="B202" s="118" t="s">
        <v>2311</v>
      </c>
      <c r="C202" s="22">
        <v>202</v>
      </c>
      <c r="D202" s="119">
        <v>7</v>
      </c>
      <c r="E202" s="120">
        <v>43741</v>
      </c>
      <c r="F202" s="121" t="str">
        <f>HYPERLINK("http://www.tribunnews.com/pilpres-2019/2019/03/10/soal-produk-kondom-jokowi-maruf-ini-respons-kubu-prabowo ","sumber")</f>
        <v>sumber</v>
      </c>
      <c r="G202" s="121" t="str">
        <f t="shared" si="0"/>
        <v>lokasi</v>
      </c>
      <c r="H202" s="118">
        <v>404</v>
      </c>
      <c r="I202" s="22">
        <v>1</v>
      </c>
      <c r="J202" s="119">
        <v>3</v>
      </c>
      <c r="K202" s="123" t="s">
        <v>2312</v>
      </c>
      <c r="L202" s="22">
        <v>0</v>
      </c>
      <c r="M202" s="22">
        <v>1</v>
      </c>
      <c r="N202" s="125">
        <v>0</v>
      </c>
      <c r="O202" s="22">
        <v>0</v>
      </c>
      <c r="P202" s="22">
        <v>0</v>
      </c>
      <c r="Q202" s="22" t="s">
        <v>29</v>
      </c>
      <c r="R202" s="22" t="s">
        <v>653</v>
      </c>
      <c r="S202" s="134"/>
      <c r="T202" s="22">
        <v>0</v>
      </c>
      <c r="U202" s="22">
        <v>0</v>
      </c>
      <c r="V202" s="22">
        <v>1</v>
      </c>
      <c r="W202" s="23"/>
      <c r="X202" s="23"/>
      <c r="Y202" s="23"/>
    </row>
    <row r="203" spans="1:25" ht="14.4">
      <c r="A203" s="111">
        <v>2</v>
      </c>
      <c r="B203" s="112" t="s">
        <v>2313</v>
      </c>
      <c r="C203" s="25">
        <v>203</v>
      </c>
      <c r="D203" s="113">
        <v>6</v>
      </c>
      <c r="E203" s="114">
        <v>43772</v>
      </c>
      <c r="F203" s="115" t="str">
        <f>HYPERLINK("https://sains.kompas.com/read/2019/03/11/100200223/dalang-punahnya-hewan-raksasa-adalah-moyang-kita-2-hal-ini-buktinya ","sumber")</f>
        <v>sumber</v>
      </c>
      <c r="G203" s="115" t="str">
        <f t="shared" si="0"/>
        <v>lokasi</v>
      </c>
      <c r="H203" s="112">
        <v>378</v>
      </c>
      <c r="I203" s="25"/>
      <c r="J203" s="113"/>
      <c r="K203" s="116"/>
      <c r="L203" s="25"/>
      <c r="M203" s="25"/>
      <c r="N203" s="25"/>
      <c r="O203" s="25"/>
      <c r="P203" s="25"/>
      <c r="Q203" s="25"/>
      <c r="R203" s="25"/>
      <c r="S203" s="124"/>
      <c r="T203" s="25"/>
      <c r="U203" s="25"/>
      <c r="V203" s="25"/>
      <c r="W203" s="26"/>
      <c r="X203" s="26"/>
      <c r="Y203" s="25"/>
    </row>
    <row r="204" spans="1:25" ht="14.4">
      <c r="A204" s="117">
        <v>1</v>
      </c>
      <c r="B204" s="118" t="s">
        <v>2314</v>
      </c>
      <c r="C204" s="22">
        <v>204</v>
      </c>
      <c r="D204" s="119">
        <v>2</v>
      </c>
      <c r="E204" s="119" t="s">
        <v>121</v>
      </c>
      <c r="F204" s="121" t="str">
        <f>HYPERLINK("https://www.cnnindonesia.com/hiburan/20190313134147-234-376868/8-skandal-besar-yang-mengguncang-k-pop-sebelum-kasus-seungri ","sumber")</f>
        <v>sumber</v>
      </c>
      <c r="G204" s="121" t="str">
        <f t="shared" si="0"/>
        <v>lokasi</v>
      </c>
      <c r="H204" s="118">
        <v>814</v>
      </c>
      <c r="I204" s="22">
        <v>1</v>
      </c>
      <c r="J204" s="119">
        <v>3</v>
      </c>
      <c r="K204" s="123"/>
      <c r="L204" s="22">
        <v>-1</v>
      </c>
      <c r="M204" s="22">
        <v>-1</v>
      </c>
      <c r="N204" s="125">
        <v>0</v>
      </c>
      <c r="O204" s="22">
        <v>0</v>
      </c>
      <c r="P204" s="22">
        <v>0</v>
      </c>
      <c r="Q204" s="22"/>
      <c r="R204" s="22"/>
      <c r="S204" s="134"/>
      <c r="T204" s="22">
        <v>0</v>
      </c>
      <c r="U204" s="22">
        <v>0</v>
      </c>
      <c r="V204" s="22">
        <v>0</v>
      </c>
      <c r="W204" s="23"/>
      <c r="X204" s="23"/>
      <c r="Y204" s="23"/>
    </row>
    <row r="205" spans="1:25" ht="14.4">
      <c r="A205" s="117">
        <v>1</v>
      </c>
      <c r="B205" s="118" t="s">
        <v>2315</v>
      </c>
      <c r="C205" s="22">
        <v>205</v>
      </c>
      <c r="D205" s="119">
        <v>1</v>
      </c>
      <c r="E205" s="119" t="s">
        <v>110</v>
      </c>
      <c r="F205" s="121" t="str">
        <f>HYPERLINK("https://news.detik.com/berita/d-4467586/rommy-ajak-kiai-sisipkan-materi-pemberantasan-hoax-di-majelis-taklim ","sumber")</f>
        <v>sumber</v>
      </c>
      <c r="G205" s="121" t="str">
        <f t="shared" si="0"/>
        <v>lokasi</v>
      </c>
      <c r="H205" s="118">
        <v>304</v>
      </c>
      <c r="I205" s="22">
        <v>4</v>
      </c>
      <c r="J205" s="119">
        <v>3</v>
      </c>
      <c r="K205" s="123" t="s">
        <v>2305</v>
      </c>
      <c r="L205" s="22">
        <v>0</v>
      </c>
      <c r="M205" s="22">
        <v>0</v>
      </c>
      <c r="N205" s="125">
        <v>0</v>
      </c>
      <c r="O205" s="22">
        <v>0</v>
      </c>
      <c r="P205" s="22">
        <v>0</v>
      </c>
      <c r="Q205" s="22">
        <v>0</v>
      </c>
      <c r="R205" s="22">
        <v>-1</v>
      </c>
      <c r="S205" s="134"/>
      <c r="T205" s="22">
        <v>0</v>
      </c>
      <c r="U205" s="22">
        <v>0</v>
      </c>
      <c r="V205" s="22">
        <v>0</v>
      </c>
      <c r="W205" s="23"/>
      <c r="X205" s="23"/>
      <c r="Y205" s="23"/>
    </row>
    <row r="206" spans="1:25" ht="14.4">
      <c r="A206" s="117">
        <v>1</v>
      </c>
      <c r="B206" s="118" t="s">
        <v>1424</v>
      </c>
      <c r="C206" s="22">
        <v>206</v>
      </c>
      <c r="D206" s="119">
        <v>9</v>
      </c>
      <c r="E206" s="119" t="s">
        <v>115</v>
      </c>
      <c r="F206" s="121" t="str">
        <f>HYPERLINK("https://nasional.republika.co.id/berita/nasional/umum/pog5rd423/prihatin-kondisi-bangsa-gerakan-nusantara-bertauhid-hadir ","sumber")</f>
        <v>sumber</v>
      </c>
      <c r="G206" s="121" t="str">
        <f t="shared" si="0"/>
        <v>lokasi</v>
      </c>
      <c r="H206" s="118">
        <v>434</v>
      </c>
      <c r="I206" s="22">
        <v>3</v>
      </c>
      <c r="J206" s="119">
        <v>3</v>
      </c>
      <c r="K206" s="123" t="s">
        <v>2316</v>
      </c>
      <c r="L206" s="22">
        <v>0</v>
      </c>
      <c r="M206" s="22">
        <v>0</v>
      </c>
      <c r="N206" s="125">
        <v>0</v>
      </c>
      <c r="O206" s="22">
        <v>0</v>
      </c>
      <c r="P206" s="22">
        <v>0</v>
      </c>
      <c r="Q206" s="22" t="s">
        <v>29</v>
      </c>
      <c r="R206" s="22" t="s">
        <v>53</v>
      </c>
      <c r="S206" s="134"/>
      <c r="T206" s="22">
        <v>0</v>
      </c>
      <c r="U206" s="22">
        <v>0</v>
      </c>
      <c r="V206" s="22">
        <v>1</v>
      </c>
      <c r="W206" s="23"/>
      <c r="X206" s="23"/>
      <c r="Y206" s="23"/>
    </row>
    <row r="207" spans="1:25" ht="14.4">
      <c r="A207" s="117">
        <v>1</v>
      </c>
      <c r="B207" s="118" t="s">
        <v>2317</v>
      </c>
      <c r="C207" s="22">
        <v>207</v>
      </c>
      <c r="D207" s="119">
        <v>8</v>
      </c>
      <c r="E207" s="119" t="s">
        <v>115</v>
      </c>
      <c r="F207" s="121" t="str">
        <f>HYPERLINK("https://www.suara.com/news/2019/03/16/091500/face-of-jakarta-malam-mingguan-plus-plus-di-bioskop-senen ","sumber")</f>
        <v>sumber</v>
      </c>
      <c r="G207" s="121" t="str">
        <f t="shared" si="0"/>
        <v>lokasi</v>
      </c>
      <c r="H207" s="118">
        <v>748</v>
      </c>
      <c r="I207" s="22">
        <v>2</v>
      </c>
      <c r="J207" s="119">
        <v>3</v>
      </c>
      <c r="K207" s="123" t="s">
        <v>2318</v>
      </c>
      <c r="L207" s="22">
        <v>0</v>
      </c>
      <c r="M207" s="22">
        <v>0</v>
      </c>
      <c r="N207" s="125">
        <v>0</v>
      </c>
      <c r="O207" s="22">
        <v>0</v>
      </c>
      <c r="P207" s="22">
        <v>0</v>
      </c>
      <c r="Q207" s="22" t="s">
        <v>21</v>
      </c>
      <c r="R207" s="22" t="s">
        <v>21</v>
      </c>
      <c r="S207" s="134"/>
      <c r="T207" s="22">
        <v>0</v>
      </c>
      <c r="U207" s="22">
        <v>0</v>
      </c>
      <c r="V207" s="22">
        <v>0</v>
      </c>
      <c r="W207" s="23"/>
      <c r="X207" s="23"/>
      <c r="Y207" s="23"/>
    </row>
    <row r="208" spans="1:25" ht="14.4">
      <c r="A208" s="148">
        <v>1</v>
      </c>
      <c r="B208" s="149" t="s">
        <v>2319</v>
      </c>
      <c r="C208" s="33">
        <v>208</v>
      </c>
      <c r="D208" s="128">
        <v>3</v>
      </c>
      <c r="E208" s="128" t="s">
        <v>504</v>
      </c>
      <c r="F208" s="130" t="str">
        <f>HYPERLINK("https://lifestyle.okezone.com/read/2019/03/29/194/2036680/mengenal-jazell-barbie-transgender-berkulit-hitam-pertama-juara-miss-internasional-2019 ","sumber")</f>
        <v>sumber</v>
      </c>
      <c r="G208" s="130" t="str">
        <f t="shared" si="0"/>
        <v>lokasi</v>
      </c>
      <c r="H208" s="127">
        <v>379</v>
      </c>
      <c r="I208" s="33">
        <v>3</v>
      </c>
      <c r="J208" s="128">
        <v>3</v>
      </c>
      <c r="K208" s="131" t="s">
        <v>2320</v>
      </c>
      <c r="L208" s="33">
        <v>0</v>
      </c>
      <c r="M208" s="33">
        <v>0</v>
      </c>
      <c r="N208" s="132">
        <v>0</v>
      </c>
      <c r="O208" s="33">
        <v>0</v>
      </c>
      <c r="P208" s="33">
        <v>0</v>
      </c>
      <c r="Q208" s="33">
        <v>2</v>
      </c>
      <c r="R208" s="33">
        <v>1</v>
      </c>
      <c r="S208" s="133"/>
      <c r="T208" s="33">
        <v>0</v>
      </c>
      <c r="U208" s="33">
        <v>0</v>
      </c>
      <c r="V208" s="33">
        <v>1</v>
      </c>
      <c r="W208" s="24"/>
      <c r="X208" s="24"/>
      <c r="Y208" s="33"/>
    </row>
    <row r="209" spans="1:25" ht="14.4">
      <c r="A209" s="117">
        <v>1</v>
      </c>
      <c r="B209" s="118" t="s">
        <v>2321</v>
      </c>
      <c r="C209" s="22">
        <v>209</v>
      </c>
      <c r="D209" s="119">
        <v>7</v>
      </c>
      <c r="E209" s="119" t="s">
        <v>493</v>
      </c>
      <c r="F209" s="121" t="str">
        <f>HYPERLINK("http://www.tribunnews.com/internasional/2019/03/22/ambisi-politisi-transgender-thailand-pauline-ngarmpring ","sumber")</f>
        <v>sumber</v>
      </c>
      <c r="G209" s="121" t="str">
        <f t="shared" si="0"/>
        <v>lokasi</v>
      </c>
      <c r="H209" s="118">
        <v>379</v>
      </c>
      <c r="I209" s="22">
        <v>3</v>
      </c>
      <c r="J209" s="119">
        <v>3</v>
      </c>
      <c r="K209" s="123" t="s">
        <v>2322</v>
      </c>
      <c r="L209" s="22">
        <v>0</v>
      </c>
      <c r="M209" s="22">
        <v>0</v>
      </c>
      <c r="N209" s="125">
        <v>0</v>
      </c>
      <c r="O209" s="22">
        <v>0</v>
      </c>
      <c r="P209" s="22">
        <v>0</v>
      </c>
      <c r="Q209" s="22">
        <v>2</v>
      </c>
      <c r="R209" s="22">
        <v>1</v>
      </c>
      <c r="S209" s="134"/>
      <c r="T209" s="22">
        <v>0</v>
      </c>
      <c r="U209" s="22">
        <v>0</v>
      </c>
      <c r="V209" s="22">
        <v>1</v>
      </c>
      <c r="W209" s="23"/>
      <c r="X209" s="23"/>
      <c r="Y209" s="23"/>
    </row>
    <row r="210" spans="1:25" ht="14.4">
      <c r="A210" s="117">
        <v>1</v>
      </c>
      <c r="B210" s="118" t="s">
        <v>2323</v>
      </c>
      <c r="C210" s="22">
        <v>210</v>
      </c>
      <c r="D210" s="119">
        <v>10</v>
      </c>
      <c r="E210" s="119" t="s">
        <v>474</v>
      </c>
      <c r="F210" s="121" t="str">
        <f>HYPERLINK("https://nasional.tempo.co/read/1189090/buntut-cerpen-berbau-lgbt-rektorat-bubarkan-redaksi-suara-usu ","sumber")</f>
        <v>sumber</v>
      </c>
      <c r="G210" s="121" t="str">
        <f t="shared" si="0"/>
        <v>lokasi</v>
      </c>
      <c r="H210" s="118">
        <v>98</v>
      </c>
      <c r="I210" s="22">
        <v>1</v>
      </c>
      <c r="J210" s="119">
        <v>3</v>
      </c>
      <c r="K210" s="123" t="s">
        <v>2324</v>
      </c>
      <c r="L210" s="22">
        <v>0</v>
      </c>
      <c r="M210" s="22">
        <v>-1</v>
      </c>
      <c r="N210" s="125">
        <v>0</v>
      </c>
      <c r="O210" s="22">
        <v>0</v>
      </c>
      <c r="P210" s="22">
        <v>0</v>
      </c>
      <c r="Q210" s="22">
        <v>0</v>
      </c>
      <c r="R210" s="22">
        <v>-1</v>
      </c>
      <c r="S210" s="134"/>
      <c r="T210" s="22">
        <v>0</v>
      </c>
      <c r="U210" s="22">
        <v>0</v>
      </c>
      <c r="V210" s="22">
        <v>0</v>
      </c>
      <c r="W210" s="23"/>
      <c r="X210" s="23"/>
      <c r="Y210" s="23"/>
    </row>
    <row r="211" spans="1:25" ht="14.4">
      <c r="A211" s="117">
        <v>1</v>
      </c>
      <c r="B211" s="118" t="s">
        <v>2325</v>
      </c>
      <c r="C211" s="22">
        <v>211</v>
      </c>
      <c r="D211" s="119">
        <v>1</v>
      </c>
      <c r="E211" s="119" t="s">
        <v>497</v>
      </c>
      <c r="F211" s="121" t="str">
        <f>HYPERLINK("https://news.detik.com/berita/d-4485269/wiranto-soal-hoax-jokowi-larang-azan-memangnya-dewa-larang-larang ","sumber")</f>
        <v>sumber</v>
      </c>
      <c r="G211" s="121" t="str">
        <f t="shared" si="0"/>
        <v>lokasi</v>
      </c>
      <c r="H211" s="118">
        <v>241</v>
      </c>
      <c r="I211" s="22">
        <v>4</v>
      </c>
      <c r="J211" s="119">
        <v>3</v>
      </c>
      <c r="K211" s="123" t="s">
        <v>2326</v>
      </c>
      <c r="L211" s="22">
        <v>0</v>
      </c>
      <c r="M211" s="22">
        <v>0</v>
      </c>
      <c r="N211" s="125">
        <v>0</v>
      </c>
      <c r="O211" s="22">
        <v>0</v>
      </c>
      <c r="P211" s="22">
        <v>0</v>
      </c>
      <c r="Q211" s="22">
        <v>0</v>
      </c>
      <c r="R211" s="22">
        <v>-1</v>
      </c>
      <c r="S211" s="134"/>
      <c r="T211" s="22">
        <v>0</v>
      </c>
      <c r="U211" s="22">
        <v>0</v>
      </c>
      <c r="V211" s="22">
        <v>1</v>
      </c>
      <c r="W211" s="23"/>
      <c r="X211" s="23"/>
      <c r="Y211" s="23"/>
    </row>
    <row r="212" spans="1:25" ht="14.4">
      <c r="A212" s="117">
        <v>1</v>
      </c>
      <c r="B212" s="118" t="s">
        <v>2327</v>
      </c>
      <c r="C212" s="22">
        <v>212</v>
      </c>
      <c r="D212" s="119">
        <v>6</v>
      </c>
      <c r="E212" s="119" t="s">
        <v>497</v>
      </c>
      <c r="F212" s="121" t="str">
        <f>HYPERLINK("https://internasional.kompas.com/read/2019/03/27/18292741/brunei-dikabarkan-akan-hukum-rajam-sampai-mati-pelaku-lgbt ","sumber")</f>
        <v>sumber</v>
      </c>
      <c r="G212" s="121" t="str">
        <f t="shared" si="0"/>
        <v>lokasi</v>
      </c>
      <c r="H212" s="118">
        <v>281</v>
      </c>
      <c r="I212" s="22">
        <v>1</v>
      </c>
      <c r="J212" s="119">
        <v>3</v>
      </c>
      <c r="K212" s="123" t="s">
        <v>2328</v>
      </c>
      <c r="L212" s="22">
        <v>0</v>
      </c>
      <c r="M212" s="22">
        <v>-1</v>
      </c>
      <c r="N212" s="125">
        <v>0</v>
      </c>
      <c r="O212" s="22">
        <v>0</v>
      </c>
      <c r="P212" s="22">
        <v>0</v>
      </c>
      <c r="Q212" s="22">
        <v>0</v>
      </c>
      <c r="R212" s="22">
        <v>1</v>
      </c>
      <c r="S212" s="134"/>
      <c r="T212" s="22">
        <v>0</v>
      </c>
      <c r="U212" s="22">
        <v>0</v>
      </c>
      <c r="V212" s="22">
        <v>1</v>
      </c>
      <c r="W212" s="23"/>
      <c r="X212" s="23"/>
      <c r="Y212" s="23"/>
    </row>
    <row r="213" spans="1:25" ht="14.4">
      <c r="A213" s="117">
        <v>1</v>
      </c>
      <c r="B213" s="118" t="s">
        <v>2329</v>
      </c>
      <c r="C213" s="22">
        <v>213</v>
      </c>
      <c r="D213" s="119">
        <v>2</v>
      </c>
      <c r="E213" s="119" t="s">
        <v>504</v>
      </c>
      <c r="F213" s="121" t="str">
        <f>HYPERLINK("https://www.cnnindonesia.com/gaya-hidup/20190329183439-269-381868/gay-dihukum-mati-george-clooney-serukan-boikot-hotel-brunei ","sumber")</f>
        <v>sumber</v>
      </c>
      <c r="G213" s="121" t="str">
        <f t="shared" si="0"/>
        <v>lokasi</v>
      </c>
      <c r="H213" s="118">
        <v>422</v>
      </c>
      <c r="I213" s="22">
        <v>1</v>
      </c>
      <c r="J213" s="119">
        <v>3</v>
      </c>
      <c r="K213" s="123" t="s">
        <v>2330</v>
      </c>
      <c r="L213" s="22">
        <v>0</v>
      </c>
      <c r="M213" s="22">
        <v>-1</v>
      </c>
      <c r="N213" s="125">
        <v>0</v>
      </c>
      <c r="O213" s="22">
        <v>0</v>
      </c>
      <c r="P213" s="22">
        <v>0</v>
      </c>
      <c r="Q213" s="22" t="s">
        <v>29</v>
      </c>
      <c r="R213" s="22" t="s">
        <v>160</v>
      </c>
      <c r="S213" s="134"/>
      <c r="T213" s="22">
        <v>0</v>
      </c>
      <c r="U213" s="22">
        <v>0</v>
      </c>
      <c r="V213" s="22">
        <v>1</v>
      </c>
      <c r="W213" s="23"/>
      <c r="X213" s="23"/>
      <c r="Y213" s="23"/>
    </row>
    <row r="214" spans="1:25" ht="14.4">
      <c r="A214" s="117">
        <v>1</v>
      </c>
      <c r="B214" s="118" t="s">
        <v>2331</v>
      </c>
      <c r="C214" s="22">
        <v>214</v>
      </c>
      <c r="D214" s="119">
        <v>7</v>
      </c>
      <c r="E214" s="120">
        <v>43469</v>
      </c>
      <c r="F214" s="121" t="str">
        <f>HYPERLINK("http://www.tribunnews.com/seleb/2019/04/01/lucinta-luna-tak-pernah-mengakui-barbie-kumalasari-justru-bongkar-identitasnya-sekarang-cewek ","sumber")</f>
        <v>sumber</v>
      </c>
      <c r="G214" s="121" t="str">
        <f t="shared" si="0"/>
        <v>lokasi</v>
      </c>
      <c r="H214" s="118">
        <v>295</v>
      </c>
      <c r="I214" s="22">
        <v>2</v>
      </c>
      <c r="J214" s="119">
        <v>3</v>
      </c>
      <c r="K214" s="123" t="s">
        <v>2332</v>
      </c>
      <c r="L214" s="22">
        <v>0</v>
      </c>
      <c r="M214" s="22">
        <v>0</v>
      </c>
      <c r="N214" s="125">
        <v>0</v>
      </c>
      <c r="O214" s="22">
        <v>0</v>
      </c>
      <c r="P214" s="22">
        <v>0</v>
      </c>
      <c r="Q214" s="22">
        <v>0</v>
      </c>
      <c r="R214" s="22">
        <v>0</v>
      </c>
      <c r="S214" s="134"/>
      <c r="T214" s="22">
        <v>0</v>
      </c>
      <c r="U214" s="22">
        <v>0</v>
      </c>
      <c r="V214" s="22">
        <v>0</v>
      </c>
      <c r="W214" s="23"/>
      <c r="X214" s="23"/>
      <c r="Y214" s="23"/>
    </row>
    <row r="215" spans="1:25" ht="14.4">
      <c r="A215" s="117">
        <v>1</v>
      </c>
      <c r="B215" s="118" t="s">
        <v>2333</v>
      </c>
      <c r="C215" s="22">
        <v>215</v>
      </c>
      <c r="D215" s="119">
        <v>4</v>
      </c>
      <c r="E215" s="120">
        <v>43500</v>
      </c>
      <c r="F215" s="121" t="str">
        <f>HYPERLINK("https://www.liputan6.com/global/read/3931715/pbb-kecam-sanksi-rajam-homoseksual-oleh-brunei-sebagai-tindakan-tidak-manusiawi ","sumber")</f>
        <v>sumber</v>
      </c>
      <c r="G215" s="121" t="str">
        <f t="shared" si="0"/>
        <v>lokasi</v>
      </c>
      <c r="H215" s="118">
        <v>407</v>
      </c>
      <c r="I215" s="22">
        <v>1</v>
      </c>
      <c r="J215" s="119">
        <v>3</v>
      </c>
      <c r="K215" s="123" t="s">
        <v>2334</v>
      </c>
      <c r="L215" s="22">
        <v>0</v>
      </c>
      <c r="M215" s="22">
        <v>-1</v>
      </c>
      <c r="N215" s="125">
        <v>0</v>
      </c>
      <c r="O215" s="22">
        <v>0</v>
      </c>
      <c r="P215" s="22">
        <v>0</v>
      </c>
      <c r="Q215" s="22">
        <v>0</v>
      </c>
      <c r="R215" s="22">
        <v>1</v>
      </c>
      <c r="S215" s="134"/>
      <c r="T215" s="22">
        <v>0</v>
      </c>
      <c r="U215" s="22">
        <v>0</v>
      </c>
      <c r="V215" s="22">
        <v>1</v>
      </c>
      <c r="W215" s="23"/>
      <c r="X215" s="23"/>
      <c r="Y215" s="23"/>
    </row>
    <row r="216" spans="1:25" ht="14.4">
      <c r="A216" s="117">
        <v>1</v>
      </c>
      <c r="B216" s="118" t="s">
        <v>2335</v>
      </c>
      <c r="C216" s="22">
        <v>216</v>
      </c>
      <c r="D216" s="119">
        <v>2</v>
      </c>
      <c r="E216" s="120">
        <v>43559</v>
      </c>
      <c r="F216" s="121" t="str">
        <f>HYPERLINK("https://www.cnnindonesia.com/internasional/20190404095039-134-383295/uni-eropa-turut-menentang-hukuman-mati-lgbt-di-brunei ","sumber")</f>
        <v>sumber</v>
      </c>
      <c r="G216" s="121" t="str">
        <f t="shared" si="0"/>
        <v>lokasi</v>
      </c>
      <c r="H216" s="118">
        <v>316</v>
      </c>
      <c r="I216" s="22">
        <v>1</v>
      </c>
      <c r="J216" s="119">
        <v>3</v>
      </c>
      <c r="K216" s="123" t="s">
        <v>2336</v>
      </c>
      <c r="L216" s="22">
        <v>0</v>
      </c>
      <c r="M216" s="22">
        <v>1</v>
      </c>
      <c r="N216" s="125">
        <v>0</v>
      </c>
      <c r="O216" s="22">
        <v>0</v>
      </c>
      <c r="P216" s="22">
        <v>0</v>
      </c>
      <c r="Q216" s="22" t="s">
        <v>21</v>
      </c>
      <c r="R216" s="22" t="s">
        <v>837</v>
      </c>
      <c r="S216" s="134"/>
      <c r="T216" s="22">
        <v>0</v>
      </c>
      <c r="U216" s="22">
        <v>0</v>
      </c>
      <c r="V216" s="22">
        <v>1</v>
      </c>
      <c r="W216" s="23"/>
      <c r="X216" s="23"/>
      <c r="Y216" s="23"/>
    </row>
    <row r="217" spans="1:25" ht="14.4">
      <c r="A217" s="117">
        <v>1</v>
      </c>
      <c r="B217" s="118" t="s">
        <v>2337</v>
      </c>
      <c r="C217" s="22">
        <v>217</v>
      </c>
      <c r="D217" s="119">
        <v>6</v>
      </c>
      <c r="E217" s="120">
        <v>43559</v>
      </c>
      <c r="F217" s="121" t="str">
        <f>HYPERLINK("https://nasional.kompas.com/read/2019/04/04/19213161/melihat-massa-basah-kuyup-ikuti-kampanye-jokowi-optimis-menang-di-tegal ","sumber")</f>
        <v>sumber</v>
      </c>
      <c r="G217" s="121" t="str">
        <f t="shared" si="0"/>
        <v>lokasi</v>
      </c>
      <c r="H217" s="118">
        <v>231</v>
      </c>
      <c r="I217" s="22">
        <v>1</v>
      </c>
      <c r="J217" s="119">
        <v>3</v>
      </c>
      <c r="K217" s="123" t="s">
        <v>2338</v>
      </c>
      <c r="L217" s="22">
        <v>0</v>
      </c>
      <c r="M217" s="22">
        <v>-1</v>
      </c>
      <c r="N217" s="125">
        <v>0</v>
      </c>
      <c r="O217" s="22">
        <v>0</v>
      </c>
      <c r="P217" s="22">
        <v>0</v>
      </c>
      <c r="Q217" s="22">
        <v>0</v>
      </c>
      <c r="R217" s="22">
        <v>-1</v>
      </c>
      <c r="S217" s="134"/>
      <c r="T217" s="22">
        <v>0</v>
      </c>
      <c r="U217" s="22">
        <v>0</v>
      </c>
      <c r="V217" s="22">
        <v>1</v>
      </c>
      <c r="W217" s="23"/>
      <c r="X217" s="23"/>
      <c r="Y217" s="23"/>
    </row>
    <row r="218" spans="1:25" ht="14.4">
      <c r="A218" s="117">
        <v>1</v>
      </c>
      <c r="B218" s="118" t="s">
        <v>1447</v>
      </c>
      <c r="C218" s="22">
        <v>218</v>
      </c>
      <c r="D218" s="119">
        <v>4</v>
      </c>
      <c r="E218" s="120">
        <v>43589</v>
      </c>
      <c r="F218" s="121" t="str">
        <f>HYPERLINK("https://www.liputan6.com/global/read/3934837/dikecam-netizen-soal-uu-rajam-sejumlah-medsos-hotel-milik-brunei-non-aktif ","sumber")</f>
        <v>sumber</v>
      </c>
      <c r="G218" s="121" t="str">
        <f t="shared" si="0"/>
        <v>lokasi</v>
      </c>
      <c r="H218" s="118">
        <v>387</v>
      </c>
      <c r="I218" s="22">
        <v>1</v>
      </c>
      <c r="J218" s="119">
        <v>3</v>
      </c>
      <c r="K218" s="123" t="s">
        <v>2339</v>
      </c>
      <c r="L218" s="22">
        <v>0</v>
      </c>
      <c r="M218" s="22">
        <v>-1</v>
      </c>
      <c r="N218" s="125">
        <v>0</v>
      </c>
      <c r="O218" s="22">
        <v>0</v>
      </c>
      <c r="P218" s="22">
        <v>0</v>
      </c>
      <c r="Q218" s="22">
        <v>0</v>
      </c>
      <c r="R218" s="22">
        <v>-1</v>
      </c>
      <c r="S218" s="134"/>
      <c r="T218" s="22">
        <v>0</v>
      </c>
      <c r="U218" s="22">
        <v>0</v>
      </c>
      <c r="V218" s="22">
        <v>1</v>
      </c>
      <c r="W218" s="23"/>
      <c r="X218" s="23"/>
      <c r="Y218" s="23"/>
    </row>
    <row r="219" spans="1:25" ht="14.4">
      <c r="A219" s="117">
        <v>1</v>
      </c>
      <c r="B219" s="118" t="s">
        <v>2340</v>
      </c>
      <c r="C219" s="22">
        <v>219</v>
      </c>
      <c r="D219" s="119">
        <v>7</v>
      </c>
      <c r="E219" s="120">
        <v>43589</v>
      </c>
      <c r="F219" s="121" t="str">
        <f>HYPERLINK("http://www.tribunnews.com/regional/2019/04/05/polres-tasikmalaya-kota-gelar-rekonstruksi-pembunuhan-janda-oleh-teman-kencan-begini-kronologinya ","sumber")</f>
        <v>sumber</v>
      </c>
      <c r="G219" s="121" t="str">
        <f t="shared" si="0"/>
        <v>lokasi</v>
      </c>
      <c r="H219" s="118">
        <v>164</v>
      </c>
      <c r="I219" s="22">
        <v>1</v>
      </c>
      <c r="J219" s="119">
        <v>1</v>
      </c>
      <c r="K219" s="123" t="s">
        <v>2341</v>
      </c>
      <c r="L219" s="22">
        <v>0</v>
      </c>
      <c r="M219" s="22">
        <v>-1</v>
      </c>
      <c r="N219" s="125">
        <v>0</v>
      </c>
      <c r="O219" s="22">
        <v>0</v>
      </c>
      <c r="P219" s="22">
        <v>0</v>
      </c>
      <c r="Q219" s="22">
        <v>0</v>
      </c>
      <c r="R219" s="22">
        <v>0</v>
      </c>
      <c r="S219" s="134"/>
      <c r="T219" s="22">
        <v>0</v>
      </c>
      <c r="U219" s="22">
        <v>0</v>
      </c>
      <c r="V219" s="22">
        <v>0</v>
      </c>
      <c r="W219" s="23"/>
      <c r="X219" s="23"/>
      <c r="Y219" s="23"/>
    </row>
    <row r="220" spans="1:25" ht="14.4">
      <c r="A220" s="135">
        <v>1</v>
      </c>
      <c r="B220" s="155" t="s">
        <v>2342</v>
      </c>
      <c r="C220" s="137">
        <v>220</v>
      </c>
      <c r="D220" s="138">
        <v>10</v>
      </c>
      <c r="E220" s="138" t="s">
        <v>2018</v>
      </c>
      <c r="F220" s="139" t="str">
        <f>HYPERLINK("https://seleb.tempo.co/read/1199929/mui-kota-depok-turut-larang-penayangan-film-kucumbu-tubuh-indahku ","sumber")</f>
        <v>sumber</v>
      </c>
      <c r="G220" s="139" t="str">
        <f t="shared" si="0"/>
        <v>lokasi</v>
      </c>
      <c r="H220" s="136">
        <v>290</v>
      </c>
      <c r="I220" s="137">
        <v>1</v>
      </c>
      <c r="J220" s="138">
        <v>3</v>
      </c>
      <c r="K220" s="140" t="s">
        <v>2343</v>
      </c>
      <c r="L220" s="137">
        <v>0</v>
      </c>
      <c r="M220" s="137">
        <v>-1</v>
      </c>
      <c r="N220" s="141">
        <v>0</v>
      </c>
      <c r="O220" s="137">
        <v>0</v>
      </c>
      <c r="P220" s="137">
        <v>0</v>
      </c>
      <c r="Q220" s="137" t="s">
        <v>29</v>
      </c>
      <c r="R220" s="137" t="s">
        <v>653</v>
      </c>
      <c r="S220" s="140" t="s">
        <v>843</v>
      </c>
      <c r="T220" s="137">
        <v>1</v>
      </c>
      <c r="U220" s="137">
        <v>0</v>
      </c>
      <c r="V220" s="137">
        <v>0</v>
      </c>
      <c r="W220" s="143"/>
      <c r="X220" s="143"/>
      <c r="Y220" s="137"/>
    </row>
    <row r="221" spans="1:25" ht="14.4">
      <c r="A221" s="135">
        <v>1</v>
      </c>
      <c r="B221" s="155" t="s">
        <v>2344</v>
      </c>
      <c r="C221" s="137">
        <v>221</v>
      </c>
      <c r="D221" s="138">
        <v>9</v>
      </c>
      <c r="E221" s="138" t="s">
        <v>162</v>
      </c>
      <c r="F221" s="139" t="str">
        <f>HYPERLINK("https://internasional.republika.co.id/berita/internasional/abc-australia-network/pqetdu366/surati-parlemen-eropa-brunei-bela-hukuman-mati-untuk-ltemgtgayltemgt ","sumber")</f>
        <v>sumber</v>
      </c>
      <c r="G221" s="139" t="str">
        <f t="shared" si="0"/>
        <v>lokasi</v>
      </c>
      <c r="H221" s="136">
        <v>451</v>
      </c>
      <c r="I221" s="137">
        <v>1</v>
      </c>
      <c r="J221" s="138">
        <v>3</v>
      </c>
      <c r="K221" s="140" t="s">
        <v>2345</v>
      </c>
      <c r="L221" s="137">
        <v>0</v>
      </c>
      <c r="M221" s="137">
        <v>1</v>
      </c>
      <c r="N221" s="141">
        <v>0</v>
      </c>
      <c r="O221" s="137">
        <v>0</v>
      </c>
      <c r="P221" s="137">
        <v>0</v>
      </c>
      <c r="Q221" s="137" t="s">
        <v>21</v>
      </c>
      <c r="R221" s="137" t="s">
        <v>739</v>
      </c>
      <c r="S221" s="142"/>
      <c r="T221" s="137">
        <v>0</v>
      </c>
      <c r="U221" s="137">
        <v>0</v>
      </c>
      <c r="V221" s="137">
        <v>1</v>
      </c>
      <c r="W221" s="143"/>
      <c r="X221" s="143"/>
      <c r="Y221" s="137"/>
    </row>
    <row r="222" spans="1:25" ht="14.4">
      <c r="A222" s="111">
        <v>2</v>
      </c>
      <c r="B222" s="112" t="s">
        <v>2346</v>
      </c>
      <c r="C222" s="25">
        <v>222</v>
      </c>
      <c r="D222" s="113">
        <v>2</v>
      </c>
      <c r="E222" s="113" t="s">
        <v>2347</v>
      </c>
      <c r="F222" s="115" t="str">
        <f>HYPERLINK("https://www.cnnindonesia.com/olahraga/20190415122225-156-386457/sebut-rossi-idola-rins-bisa-jadi-musuh-the-doctor-di-motogp ","sumber")</f>
        <v>sumber</v>
      </c>
      <c r="G222" s="115" t="str">
        <f t="shared" si="0"/>
        <v>lokasi</v>
      </c>
      <c r="H222" s="112">
        <v>313</v>
      </c>
      <c r="I222" s="26"/>
      <c r="J222" s="113">
        <v>3</v>
      </c>
      <c r="K222" s="124"/>
      <c r="L222" s="26"/>
      <c r="M222" s="26"/>
      <c r="N222" s="26"/>
      <c r="O222" s="26"/>
      <c r="P222" s="26"/>
      <c r="Q222" s="26"/>
      <c r="R222" s="26"/>
      <c r="S222" s="124"/>
      <c r="T222" s="26"/>
      <c r="U222" s="26"/>
      <c r="V222" s="26"/>
      <c r="W222" s="26"/>
      <c r="X222" s="26"/>
      <c r="Y222" s="25"/>
    </row>
    <row r="223" spans="1:25" ht="14.4">
      <c r="A223" s="117">
        <v>1</v>
      </c>
      <c r="B223" s="118" t="s">
        <v>2348</v>
      </c>
      <c r="C223" s="22">
        <v>223</v>
      </c>
      <c r="D223" s="119">
        <v>7</v>
      </c>
      <c r="E223" s="119" t="s">
        <v>2018</v>
      </c>
      <c r="F223" s="121" t="str">
        <f>HYPERLINK("http://www.tribunnews.com/metropolitan/2019/04/28/polisi-gadungan-di-bekasi-peras-pasangan-sesama-jenis-yang-sedang-berkencan-korbannya-banyak ","sumber")</f>
        <v>sumber</v>
      </c>
      <c r="G223" s="121" t="str">
        <f t="shared" si="0"/>
        <v>lokasi</v>
      </c>
      <c r="H223" s="118">
        <v>213</v>
      </c>
      <c r="I223" s="22">
        <v>1</v>
      </c>
      <c r="J223" s="119">
        <v>3</v>
      </c>
      <c r="K223" s="123" t="s">
        <v>2349</v>
      </c>
      <c r="L223" s="22">
        <v>0</v>
      </c>
      <c r="M223" s="22">
        <v>-1</v>
      </c>
      <c r="N223" s="125">
        <v>0</v>
      </c>
      <c r="O223" s="22">
        <v>0</v>
      </c>
      <c r="P223" s="22">
        <v>0</v>
      </c>
      <c r="Q223" s="22" t="s">
        <v>21</v>
      </c>
      <c r="R223" s="22" t="s">
        <v>21</v>
      </c>
      <c r="S223" s="134"/>
      <c r="T223" s="22">
        <v>0</v>
      </c>
      <c r="U223" s="22">
        <v>0</v>
      </c>
      <c r="V223" s="22">
        <v>0</v>
      </c>
      <c r="W223" s="23"/>
      <c r="X223" s="23"/>
      <c r="Y223" s="23"/>
    </row>
    <row r="224" spans="1:25" ht="14.4">
      <c r="A224" s="117">
        <v>1</v>
      </c>
      <c r="B224" s="118" t="s">
        <v>2350</v>
      </c>
      <c r="C224" s="22">
        <v>224</v>
      </c>
      <c r="D224" s="119">
        <v>8</v>
      </c>
      <c r="E224" s="120">
        <v>43470</v>
      </c>
      <c r="F224" s="121" t="str">
        <f>HYPERLINK("https://www.suara.com/news/2019/05/01/134204/sebut-jokowi-luluskan-sensor-film-homo-tengku-zul-diskakmat-sutradara ","sumber")</f>
        <v>sumber</v>
      </c>
      <c r="G224" s="121" t="str">
        <f t="shared" si="0"/>
        <v>lokasi</v>
      </c>
      <c r="H224" s="118">
        <v>308</v>
      </c>
      <c r="I224" s="22">
        <v>1</v>
      </c>
      <c r="J224" s="119">
        <v>3</v>
      </c>
      <c r="K224" s="123" t="s">
        <v>2351</v>
      </c>
      <c r="L224" s="22">
        <v>0</v>
      </c>
      <c r="M224" s="22">
        <v>1</v>
      </c>
      <c r="N224" s="125">
        <v>0</v>
      </c>
      <c r="O224" s="22">
        <v>0</v>
      </c>
      <c r="P224" s="22">
        <v>0</v>
      </c>
      <c r="Q224" s="22" t="s">
        <v>29</v>
      </c>
      <c r="R224" s="22" t="s">
        <v>141</v>
      </c>
      <c r="S224" s="134"/>
      <c r="T224" s="22">
        <v>0</v>
      </c>
      <c r="U224" s="22">
        <v>0</v>
      </c>
      <c r="V224" s="22">
        <v>0</v>
      </c>
      <c r="W224" s="23"/>
      <c r="X224" s="23"/>
      <c r="Y224" s="23"/>
    </row>
    <row r="225" spans="1:25" ht="14.4">
      <c r="A225" s="117">
        <v>1</v>
      </c>
      <c r="B225" s="118" t="s">
        <v>2352</v>
      </c>
      <c r="C225" s="22">
        <v>225</v>
      </c>
      <c r="D225" s="119">
        <v>4</v>
      </c>
      <c r="E225" s="120">
        <v>43529</v>
      </c>
      <c r="F225" s="121" t="str">
        <f>HYPERLINK("https://www.liputan6.com/showbiz/read/3956601/kontroversi-film-kucumbu-tubuh-indahku-ini-kata-joko-anwar ","sumber")</f>
        <v>sumber</v>
      </c>
      <c r="G225" s="121" t="str">
        <f t="shared" si="0"/>
        <v>lokasi</v>
      </c>
      <c r="H225" s="118">
        <v>264</v>
      </c>
      <c r="I225" s="22">
        <v>1</v>
      </c>
      <c r="J225" s="119">
        <v>3</v>
      </c>
      <c r="K225" s="123" t="s">
        <v>2353</v>
      </c>
      <c r="L225" s="22">
        <v>0</v>
      </c>
      <c r="M225" s="22">
        <v>-1</v>
      </c>
      <c r="N225" s="125">
        <v>0</v>
      </c>
      <c r="O225" s="22">
        <v>0</v>
      </c>
      <c r="P225" s="22">
        <v>0</v>
      </c>
      <c r="Q225" s="22">
        <v>0</v>
      </c>
      <c r="R225" s="22">
        <v>1</v>
      </c>
      <c r="S225" s="134"/>
      <c r="T225" s="22">
        <v>0</v>
      </c>
      <c r="U225" s="22">
        <v>0</v>
      </c>
      <c r="V225" s="22">
        <v>1</v>
      </c>
      <c r="W225" s="23"/>
      <c r="X225" s="23"/>
      <c r="Y225" s="23"/>
    </row>
    <row r="226" spans="1:25" ht="14.4">
      <c r="A226" s="117">
        <v>1</v>
      </c>
      <c r="B226" s="118" t="s">
        <v>2354</v>
      </c>
      <c r="C226" s="22">
        <v>226</v>
      </c>
      <c r="D226" s="119">
        <v>6</v>
      </c>
      <c r="E226" s="120">
        <v>43621</v>
      </c>
      <c r="F226" s="121" t="str">
        <f>HYPERLINK("https://internasional.kompas.com/read/2019/05/06/06264811/dapat-tekanan-dunia-sultan-brunei-tak-hukum-mati-pelaku-seks-lgbt ","sumber")</f>
        <v>sumber</v>
      </c>
      <c r="G226" s="121" t="str">
        <f t="shared" si="0"/>
        <v>lokasi</v>
      </c>
      <c r="H226" s="118">
        <v>285</v>
      </c>
      <c r="I226" s="22">
        <v>1</v>
      </c>
      <c r="J226" s="119">
        <v>3</v>
      </c>
      <c r="K226" s="123" t="s">
        <v>2355</v>
      </c>
      <c r="L226" s="22">
        <v>0</v>
      </c>
      <c r="M226" s="22">
        <v>-1</v>
      </c>
      <c r="N226" s="125">
        <v>0</v>
      </c>
      <c r="O226" s="22">
        <v>0</v>
      </c>
      <c r="P226" s="22">
        <v>0</v>
      </c>
      <c r="Q226" s="22">
        <v>0</v>
      </c>
      <c r="R226" s="22">
        <v>-1</v>
      </c>
      <c r="S226" s="134"/>
      <c r="T226" s="22">
        <v>0</v>
      </c>
      <c r="U226" s="22">
        <v>0</v>
      </c>
      <c r="V226" s="22">
        <v>1</v>
      </c>
      <c r="W226" s="23"/>
      <c r="X226" s="23"/>
      <c r="Y226" s="23"/>
    </row>
    <row r="227" spans="1:25" ht="14.4">
      <c r="A227" s="135">
        <v>1</v>
      </c>
      <c r="B227" s="155" t="s">
        <v>2356</v>
      </c>
      <c r="C227" s="137">
        <v>227</v>
      </c>
      <c r="D227" s="138">
        <v>2</v>
      </c>
      <c r="E227" s="138" t="s">
        <v>205</v>
      </c>
      <c r="F227" s="139" t="str">
        <f>HYPERLINK("https://www.cnnindonesia.com/nasional/20190521022454-20-396688/polisi-dipecat-karena-penyuka-sesama-jenis-menggugat-ke-ptun ","sumber")</f>
        <v>sumber</v>
      </c>
      <c r="G227" s="139" t="str">
        <f t="shared" si="0"/>
        <v>lokasi</v>
      </c>
      <c r="H227" s="136">
        <v>421</v>
      </c>
      <c r="I227" s="137">
        <v>1</v>
      </c>
      <c r="J227" s="138"/>
      <c r="K227" s="140" t="s">
        <v>2357</v>
      </c>
      <c r="L227" s="137">
        <v>0</v>
      </c>
      <c r="M227" s="137">
        <v>1</v>
      </c>
      <c r="N227" s="141">
        <v>0</v>
      </c>
      <c r="O227" s="137">
        <v>0</v>
      </c>
      <c r="P227" s="137">
        <v>0</v>
      </c>
      <c r="Q227" s="137" t="s">
        <v>29</v>
      </c>
      <c r="R227" s="137" t="s">
        <v>160</v>
      </c>
      <c r="S227" s="140" t="s">
        <v>2358</v>
      </c>
      <c r="T227" s="137">
        <v>1</v>
      </c>
      <c r="U227" s="137">
        <v>0</v>
      </c>
      <c r="V227" s="137">
        <v>0</v>
      </c>
      <c r="W227" s="143"/>
      <c r="X227" s="143"/>
      <c r="Y227" s="137"/>
    </row>
    <row r="228" spans="1:25" ht="14.4">
      <c r="A228" s="117">
        <v>1</v>
      </c>
      <c r="B228" s="118" t="s">
        <v>2359</v>
      </c>
      <c r="C228" s="22">
        <v>228</v>
      </c>
      <c r="D228" s="119">
        <v>3</v>
      </c>
      <c r="E228" s="119" t="s">
        <v>362</v>
      </c>
      <c r="F228" s="121" t="str">
        <f>HYPERLINK("https://celebrity.okezone.com/read/2019/05/15/33/2055884/lucinta-luna-rencanakan-operasi-pinggang-netizen-nanti-body-nya-kayak-pulpen ","sumber")</f>
        <v>sumber</v>
      </c>
      <c r="G228" s="121" t="str">
        <f t="shared" si="0"/>
        <v>lokasi</v>
      </c>
      <c r="H228" s="118">
        <v>374</v>
      </c>
      <c r="I228" s="22">
        <v>2</v>
      </c>
      <c r="J228" s="119">
        <v>3</v>
      </c>
      <c r="K228" s="123" t="s">
        <v>2360</v>
      </c>
      <c r="L228" s="22">
        <v>0</v>
      </c>
      <c r="M228" s="22">
        <v>0</v>
      </c>
      <c r="N228" s="125">
        <v>0</v>
      </c>
      <c r="O228" s="22">
        <v>0</v>
      </c>
      <c r="P228" s="22">
        <v>0</v>
      </c>
      <c r="Q228" s="22">
        <v>2</v>
      </c>
      <c r="R228" s="22">
        <v>0</v>
      </c>
      <c r="S228" s="134"/>
      <c r="T228" s="22">
        <v>0</v>
      </c>
      <c r="U228" s="22">
        <v>-1</v>
      </c>
      <c r="V228" s="22">
        <v>0</v>
      </c>
      <c r="W228" s="23"/>
      <c r="X228" s="23"/>
      <c r="Y228" s="23"/>
    </row>
    <row r="229" spans="1:25" ht="14.4">
      <c r="A229" s="117">
        <v>1</v>
      </c>
      <c r="B229" s="118" t="s">
        <v>2361</v>
      </c>
      <c r="C229" s="22">
        <v>229</v>
      </c>
      <c r="D229" s="119">
        <v>1</v>
      </c>
      <c r="E229" s="119" t="s">
        <v>761</v>
      </c>
      <c r="F229" s="121" t="str">
        <f>HYPERLINK("https://news.detik.com/berita/d-4553734/polisi-pecat-anggota-gay-komisi-iii-dpr-akan-crosscheck-ke-jateng ","sumber")</f>
        <v>sumber</v>
      </c>
      <c r="G229" s="121" t="str">
        <f t="shared" si="0"/>
        <v>lokasi</v>
      </c>
      <c r="H229" s="118">
        <v>361</v>
      </c>
      <c r="I229" s="22">
        <v>1</v>
      </c>
      <c r="J229" s="119">
        <v>3</v>
      </c>
      <c r="K229" s="123" t="s">
        <v>2362</v>
      </c>
      <c r="L229" s="22">
        <v>0</v>
      </c>
      <c r="M229" s="22">
        <v>1</v>
      </c>
      <c r="N229" s="125">
        <v>0</v>
      </c>
      <c r="O229" s="22">
        <v>0</v>
      </c>
      <c r="P229" s="22">
        <v>0</v>
      </c>
      <c r="Q229" s="22" t="s">
        <v>29</v>
      </c>
      <c r="R229" s="22" t="s">
        <v>53</v>
      </c>
      <c r="S229" s="134"/>
      <c r="T229" s="22">
        <v>0</v>
      </c>
      <c r="U229" s="22">
        <v>0</v>
      </c>
      <c r="V229" s="22">
        <v>0</v>
      </c>
      <c r="W229" s="23"/>
      <c r="X229" s="23"/>
      <c r="Y229" s="23"/>
    </row>
    <row r="230" spans="1:25" ht="14.4">
      <c r="A230" s="111">
        <v>2</v>
      </c>
      <c r="B230" s="112" t="s">
        <v>2363</v>
      </c>
      <c r="C230" s="25">
        <v>230</v>
      </c>
      <c r="D230" s="113">
        <v>3</v>
      </c>
      <c r="E230" s="113" t="s">
        <v>358</v>
      </c>
      <c r="F230" s="115" t="str">
        <f>HYPERLINK("https://lifestyle.okezone.com/read/2019/05/19/194/2057543/transgender-ini-nekat-operasi-vagina-pakai-kulit-ikan ","sumber")</f>
        <v>sumber</v>
      </c>
      <c r="G230" s="115" t="str">
        <f t="shared" si="0"/>
        <v>lokasi</v>
      </c>
      <c r="H230" s="112">
        <v>505</v>
      </c>
      <c r="I230" s="26"/>
      <c r="J230" s="113">
        <v>3</v>
      </c>
      <c r="K230" s="124"/>
      <c r="L230" s="26"/>
      <c r="M230" s="26"/>
      <c r="N230" s="26"/>
      <c r="O230" s="26"/>
      <c r="P230" s="26"/>
      <c r="Q230" s="26"/>
      <c r="R230" s="26"/>
      <c r="S230" s="124"/>
      <c r="T230" s="26"/>
      <c r="U230" s="26"/>
      <c r="V230" s="26"/>
      <c r="W230" s="26"/>
      <c r="X230" s="26"/>
      <c r="Y230" s="25"/>
    </row>
    <row r="231" spans="1:25" ht="14.4">
      <c r="A231" s="148">
        <v>1</v>
      </c>
      <c r="B231" s="149" t="s">
        <v>2364</v>
      </c>
      <c r="C231" s="33">
        <v>231</v>
      </c>
      <c r="D231" s="128">
        <v>10</v>
      </c>
      <c r="E231" s="129">
        <v>43470</v>
      </c>
      <c r="F231" s="130" t="str">
        <f>HYPERLINK("https://seleb.tempo.co/read/1200850/dianggap-berbahaya-film-kucumbu-tubuh-indahku-aman-secara-legal ","sumber")</f>
        <v>sumber</v>
      </c>
      <c r="G231" s="130" t="str">
        <f t="shared" si="0"/>
        <v>lokasi</v>
      </c>
      <c r="H231" s="127">
        <v>407</v>
      </c>
      <c r="I231" s="33">
        <v>3</v>
      </c>
      <c r="J231" s="128">
        <v>3</v>
      </c>
      <c r="K231" s="131" t="s">
        <v>2365</v>
      </c>
      <c r="L231" s="33">
        <v>0</v>
      </c>
      <c r="M231" s="33">
        <v>0</v>
      </c>
      <c r="N231" s="132">
        <v>0</v>
      </c>
      <c r="O231" s="33">
        <v>0</v>
      </c>
      <c r="P231" s="33">
        <v>0</v>
      </c>
      <c r="Q231" s="33" t="s">
        <v>29</v>
      </c>
      <c r="R231" s="33" t="s">
        <v>68</v>
      </c>
      <c r="S231" s="133"/>
      <c r="T231" s="33">
        <v>0</v>
      </c>
      <c r="U231" s="33">
        <v>0</v>
      </c>
      <c r="V231" s="33">
        <v>0</v>
      </c>
      <c r="W231" s="24"/>
      <c r="X231" s="24"/>
      <c r="Y231" s="33"/>
    </row>
    <row r="232" spans="1:25" ht="14.4">
      <c r="A232" s="135">
        <v>1</v>
      </c>
      <c r="B232" s="155" t="s">
        <v>777</v>
      </c>
      <c r="C232" s="137">
        <v>232</v>
      </c>
      <c r="D232" s="138">
        <v>9</v>
      </c>
      <c r="E232" s="154">
        <v>43682</v>
      </c>
      <c r="F232" s="139" t="str">
        <f>HYPERLINK("https://senggang.republika.co.id/berita/senggang/film/pr6ngu459/ltemgtkucumbu-tubuh-indahkultemgt-dinilai-tak-sesuai-adat-basandi-syara ","sumber")</f>
        <v>sumber</v>
      </c>
      <c r="G232" s="139" t="str">
        <f t="shared" si="0"/>
        <v>lokasi</v>
      </c>
      <c r="H232" s="136">
        <v>334</v>
      </c>
      <c r="I232" s="137">
        <v>1</v>
      </c>
      <c r="J232" s="138">
        <v>3</v>
      </c>
      <c r="K232" s="140" t="s">
        <v>2366</v>
      </c>
      <c r="L232" s="137">
        <v>0</v>
      </c>
      <c r="M232" s="137">
        <v>1</v>
      </c>
      <c r="N232" s="141">
        <v>0</v>
      </c>
      <c r="O232" s="137">
        <v>0</v>
      </c>
      <c r="P232" s="137">
        <v>0</v>
      </c>
      <c r="Q232" s="137">
        <v>0</v>
      </c>
      <c r="R232" s="137">
        <v>-1</v>
      </c>
      <c r="S232" s="140" t="s">
        <v>1397</v>
      </c>
      <c r="T232" s="137">
        <v>1</v>
      </c>
      <c r="U232" s="137">
        <v>0</v>
      </c>
      <c r="V232" s="137">
        <v>0</v>
      </c>
      <c r="W232" s="143"/>
      <c r="X232" s="143"/>
      <c r="Y232" s="137"/>
    </row>
    <row r="233" spans="1:25" ht="14.4">
      <c r="A233" s="148">
        <v>1</v>
      </c>
      <c r="B233" s="149" t="s">
        <v>2367</v>
      </c>
      <c r="C233" s="33">
        <v>233</v>
      </c>
      <c r="D233" s="128">
        <v>6</v>
      </c>
      <c r="E233" s="129">
        <v>43775</v>
      </c>
      <c r="F233" s="130" t="str">
        <f>HYPERLINK("https://internasional.kompas.com/read/2019/06/11/18484041/ma-bostwana-putuskan-menjadi-gay-bukan-tindakan-kriminal ","sumber")</f>
        <v>sumber</v>
      </c>
      <c r="G233" s="130" t="str">
        <f t="shared" si="0"/>
        <v>lokasi</v>
      </c>
      <c r="H233" s="127">
        <v>290</v>
      </c>
      <c r="I233" s="33">
        <v>4</v>
      </c>
      <c r="J233" s="128">
        <v>3</v>
      </c>
      <c r="K233" s="131" t="s">
        <v>2368</v>
      </c>
      <c r="L233" s="33">
        <v>0</v>
      </c>
      <c r="M233" s="33">
        <v>0</v>
      </c>
      <c r="N233" s="132">
        <v>0</v>
      </c>
      <c r="O233" s="33">
        <v>0</v>
      </c>
      <c r="P233" s="33">
        <v>0</v>
      </c>
      <c r="Q233" s="33">
        <v>0</v>
      </c>
      <c r="R233" s="33">
        <v>1</v>
      </c>
      <c r="S233" s="133"/>
      <c r="T233" s="33">
        <v>0</v>
      </c>
      <c r="U233" s="33">
        <v>0</v>
      </c>
      <c r="V233" s="33">
        <v>1</v>
      </c>
      <c r="W233" s="24"/>
      <c r="X233" s="24"/>
      <c r="Y233" s="33"/>
    </row>
    <row r="234" spans="1:25" ht="14.4">
      <c r="A234" s="135">
        <v>1</v>
      </c>
      <c r="B234" s="155" t="s">
        <v>2369</v>
      </c>
      <c r="C234" s="137">
        <v>234</v>
      </c>
      <c r="D234" s="138">
        <v>9</v>
      </c>
      <c r="E234" s="138" t="s">
        <v>2370</v>
      </c>
      <c r="F234" s="139" t="str">
        <f>HYPERLINK("https://nasional.republika.co.id/berita/nasional/daerah/pt6qfn423/pendidikan-agama-cara-ampuh-tekan-penyakit-masyarakat ","sumber")</f>
        <v>sumber</v>
      </c>
      <c r="G234" s="139" t="str">
        <f t="shared" si="0"/>
        <v>lokasi</v>
      </c>
      <c r="H234" s="136">
        <v>269</v>
      </c>
      <c r="I234" s="137">
        <v>1</v>
      </c>
      <c r="J234" s="138">
        <v>3</v>
      </c>
      <c r="K234" s="140" t="s">
        <v>2371</v>
      </c>
      <c r="L234" s="137">
        <v>0</v>
      </c>
      <c r="M234" s="137">
        <v>-1</v>
      </c>
      <c r="N234" s="141">
        <v>0</v>
      </c>
      <c r="O234" s="137">
        <v>0</v>
      </c>
      <c r="P234" s="137">
        <v>0</v>
      </c>
      <c r="Q234" s="137">
        <v>0</v>
      </c>
      <c r="R234" s="137">
        <v>-1</v>
      </c>
      <c r="S234" s="140" t="s">
        <v>2372</v>
      </c>
      <c r="T234" s="137">
        <v>1</v>
      </c>
      <c r="U234" s="137">
        <v>0</v>
      </c>
      <c r="V234" s="137">
        <v>1</v>
      </c>
      <c r="W234" s="143"/>
      <c r="X234" s="143"/>
      <c r="Y234" s="137"/>
    </row>
    <row r="235" spans="1:25" ht="14.4">
      <c r="A235" s="117">
        <v>1</v>
      </c>
      <c r="B235" s="118" t="s">
        <v>2373</v>
      </c>
      <c r="C235" s="22">
        <v>235</v>
      </c>
      <c r="D235" s="119">
        <v>3</v>
      </c>
      <c r="E235" s="120">
        <v>43530</v>
      </c>
      <c r="F235" s="121" t="str">
        <f>HYPERLINK("https://news.okezone.com/read/2019/06/03/510/2063425/para-pencari-tuhan-di-pesantren-waria-yogyakarta-yang-sempat-ditutup ","sumber")</f>
        <v>sumber</v>
      </c>
      <c r="G235" s="121" t="str">
        <f t="shared" si="0"/>
        <v>lokasi</v>
      </c>
      <c r="H235" s="118">
        <v>941</v>
      </c>
      <c r="I235" s="22">
        <v>2</v>
      </c>
      <c r="J235" s="119">
        <v>3</v>
      </c>
      <c r="K235" s="123" t="s">
        <v>2374</v>
      </c>
      <c r="L235" s="22">
        <v>0</v>
      </c>
      <c r="M235" s="22">
        <v>0</v>
      </c>
      <c r="N235" s="125">
        <v>0</v>
      </c>
      <c r="O235" s="22">
        <v>0</v>
      </c>
      <c r="P235" s="22">
        <v>0</v>
      </c>
      <c r="Q235" s="22" t="s">
        <v>2375</v>
      </c>
      <c r="R235" s="22" t="s">
        <v>1026</v>
      </c>
      <c r="S235" s="134"/>
      <c r="T235" s="22">
        <v>0</v>
      </c>
      <c r="U235" s="22">
        <v>0</v>
      </c>
      <c r="V235" s="22">
        <v>0</v>
      </c>
      <c r="W235" s="23"/>
      <c r="X235" s="23"/>
      <c r="Y235" s="23"/>
    </row>
    <row r="236" spans="1:25" ht="14.4">
      <c r="A236" s="117">
        <v>1</v>
      </c>
      <c r="B236" s="118" t="s">
        <v>780</v>
      </c>
      <c r="C236" s="22">
        <v>236</v>
      </c>
      <c r="D236" s="119">
        <v>7</v>
      </c>
      <c r="E236" s="120">
        <v>43561</v>
      </c>
      <c r="F236" s="121" t="str">
        <f>HYPERLINK("http://www.tribunnews.com/seleb/2019/06/04/posting-foto-diri-gendong-balita-yang-diklaim-anaknya-lucinta-luna-membayangkan-jadi-seorang-ibu ","sumber")</f>
        <v>sumber</v>
      </c>
      <c r="G236" s="121" t="str">
        <f t="shared" si="0"/>
        <v>lokasi</v>
      </c>
      <c r="H236" s="118">
        <v>195</v>
      </c>
      <c r="I236" s="22">
        <v>2</v>
      </c>
      <c r="J236" s="119">
        <v>3</v>
      </c>
      <c r="K236" s="123" t="s">
        <v>2360</v>
      </c>
      <c r="L236" s="22">
        <v>0</v>
      </c>
      <c r="M236" s="22">
        <v>0</v>
      </c>
      <c r="N236" s="125">
        <v>0</v>
      </c>
      <c r="O236" s="22">
        <v>0</v>
      </c>
      <c r="P236" s="22">
        <v>0</v>
      </c>
      <c r="Q236" s="22">
        <v>2</v>
      </c>
      <c r="R236" s="22">
        <v>0</v>
      </c>
      <c r="S236" s="134"/>
      <c r="T236" s="22">
        <v>0</v>
      </c>
      <c r="U236" s="22">
        <v>0</v>
      </c>
      <c r="V236" s="22">
        <v>0</v>
      </c>
      <c r="W236" s="23"/>
      <c r="X236" s="23"/>
      <c r="Y236" s="23"/>
    </row>
    <row r="237" spans="1:25" ht="14.4">
      <c r="A237" s="117">
        <v>1</v>
      </c>
      <c r="B237" s="118" t="s">
        <v>2376</v>
      </c>
      <c r="C237" s="22">
        <v>237</v>
      </c>
      <c r="D237" s="119">
        <v>4</v>
      </c>
      <c r="E237" s="120">
        <v>43744</v>
      </c>
      <c r="F237" s="121" t="str">
        <f>HYPERLINK("https://www.liputan6.com/global/read/3986092/cicit-pertama-lahir-presiden-filipina-resmi-jadi-kakek-buyut ","sumber")</f>
        <v>sumber</v>
      </c>
      <c r="G237" s="121" t="str">
        <f t="shared" si="0"/>
        <v>lokasi</v>
      </c>
      <c r="H237" s="118">
        <v>393</v>
      </c>
      <c r="I237" s="22">
        <v>2</v>
      </c>
      <c r="J237" s="119">
        <v>3</v>
      </c>
      <c r="K237" s="123" t="s">
        <v>2377</v>
      </c>
      <c r="L237" s="22">
        <v>0</v>
      </c>
      <c r="M237" s="22">
        <v>0</v>
      </c>
      <c r="N237" s="125">
        <v>0</v>
      </c>
      <c r="O237" s="22">
        <v>0</v>
      </c>
      <c r="P237" s="22">
        <v>0</v>
      </c>
      <c r="Q237" s="22">
        <v>0</v>
      </c>
      <c r="R237" s="22">
        <v>-1</v>
      </c>
      <c r="S237" s="134"/>
      <c r="T237" s="22">
        <v>0</v>
      </c>
      <c r="U237" s="22">
        <v>0</v>
      </c>
      <c r="V237" s="22">
        <v>0</v>
      </c>
      <c r="W237" s="23"/>
      <c r="X237" s="23"/>
      <c r="Y237" s="23"/>
    </row>
    <row r="238" spans="1:25" ht="14.4">
      <c r="A238" s="117">
        <v>1</v>
      </c>
      <c r="B238" s="118" t="s">
        <v>2378</v>
      </c>
      <c r="C238" s="22">
        <v>238</v>
      </c>
      <c r="D238" s="119">
        <v>4</v>
      </c>
      <c r="E238" s="120">
        <v>43775</v>
      </c>
      <c r="F238" s="121" t="str">
        <f>HYPERLINK("https://www.liputan6.com/health/read/3987071/who-transgender-bukan-lagi-gangguan-mental ","sumber")</f>
        <v>sumber</v>
      </c>
      <c r="G238" s="121" t="str">
        <f t="shared" si="0"/>
        <v>lokasi</v>
      </c>
      <c r="H238" s="118">
        <v>270</v>
      </c>
      <c r="I238" s="22">
        <v>4</v>
      </c>
      <c r="J238" s="119">
        <v>3</v>
      </c>
      <c r="K238" s="123" t="s">
        <v>2379</v>
      </c>
      <c r="L238" s="22">
        <v>0</v>
      </c>
      <c r="M238" s="22">
        <v>0</v>
      </c>
      <c r="N238" s="125">
        <v>0</v>
      </c>
      <c r="O238" s="22">
        <v>0</v>
      </c>
      <c r="P238" s="22">
        <v>0</v>
      </c>
      <c r="Q238" s="22" t="s">
        <v>68</v>
      </c>
      <c r="R238" s="22" t="s">
        <v>160</v>
      </c>
      <c r="S238" s="134"/>
      <c r="T238" s="22">
        <v>0</v>
      </c>
      <c r="U238" s="22">
        <v>0</v>
      </c>
      <c r="V238" s="22">
        <v>1</v>
      </c>
      <c r="W238" s="23"/>
      <c r="X238" s="23"/>
      <c r="Y238" s="23"/>
    </row>
    <row r="239" spans="1:25" ht="14.4">
      <c r="A239" s="111">
        <v>2</v>
      </c>
      <c r="B239" s="112" t="s">
        <v>2380</v>
      </c>
      <c r="C239" s="25">
        <v>239</v>
      </c>
      <c r="D239" s="113">
        <v>9</v>
      </c>
      <c r="E239" s="113" t="s">
        <v>799</v>
      </c>
      <c r="F239" s="115" t="str">
        <f>HYPERLINK("https://gayahidup.republika.co.id/berita/gaya-hidup/tips/pt4do1/ini-25-universitas-terbaik-di-dunia ","sumber")</f>
        <v>sumber</v>
      </c>
      <c r="G239" s="115" t="str">
        <f t="shared" si="0"/>
        <v>lokasi</v>
      </c>
      <c r="H239" s="112">
        <v>2444</v>
      </c>
      <c r="I239" s="26"/>
      <c r="J239" s="113">
        <v>3</v>
      </c>
      <c r="K239" s="124"/>
      <c r="L239" s="26"/>
      <c r="M239" s="26"/>
      <c r="N239" s="26"/>
      <c r="O239" s="26"/>
      <c r="P239" s="26"/>
      <c r="Q239" s="26"/>
      <c r="R239" s="26"/>
      <c r="S239" s="124"/>
      <c r="T239" s="26"/>
      <c r="U239" s="26"/>
      <c r="V239" s="26"/>
      <c r="W239" s="26"/>
      <c r="X239" s="26"/>
      <c r="Y239" s="25"/>
    </row>
    <row r="240" spans="1:25" ht="14.4">
      <c r="A240" s="117">
        <v>1</v>
      </c>
      <c r="B240" s="118" t="s">
        <v>2381</v>
      </c>
      <c r="C240" s="22">
        <v>240</v>
      </c>
      <c r="D240" s="119">
        <v>1</v>
      </c>
      <c r="E240" s="119" t="s">
        <v>2035</v>
      </c>
      <c r="F240" s="121" t="str">
        <f>HYPERLINK("https://hot.detik.com/movie/d-4597704/kontroversi-karakter-gay-pertama-di-mcu-bos-marvel-akhirnya-bicara ","sumber")</f>
        <v>sumber</v>
      </c>
      <c r="G240" s="121" t="str">
        <f t="shared" si="0"/>
        <v>lokasi</v>
      </c>
      <c r="H240" s="118">
        <v>1940</v>
      </c>
      <c r="I240" s="22">
        <v>3</v>
      </c>
      <c r="J240" s="119">
        <v>3</v>
      </c>
      <c r="K240" s="123" t="s">
        <v>2382</v>
      </c>
      <c r="L240" s="22">
        <v>0</v>
      </c>
      <c r="M240" s="22">
        <v>0</v>
      </c>
      <c r="N240" s="125">
        <v>0</v>
      </c>
      <c r="O240" s="22">
        <v>0</v>
      </c>
      <c r="P240" s="22">
        <v>0</v>
      </c>
      <c r="Q240" s="22" t="s">
        <v>29</v>
      </c>
      <c r="R240" s="22" t="s">
        <v>68</v>
      </c>
      <c r="S240" s="134"/>
      <c r="T240" s="22">
        <v>0</v>
      </c>
      <c r="U240" s="22">
        <v>0</v>
      </c>
      <c r="V240" s="22">
        <v>0</v>
      </c>
      <c r="W240" s="23"/>
      <c r="X240" s="23"/>
      <c r="Y240" s="23"/>
    </row>
    <row r="241" spans="1:25" ht="14.4">
      <c r="A241" s="117">
        <v>1</v>
      </c>
      <c r="B241" s="118" t="s">
        <v>1523</v>
      </c>
      <c r="C241" s="22">
        <v>241</v>
      </c>
      <c r="D241" s="119">
        <v>6</v>
      </c>
      <c r="E241" s="119" t="s">
        <v>584</v>
      </c>
      <c r="F241" s="121" t="str">
        <f>HYPERLINK("https://internasional.kompas.com/read/2019/06/27/07464391/pangeran-william-mengaku-tak-keberatan-jika-anaknya-menjadi-gay ","sumber")</f>
        <v>sumber</v>
      </c>
      <c r="G241" s="121" t="str">
        <f t="shared" si="0"/>
        <v>lokasi</v>
      </c>
      <c r="H241" s="118">
        <v>478</v>
      </c>
      <c r="I241" s="22">
        <v>2</v>
      </c>
      <c r="J241" s="119">
        <v>3</v>
      </c>
      <c r="K241" s="123" t="s">
        <v>2383</v>
      </c>
      <c r="L241" s="22">
        <v>0</v>
      </c>
      <c r="M241" s="22">
        <v>0</v>
      </c>
      <c r="N241" s="125">
        <v>0</v>
      </c>
      <c r="O241" s="22">
        <v>0</v>
      </c>
      <c r="P241" s="22">
        <v>0</v>
      </c>
      <c r="Q241" s="22">
        <v>0</v>
      </c>
      <c r="R241" s="22">
        <v>1</v>
      </c>
      <c r="S241" s="134"/>
      <c r="T241" s="22">
        <v>0</v>
      </c>
      <c r="U241" s="22">
        <v>0</v>
      </c>
      <c r="V241" s="22">
        <v>0</v>
      </c>
      <c r="W241" s="23"/>
      <c r="X241" s="23"/>
      <c r="Y241" s="23"/>
    </row>
    <row r="242" spans="1:25" ht="14.4">
      <c r="A242" s="117">
        <v>1</v>
      </c>
      <c r="B242" s="118" t="s">
        <v>2384</v>
      </c>
      <c r="C242" s="22">
        <v>242</v>
      </c>
      <c r="D242" s="119">
        <v>8</v>
      </c>
      <c r="E242" s="119" t="s">
        <v>241</v>
      </c>
      <c r="F242" s="121" t="str">
        <f>HYPERLINK("https://www.suara.com/lifestyle/2019/06/28/063500/andai-anaknya-lgbt-sikap-pangeran-william-ini-bikin-takjub ","sumber")</f>
        <v>sumber</v>
      </c>
      <c r="G242" s="121" t="str">
        <f t="shared" si="0"/>
        <v>lokasi</v>
      </c>
      <c r="H242" s="118">
        <v>270</v>
      </c>
      <c r="I242" s="22">
        <v>2</v>
      </c>
      <c r="J242" s="119">
        <v>3</v>
      </c>
      <c r="K242" s="123" t="s">
        <v>2383</v>
      </c>
      <c r="L242" s="22">
        <v>0</v>
      </c>
      <c r="M242" s="22">
        <v>0</v>
      </c>
      <c r="N242" s="125">
        <v>0</v>
      </c>
      <c r="O242" s="22">
        <v>0</v>
      </c>
      <c r="P242" s="22">
        <v>0</v>
      </c>
      <c r="Q242" s="22">
        <v>0</v>
      </c>
      <c r="R242" s="22">
        <v>1</v>
      </c>
      <c r="S242" s="134"/>
      <c r="T242" s="22">
        <v>0</v>
      </c>
      <c r="U242" s="22">
        <v>0</v>
      </c>
      <c r="V242" s="22">
        <v>0</v>
      </c>
      <c r="W242" s="23"/>
      <c r="X242" s="23"/>
      <c r="Y242" s="23"/>
    </row>
    <row r="243" spans="1:25" ht="14.4">
      <c r="A243" s="135">
        <v>1</v>
      </c>
      <c r="B243" s="155" t="s">
        <v>2385</v>
      </c>
      <c r="C243" s="137">
        <v>243</v>
      </c>
      <c r="D243" s="138">
        <v>7</v>
      </c>
      <c r="E243" s="138" t="s">
        <v>241</v>
      </c>
      <c r="F243" s="139" t="str">
        <f>HYPERLINK("http://www.tribunnews.com/metropolitan/2019/06/28/polisi-ringkus-muncikari-pijat-plus-plus-gay ","sumber")</f>
        <v>sumber</v>
      </c>
      <c r="G243" s="139" t="str">
        <f t="shared" si="0"/>
        <v>lokasi</v>
      </c>
      <c r="H243" s="136">
        <v>277</v>
      </c>
      <c r="I243" s="137">
        <v>1</v>
      </c>
      <c r="J243" s="138">
        <v>3</v>
      </c>
      <c r="K243" s="140" t="s">
        <v>2386</v>
      </c>
      <c r="L243" s="137">
        <v>0</v>
      </c>
      <c r="M243" s="137">
        <v>-1</v>
      </c>
      <c r="N243" s="141">
        <v>0</v>
      </c>
      <c r="O243" s="137">
        <v>0</v>
      </c>
      <c r="P243" s="137">
        <v>-1</v>
      </c>
      <c r="Q243" s="137">
        <v>0</v>
      </c>
      <c r="R243" s="137">
        <v>0</v>
      </c>
      <c r="S243" s="140" t="s">
        <v>716</v>
      </c>
      <c r="T243" s="137">
        <v>1</v>
      </c>
      <c r="U243" s="137">
        <v>0</v>
      </c>
      <c r="V243" s="137">
        <v>0</v>
      </c>
      <c r="W243" s="143"/>
      <c r="X243" s="143"/>
      <c r="Y243" s="137"/>
    </row>
    <row r="244" spans="1:25" ht="14.4">
      <c r="A244" s="117">
        <v>1</v>
      </c>
      <c r="B244" s="118" t="s">
        <v>2387</v>
      </c>
      <c r="C244" s="22">
        <v>244</v>
      </c>
      <c r="D244" s="119">
        <v>7</v>
      </c>
      <c r="E244" s="119" t="s">
        <v>589</v>
      </c>
      <c r="F244" s="121" t="str">
        <f>HYPERLINK("http://www.tribunnews.com/superskor/2019/06/30/kapten-timnas-putri-as-anda-tak-bisa-juara-tanpa-pemain-gay ","sumber")</f>
        <v>sumber</v>
      </c>
      <c r="G244" s="121" t="str">
        <f t="shared" si="0"/>
        <v>lokasi</v>
      </c>
      <c r="H244" s="118">
        <v>92</v>
      </c>
      <c r="I244" s="22">
        <v>2</v>
      </c>
      <c r="J244" s="119">
        <v>3</v>
      </c>
      <c r="K244" s="123" t="s">
        <v>2388</v>
      </c>
      <c r="L244" s="22">
        <v>0</v>
      </c>
      <c r="M244" s="22">
        <v>0</v>
      </c>
      <c r="N244" s="125">
        <v>0</v>
      </c>
      <c r="O244" s="22">
        <v>0</v>
      </c>
      <c r="P244" s="22">
        <v>0</v>
      </c>
      <c r="Q244" s="22">
        <v>2</v>
      </c>
      <c r="R244" s="22">
        <v>1</v>
      </c>
      <c r="S244" s="134"/>
      <c r="T244" s="22">
        <v>0</v>
      </c>
      <c r="U244" s="22">
        <v>0</v>
      </c>
      <c r="V244" s="22">
        <v>0</v>
      </c>
      <c r="W244" s="23"/>
      <c r="X244" s="23"/>
      <c r="Y244" s="23"/>
    </row>
    <row r="245" spans="1:25" ht="14.4">
      <c r="A245" s="117">
        <v>1</v>
      </c>
      <c r="B245" s="118" t="s">
        <v>2389</v>
      </c>
      <c r="C245" s="22">
        <v>245</v>
      </c>
      <c r="D245" s="119">
        <v>6</v>
      </c>
      <c r="E245" s="120">
        <v>43472</v>
      </c>
      <c r="F245" s="121" t="str">
        <f>HYPERLINK("https://regional.kompas.com/read/2019/07/01/18063211/waria-perias-pengantin-cabuli-50-pria-2-orang-masih-pelajar ","sumber")</f>
        <v>sumber</v>
      </c>
      <c r="G245" s="121" t="str">
        <f t="shared" si="0"/>
        <v>lokasi</v>
      </c>
      <c r="H245" s="118">
        <v>281</v>
      </c>
      <c r="I245" s="22">
        <v>1</v>
      </c>
      <c r="J245" s="119">
        <v>3</v>
      </c>
      <c r="K245" s="123" t="s">
        <v>2390</v>
      </c>
      <c r="L245" s="22">
        <v>0</v>
      </c>
      <c r="M245" s="22">
        <v>-1</v>
      </c>
      <c r="N245" s="125">
        <v>0</v>
      </c>
      <c r="O245" s="22">
        <v>0</v>
      </c>
      <c r="P245" s="22">
        <v>0</v>
      </c>
      <c r="Q245" s="22">
        <v>0</v>
      </c>
      <c r="R245" s="22">
        <v>0</v>
      </c>
      <c r="S245" s="134"/>
      <c r="T245" s="22">
        <v>0</v>
      </c>
      <c r="U245" s="22">
        <v>0</v>
      </c>
      <c r="V245" s="22">
        <v>0</v>
      </c>
      <c r="W245" s="23"/>
      <c r="X245" s="23"/>
      <c r="Y245" s="23"/>
    </row>
    <row r="246" spans="1:25" ht="14.4">
      <c r="A246" s="117">
        <v>1</v>
      </c>
      <c r="B246" s="118" t="s">
        <v>2391</v>
      </c>
      <c r="C246" s="22">
        <v>246</v>
      </c>
      <c r="D246" s="119">
        <v>7</v>
      </c>
      <c r="E246" s="120">
        <v>43472</v>
      </c>
      <c r="F246" s="121" t="str">
        <f>HYPERLINK("http://www.tribunnews.com/regional/2019/07/01/sukses-tiduri-16-wanita-hingga-ambil-perhiasan-anggota-tni-al-ini-ternyata-hanya-seorang-satpam ","sumber")</f>
        <v>sumber</v>
      </c>
      <c r="G246" s="121" t="str">
        <f t="shared" si="0"/>
        <v>lokasi</v>
      </c>
      <c r="H246" s="118">
        <v>226</v>
      </c>
      <c r="I246" s="22">
        <v>1</v>
      </c>
      <c r="J246" s="119">
        <v>3</v>
      </c>
      <c r="K246" s="123" t="s">
        <v>2392</v>
      </c>
      <c r="L246" s="22">
        <v>0</v>
      </c>
      <c r="M246" s="22">
        <v>-1</v>
      </c>
      <c r="N246" s="125">
        <v>0</v>
      </c>
      <c r="O246" s="22">
        <v>0</v>
      </c>
      <c r="P246" s="22">
        <v>0</v>
      </c>
      <c r="Q246" s="22">
        <v>0</v>
      </c>
      <c r="R246" s="22">
        <v>0</v>
      </c>
      <c r="S246" s="134"/>
      <c r="T246" s="22">
        <v>0</v>
      </c>
      <c r="U246" s="22">
        <v>0</v>
      </c>
      <c r="V246" s="22">
        <v>0</v>
      </c>
      <c r="W246" s="23"/>
      <c r="X246" s="23"/>
      <c r="Y246" s="23"/>
    </row>
    <row r="247" spans="1:25" ht="14.4">
      <c r="A247" s="135">
        <v>1</v>
      </c>
      <c r="B247" s="155" t="s">
        <v>2393</v>
      </c>
      <c r="C247" s="137">
        <v>247</v>
      </c>
      <c r="D247" s="138">
        <v>1</v>
      </c>
      <c r="E247" s="138" t="s">
        <v>2394</v>
      </c>
      <c r="F247" s="139" t="str">
        <f>HYPERLINK("https://news.detik.com/bbc-world/d-4627771/di-irak-pelecehan-seksual-lebih-banyak-dialami-pria-daripada-wanita ","sumber")</f>
        <v>sumber</v>
      </c>
      <c r="G247" s="139" t="str">
        <f t="shared" si="0"/>
        <v>lokasi</v>
      </c>
      <c r="H247" s="136">
        <v>768</v>
      </c>
      <c r="I247" s="137">
        <v>1</v>
      </c>
      <c r="J247" s="138">
        <v>3</v>
      </c>
      <c r="K247" s="140" t="s">
        <v>2395</v>
      </c>
      <c r="L247" s="137">
        <v>0</v>
      </c>
      <c r="M247" s="137">
        <v>1</v>
      </c>
      <c r="N247" s="141">
        <v>0</v>
      </c>
      <c r="O247" s="137">
        <v>0</v>
      </c>
      <c r="P247" s="137">
        <v>0</v>
      </c>
      <c r="Q247" s="137" t="s">
        <v>2396</v>
      </c>
      <c r="R247" s="137" t="s">
        <v>2397</v>
      </c>
      <c r="S247" s="142"/>
      <c r="T247" s="137">
        <v>0</v>
      </c>
      <c r="U247" s="137">
        <v>0</v>
      </c>
      <c r="V247" s="137">
        <v>0</v>
      </c>
      <c r="W247" s="143"/>
      <c r="X247" s="143"/>
      <c r="Y247" s="137"/>
    </row>
    <row r="248" spans="1:25" ht="14.4">
      <c r="A248" s="117">
        <v>1</v>
      </c>
      <c r="B248" s="118" t="s">
        <v>2398</v>
      </c>
      <c r="C248" s="22">
        <v>248</v>
      </c>
      <c r="D248" s="119">
        <v>3</v>
      </c>
      <c r="E248" s="120">
        <v>43562</v>
      </c>
      <c r="F248" s="121" t="str">
        <f>HYPERLINK("https://news.okezone.com/read/2019/07/04/18/2074654/gigit-penis-transgender-ini-lolos-dari-3-pria-yang-memperkosanya ","sumber")</f>
        <v>sumber</v>
      </c>
      <c r="G248" s="121" t="str">
        <f t="shared" si="0"/>
        <v>lokasi</v>
      </c>
      <c r="H248" s="118">
        <v>226</v>
      </c>
      <c r="I248" s="22">
        <v>1</v>
      </c>
      <c r="J248" s="119">
        <v>3</v>
      </c>
      <c r="K248" s="123" t="s">
        <v>2399</v>
      </c>
      <c r="L248" s="22">
        <v>0</v>
      </c>
      <c r="M248" s="22">
        <v>-1</v>
      </c>
      <c r="N248" s="125">
        <v>0</v>
      </c>
      <c r="O248" s="22">
        <v>0</v>
      </c>
      <c r="P248" s="22">
        <v>0</v>
      </c>
      <c r="Q248" s="22">
        <v>0</v>
      </c>
      <c r="R248" s="22">
        <v>1</v>
      </c>
      <c r="S248" s="134"/>
      <c r="T248" s="22">
        <v>0</v>
      </c>
      <c r="U248" s="22">
        <v>-1</v>
      </c>
      <c r="V248" s="22">
        <v>0</v>
      </c>
      <c r="W248" s="23"/>
      <c r="X248" s="23"/>
      <c r="Y248" s="23"/>
    </row>
    <row r="249" spans="1:25" ht="14.4">
      <c r="A249" s="117">
        <v>1</v>
      </c>
      <c r="B249" s="118" t="s">
        <v>2400</v>
      </c>
      <c r="C249" s="22">
        <v>249</v>
      </c>
      <c r="D249" s="119">
        <v>1</v>
      </c>
      <c r="E249" s="120">
        <v>43592</v>
      </c>
      <c r="F249" s="121" t="str">
        <f>HYPERLINK("https://news.detik.com/bbc-world/d-4611888/3-tahun-hilang-suami-ditemukan-istri-di-aplikasi-tiktok ","sumber")</f>
        <v>sumber</v>
      </c>
      <c r="G249" s="121" t="str">
        <f t="shared" si="0"/>
        <v>lokasi</v>
      </c>
      <c r="H249" s="118">
        <v>117</v>
      </c>
      <c r="I249" s="22">
        <v>2</v>
      </c>
      <c r="J249" s="119">
        <v>3</v>
      </c>
      <c r="K249" s="123" t="s">
        <v>2401</v>
      </c>
      <c r="L249" s="22">
        <v>0</v>
      </c>
      <c r="M249" s="22">
        <v>0</v>
      </c>
      <c r="N249" s="125">
        <v>0</v>
      </c>
      <c r="O249" s="22">
        <v>0</v>
      </c>
      <c r="P249" s="22">
        <v>0</v>
      </c>
      <c r="Q249" s="22">
        <v>0</v>
      </c>
      <c r="R249" s="22">
        <v>0</v>
      </c>
      <c r="S249" s="134"/>
      <c r="T249" s="22">
        <v>0</v>
      </c>
      <c r="U249" s="22">
        <v>-1</v>
      </c>
      <c r="V249" s="22">
        <v>0</v>
      </c>
      <c r="W249" s="23"/>
      <c r="X249" s="23"/>
      <c r="Y249" s="23"/>
    </row>
    <row r="250" spans="1:25" ht="14.4">
      <c r="A250" s="168">
        <v>1</v>
      </c>
      <c r="B250" s="169" t="s">
        <v>2402</v>
      </c>
      <c r="C250" s="22">
        <v>250</v>
      </c>
      <c r="D250" s="119">
        <v>4</v>
      </c>
      <c r="E250" s="120">
        <v>43715</v>
      </c>
      <c r="F250" s="121" t="str">
        <f>HYPERLINK("https://hot.liputan6.com/read/4004766/7-potret-anggun-dena-rachman-saat-memakai-kebaya ","sumber")</f>
        <v>sumber</v>
      </c>
      <c r="G250" s="121" t="str">
        <f t="shared" si="0"/>
        <v>lokasi</v>
      </c>
      <c r="H250" s="118">
        <v>179</v>
      </c>
      <c r="I250" s="22">
        <v>3</v>
      </c>
      <c r="J250" s="119">
        <v>3</v>
      </c>
      <c r="K250" s="123"/>
      <c r="L250" s="22">
        <v>0</v>
      </c>
      <c r="M250" s="22">
        <v>0</v>
      </c>
      <c r="N250" s="125">
        <v>0</v>
      </c>
      <c r="O250" s="22">
        <v>0</v>
      </c>
      <c r="P250" s="22">
        <v>0</v>
      </c>
      <c r="Q250" s="22"/>
      <c r="R250" s="22"/>
      <c r="S250" s="134"/>
      <c r="T250" s="22">
        <v>0</v>
      </c>
      <c r="U250" s="22">
        <v>0</v>
      </c>
      <c r="V250" s="22">
        <v>0</v>
      </c>
      <c r="W250" s="23"/>
      <c r="X250" s="23"/>
      <c r="Y250" s="22"/>
    </row>
    <row r="251" spans="1:25" ht="14.4">
      <c r="A251" s="148">
        <v>1</v>
      </c>
      <c r="B251" s="149" t="s">
        <v>2403</v>
      </c>
      <c r="C251" s="33">
        <v>251</v>
      </c>
      <c r="D251" s="128">
        <v>6</v>
      </c>
      <c r="E251" s="129">
        <v>43562</v>
      </c>
      <c r="F251" s="130" t="str">
        <f>HYPERLINK("https://olahraga.kompas.com/read/2019/07/04/23475698/petenis-gay-diminta-lebih-terbuka ","sumber")</f>
        <v>sumber</v>
      </c>
      <c r="G251" s="130" t="str">
        <f t="shared" si="0"/>
        <v>lokasi</v>
      </c>
      <c r="H251" s="127">
        <v>265</v>
      </c>
      <c r="I251" s="33">
        <v>3</v>
      </c>
      <c r="J251" s="128">
        <v>3</v>
      </c>
      <c r="K251" s="131" t="s">
        <v>2404</v>
      </c>
      <c r="L251" s="33">
        <v>0</v>
      </c>
      <c r="M251" s="33">
        <v>0</v>
      </c>
      <c r="N251" s="132">
        <v>0</v>
      </c>
      <c r="O251" s="33">
        <v>0</v>
      </c>
      <c r="P251" s="33">
        <v>0</v>
      </c>
      <c r="Q251" s="33">
        <v>2</v>
      </c>
      <c r="R251" s="33">
        <v>1</v>
      </c>
      <c r="S251" s="133"/>
      <c r="T251" s="33">
        <v>0</v>
      </c>
      <c r="U251" s="33">
        <v>0</v>
      </c>
      <c r="V251" s="33">
        <v>1</v>
      </c>
      <c r="W251" s="24"/>
      <c r="X251" s="24"/>
      <c r="Y251" s="33"/>
    </row>
    <row r="252" spans="1:25" ht="14.4">
      <c r="A252" s="148">
        <v>1</v>
      </c>
      <c r="B252" s="149" t="s">
        <v>2405</v>
      </c>
      <c r="C252" s="33">
        <v>252</v>
      </c>
      <c r="D252" s="128">
        <v>10</v>
      </c>
      <c r="E252" s="128" t="s">
        <v>2406</v>
      </c>
      <c r="F252" s="130" t="str">
        <f>HYPERLINK("https://nasional.tempo.co/read/1226461/pemimpin-pesantren-waria-yogya-terima-penghargaan-pembela-ham ","sumber")</f>
        <v>sumber</v>
      </c>
      <c r="G252" s="130" t="str">
        <f t="shared" si="0"/>
        <v>lokasi</v>
      </c>
      <c r="H252" s="127">
        <v>616</v>
      </c>
      <c r="I252" s="33">
        <v>3</v>
      </c>
      <c r="J252" s="128">
        <v>3</v>
      </c>
      <c r="K252" s="131" t="s">
        <v>2407</v>
      </c>
      <c r="L252" s="33">
        <v>0</v>
      </c>
      <c r="M252" s="33">
        <v>0</v>
      </c>
      <c r="N252" s="132">
        <v>0</v>
      </c>
      <c r="O252" s="33">
        <v>0</v>
      </c>
      <c r="P252" s="33">
        <v>0</v>
      </c>
      <c r="Q252" s="33" t="s">
        <v>57</v>
      </c>
      <c r="R252" s="33" t="s">
        <v>1026</v>
      </c>
      <c r="S252" s="133"/>
      <c r="T252" s="33">
        <v>0</v>
      </c>
      <c r="U252" s="33">
        <v>0</v>
      </c>
      <c r="V252" s="33">
        <v>1</v>
      </c>
      <c r="W252" s="24"/>
      <c r="X252" s="24"/>
      <c r="Y252" s="33"/>
    </row>
    <row r="253" spans="1:25" ht="14.4">
      <c r="A253" s="148">
        <v>1</v>
      </c>
      <c r="B253" s="149" t="s">
        <v>2408</v>
      </c>
      <c r="C253" s="33">
        <v>253</v>
      </c>
      <c r="D253" s="128">
        <v>5</v>
      </c>
      <c r="E253" s="129">
        <v>43623</v>
      </c>
      <c r="F253" s="130" t="str">
        <f>HYPERLINK("https://tirto.id/jejak-pertama-lesbianisme-dalam-film-indonesia-edFe ","sumber")</f>
        <v>sumber</v>
      </c>
      <c r="G253" s="130" t="str">
        <f t="shared" si="0"/>
        <v>lokasi</v>
      </c>
      <c r="H253" s="127">
        <v>1034</v>
      </c>
      <c r="I253" s="33">
        <v>3</v>
      </c>
      <c r="J253" s="128">
        <v>3</v>
      </c>
      <c r="K253" s="131" t="s">
        <v>2409</v>
      </c>
      <c r="L253" s="33">
        <v>0</v>
      </c>
      <c r="M253" s="33">
        <v>0</v>
      </c>
      <c r="N253" s="132">
        <v>0</v>
      </c>
      <c r="O253" s="33">
        <v>0</v>
      </c>
      <c r="P253" s="33">
        <v>0</v>
      </c>
      <c r="Q253" s="33" t="s">
        <v>57</v>
      </c>
      <c r="R253" s="33" t="s">
        <v>57</v>
      </c>
      <c r="S253" s="133"/>
      <c r="T253" s="33">
        <v>0</v>
      </c>
      <c r="U253" s="33">
        <v>0</v>
      </c>
      <c r="V253" s="33">
        <v>1</v>
      </c>
      <c r="W253" s="24"/>
      <c r="X253" s="24"/>
      <c r="Y253" s="33"/>
    </row>
    <row r="254" spans="1:25" ht="14.4">
      <c r="A254" s="111">
        <v>2</v>
      </c>
      <c r="B254" s="112" t="s">
        <v>2410</v>
      </c>
      <c r="C254" s="25">
        <v>254</v>
      </c>
      <c r="D254" s="113">
        <v>2</v>
      </c>
      <c r="E254" s="113" t="s">
        <v>2411</v>
      </c>
      <c r="F254" s="115" t="str">
        <f>HYPERLINK("https://www.cnnindonesia.com/hiburan/20190716101834-220-412468/far-from-home-cetak-rekor-film-spider-man ","sumber")</f>
        <v>sumber</v>
      </c>
      <c r="G254" s="115" t="str">
        <f t="shared" si="0"/>
        <v>lokasi</v>
      </c>
      <c r="H254" s="112">
        <v>465</v>
      </c>
      <c r="I254" s="26"/>
      <c r="J254" s="113">
        <v>3</v>
      </c>
      <c r="K254" s="124"/>
      <c r="L254" s="26"/>
      <c r="M254" s="26"/>
      <c r="N254" s="26"/>
      <c r="O254" s="26"/>
      <c r="P254" s="26"/>
      <c r="Q254" s="26"/>
      <c r="R254" s="26"/>
      <c r="S254" s="124"/>
      <c r="T254" s="26"/>
      <c r="U254" s="26"/>
      <c r="V254" s="26"/>
      <c r="W254" s="26"/>
      <c r="X254" s="26"/>
      <c r="Y254" s="25"/>
    </row>
    <row r="255" spans="1:25" ht="14.4">
      <c r="A255" s="117">
        <v>1</v>
      </c>
      <c r="B255" s="118" t="s">
        <v>2412</v>
      </c>
      <c r="C255" s="22">
        <v>255</v>
      </c>
      <c r="D255" s="119">
        <v>8</v>
      </c>
      <c r="E255" s="119" t="s">
        <v>2411</v>
      </c>
      <c r="F255" s="121" t="str">
        <f>HYPERLINK("https://www.suara.com/entertainment/2019/07/16/103848/laporan-pablo-benua-ditolak-mentah-mentah-polisi-hotman-paris-amin ","sumber")</f>
        <v>sumber</v>
      </c>
      <c r="G255" s="121" t="str">
        <f t="shared" si="0"/>
        <v>lokasi</v>
      </c>
      <c r="H255" s="118">
        <v>222</v>
      </c>
      <c r="I255" s="22">
        <v>2</v>
      </c>
      <c r="J255" s="119">
        <v>1</v>
      </c>
      <c r="K255" s="123" t="s">
        <v>2413</v>
      </c>
      <c r="L255" s="22">
        <v>0</v>
      </c>
      <c r="M255" s="22">
        <v>0</v>
      </c>
      <c r="N255" s="125">
        <v>0</v>
      </c>
      <c r="O255" s="22">
        <v>0</v>
      </c>
      <c r="P255" s="22">
        <v>0</v>
      </c>
      <c r="Q255" s="22">
        <v>0</v>
      </c>
      <c r="R255" s="22">
        <v>0</v>
      </c>
      <c r="S255" s="123" t="s">
        <v>1533</v>
      </c>
      <c r="T255" s="22">
        <v>1</v>
      </c>
      <c r="U255" s="22">
        <v>0</v>
      </c>
      <c r="V255" s="22">
        <v>0</v>
      </c>
      <c r="W255" s="23"/>
      <c r="X255" s="23"/>
      <c r="Y255" s="23"/>
    </row>
    <row r="256" spans="1:25" ht="14.4">
      <c r="A256" s="117">
        <v>1</v>
      </c>
      <c r="B256" s="118" t="s">
        <v>2414</v>
      </c>
      <c r="C256" s="22">
        <v>256</v>
      </c>
      <c r="D256" s="119">
        <v>6</v>
      </c>
      <c r="E256" s="119" t="s">
        <v>2394</v>
      </c>
      <c r="F256" s="121" t="str">
        <f>HYPERLINK("https://olahraga.kompas.com/read/2019/07/17/00492878/didominasi-lgbt-tim-sepakbola-putri-as-dituduh-anti-kristen ","sumber")</f>
        <v>sumber</v>
      </c>
      <c r="G256" s="121" t="str">
        <f t="shared" si="0"/>
        <v>lokasi</v>
      </c>
      <c r="H256" s="118">
        <v>351</v>
      </c>
      <c r="I256" s="22">
        <v>1</v>
      </c>
      <c r="J256" s="119">
        <v>3</v>
      </c>
      <c r="K256" s="123" t="s">
        <v>2415</v>
      </c>
      <c r="L256" s="22">
        <v>0</v>
      </c>
      <c r="M256" s="22">
        <v>1</v>
      </c>
      <c r="N256" s="125">
        <v>0</v>
      </c>
      <c r="O256" s="22">
        <v>0</v>
      </c>
      <c r="P256" s="22">
        <v>0</v>
      </c>
      <c r="Q256" s="22" t="s">
        <v>178</v>
      </c>
      <c r="R256" s="22" t="s">
        <v>748</v>
      </c>
      <c r="S256" s="134"/>
      <c r="T256" s="22">
        <v>0</v>
      </c>
      <c r="U256" s="22">
        <v>0</v>
      </c>
      <c r="V256" s="22">
        <v>0</v>
      </c>
      <c r="W256" s="23"/>
      <c r="X256" s="23"/>
      <c r="Y256" s="23"/>
    </row>
    <row r="257" spans="1:25" ht="14.4">
      <c r="A257" s="117">
        <v>1</v>
      </c>
      <c r="B257" s="118" t="s">
        <v>2416</v>
      </c>
      <c r="C257" s="22">
        <v>257</v>
      </c>
      <c r="D257" s="119">
        <v>3</v>
      </c>
      <c r="E257" s="119" t="s">
        <v>2394</v>
      </c>
      <c r="F257" s="121" t="str">
        <f>HYPERLINK("https://celebrity.okezone.com/read/2019/07/17/33/2079892/dilamar-pria-bule-dena-rachman-bakal-menikah-tahun-depan ","sumber")</f>
        <v>sumber</v>
      </c>
      <c r="G257" s="121" t="str">
        <f t="shared" si="0"/>
        <v>lokasi</v>
      </c>
      <c r="H257" s="118">
        <v>316</v>
      </c>
      <c r="I257" s="22">
        <v>2</v>
      </c>
      <c r="J257" s="119">
        <v>3</v>
      </c>
      <c r="K257" s="123" t="s">
        <v>2417</v>
      </c>
      <c r="L257" s="22">
        <v>0</v>
      </c>
      <c r="M257" s="22">
        <v>0</v>
      </c>
      <c r="N257" s="125">
        <v>0</v>
      </c>
      <c r="O257" s="22">
        <v>0</v>
      </c>
      <c r="P257" s="22">
        <v>0</v>
      </c>
      <c r="Q257" s="22">
        <v>0</v>
      </c>
      <c r="R257" s="22">
        <v>0</v>
      </c>
      <c r="S257" s="134"/>
      <c r="T257" s="22">
        <v>0</v>
      </c>
      <c r="U257" s="22">
        <v>0</v>
      </c>
      <c r="V257" s="22">
        <v>0</v>
      </c>
      <c r="W257" s="23"/>
      <c r="X257" s="23"/>
      <c r="Y257" s="23"/>
    </row>
    <row r="258" spans="1:25" ht="14.4">
      <c r="A258" s="117">
        <v>1</v>
      </c>
      <c r="B258" s="118" t="s">
        <v>2418</v>
      </c>
      <c r="C258" s="22">
        <v>258</v>
      </c>
      <c r="D258" s="119">
        <v>8</v>
      </c>
      <c r="E258" s="119" t="s">
        <v>2394</v>
      </c>
      <c r="F258" s="121" t="str">
        <f>HYPERLINK("https://www.suara.com/entertainment/2019/07/17/111830/hotman-paris-rela-beri-farhat-abbas-berlian-kalau-bisa-buktikan-hal-ini ","sumber")</f>
        <v>sumber</v>
      </c>
      <c r="G258" s="121" t="str">
        <f t="shared" si="0"/>
        <v>lokasi</v>
      </c>
      <c r="H258" s="118">
        <v>239</v>
      </c>
      <c r="I258" s="22">
        <v>1</v>
      </c>
      <c r="J258" s="119">
        <v>1</v>
      </c>
      <c r="K258" s="123" t="s">
        <v>2419</v>
      </c>
      <c r="L258" s="22">
        <v>0</v>
      </c>
      <c r="M258" s="22">
        <v>-1</v>
      </c>
      <c r="N258" s="125">
        <v>0</v>
      </c>
      <c r="O258" s="22">
        <v>0</v>
      </c>
      <c r="P258" s="22">
        <v>0</v>
      </c>
      <c r="Q258" s="22">
        <v>0</v>
      </c>
      <c r="R258" s="22">
        <v>1</v>
      </c>
      <c r="S258" s="134"/>
      <c r="T258" s="22">
        <v>0</v>
      </c>
      <c r="U258" s="22">
        <v>0</v>
      </c>
      <c r="V258" s="22">
        <v>0</v>
      </c>
      <c r="W258" s="23"/>
      <c r="X258" s="23"/>
      <c r="Y258" s="23"/>
    </row>
    <row r="259" spans="1:25" ht="14.4">
      <c r="A259" s="148">
        <v>1</v>
      </c>
      <c r="B259" s="149" t="s">
        <v>2420</v>
      </c>
      <c r="C259" s="33">
        <v>259</v>
      </c>
      <c r="D259" s="128">
        <v>1</v>
      </c>
      <c r="E259" s="129">
        <v>43776</v>
      </c>
      <c r="F259" s="130" t="str">
        <f>HYPERLINK("https://news.detik.com/berita/d-4619370/fenomena-gay-lesbian-di-lapas-komisi-iii-dukung-sarana-bilik-asmara ","sumber")</f>
        <v>sumber</v>
      </c>
      <c r="G259" s="130" t="str">
        <f t="shared" si="0"/>
        <v>lokasi</v>
      </c>
      <c r="H259" s="127">
        <v>373</v>
      </c>
      <c r="I259" s="33">
        <v>4</v>
      </c>
      <c r="J259" s="128">
        <v>3</v>
      </c>
      <c r="K259" s="131" t="s">
        <v>2421</v>
      </c>
      <c r="L259" s="33">
        <v>0</v>
      </c>
      <c r="M259" s="33">
        <v>0</v>
      </c>
      <c r="N259" s="132">
        <v>0</v>
      </c>
      <c r="O259" s="33">
        <v>0</v>
      </c>
      <c r="P259" s="33">
        <v>0</v>
      </c>
      <c r="Q259" s="33" t="s">
        <v>29</v>
      </c>
      <c r="R259" s="33" t="s">
        <v>160</v>
      </c>
      <c r="S259" s="133"/>
      <c r="T259" s="33">
        <v>0</v>
      </c>
      <c r="U259" s="33">
        <v>0</v>
      </c>
      <c r="V259" s="33">
        <v>1</v>
      </c>
      <c r="W259" s="24"/>
      <c r="X259" s="24"/>
      <c r="Y259" s="33"/>
    </row>
    <row r="260" spans="1:25" ht="14.4">
      <c r="A260" s="117">
        <v>1</v>
      </c>
      <c r="B260" s="118" t="s">
        <v>2422</v>
      </c>
      <c r="C260" s="22">
        <v>260</v>
      </c>
      <c r="D260" s="119">
        <v>4</v>
      </c>
      <c r="E260" s="119" t="s">
        <v>2423</v>
      </c>
      <c r="F260" s="121" t="str">
        <f>HYPERLINK("https://www.liputan6.com/health/read/4023078/hari-hepatitis-sedunia-sudah-ada-obat-untuk-hepatitis-c ","sumber")</f>
        <v>sumber</v>
      </c>
      <c r="G260" s="121" t="str">
        <f t="shared" si="0"/>
        <v>lokasi</v>
      </c>
      <c r="H260" s="118">
        <v>295</v>
      </c>
      <c r="I260" s="22">
        <v>5</v>
      </c>
      <c r="J260" s="119">
        <v>3</v>
      </c>
      <c r="K260" s="123" t="s">
        <v>2424</v>
      </c>
      <c r="L260" s="22">
        <v>0</v>
      </c>
      <c r="M260" s="22">
        <v>0</v>
      </c>
      <c r="N260" s="125">
        <v>0</v>
      </c>
      <c r="O260" s="22">
        <v>0</v>
      </c>
      <c r="P260" s="22">
        <v>0</v>
      </c>
      <c r="Q260" s="22" t="s">
        <v>29</v>
      </c>
      <c r="R260" s="22" t="s">
        <v>30</v>
      </c>
      <c r="S260" s="134"/>
      <c r="T260" s="22">
        <v>0</v>
      </c>
      <c r="U260" s="22">
        <v>0</v>
      </c>
      <c r="V260" s="22">
        <v>1</v>
      </c>
      <c r="W260" s="23"/>
      <c r="X260" s="23"/>
      <c r="Y260" s="23"/>
    </row>
    <row r="261" spans="1:25" ht="14.4">
      <c r="A261" s="117">
        <v>1</v>
      </c>
      <c r="B261" s="118" t="s">
        <v>2425</v>
      </c>
      <c r="C261" s="22">
        <v>261</v>
      </c>
      <c r="D261" s="119">
        <v>3</v>
      </c>
      <c r="E261" s="120">
        <v>43473</v>
      </c>
      <c r="F261" s="121" t="str">
        <f>HYPERLINK("https://celebrity.okezone.com/read/2019/08/01/33/2086273/dipanggil-muhammad-fatah-lucinta-luna-iya ","sumber")</f>
        <v>sumber</v>
      </c>
      <c r="G261" s="121" t="str">
        <f t="shared" si="0"/>
        <v>lokasi</v>
      </c>
      <c r="H261" s="118">
        <v>325</v>
      </c>
      <c r="I261" s="22">
        <v>2</v>
      </c>
      <c r="J261" s="119">
        <v>3</v>
      </c>
      <c r="K261" s="123" t="s">
        <v>2360</v>
      </c>
      <c r="L261" s="22">
        <v>0</v>
      </c>
      <c r="M261" s="22">
        <v>0</v>
      </c>
      <c r="N261" s="125">
        <v>0</v>
      </c>
      <c r="O261" s="22">
        <v>0</v>
      </c>
      <c r="P261" s="22">
        <v>0</v>
      </c>
      <c r="Q261" s="22">
        <v>2</v>
      </c>
      <c r="R261" s="22">
        <v>0</v>
      </c>
      <c r="S261" s="134"/>
      <c r="T261" s="22">
        <v>0</v>
      </c>
      <c r="U261" s="22">
        <v>0</v>
      </c>
      <c r="V261" s="22">
        <v>0</v>
      </c>
      <c r="W261" s="23"/>
      <c r="X261" s="23"/>
      <c r="Y261" s="23"/>
    </row>
    <row r="262" spans="1:25" ht="14.4">
      <c r="A262" s="148">
        <v>1</v>
      </c>
      <c r="B262" s="149" t="s">
        <v>2426</v>
      </c>
      <c r="C262" s="33">
        <v>262</v>
      </c>
      <c r="D262" s="128">
        <v>8</v>
      </c>
      <c r="E262" s="129">
        <v>43473</v>
      </c>
      <c r="F262" s="130" t="str">
        <f>HYPERLINK("https://www.suara.com/health/2019/08/01/152000/millendaru-sudah-cangkok-rahim-hati-hati-risikonya-bisa-mengancam-jiwa ","sumber")</f>
        <v>sumber</v>
      </c>
      <c r="G262" s="130" t="str">
        <f t="shared" si="0"/>
        <v>lokasi</v>
      </c>
      <c r="H262" s="127">
        <v>307</v>
      </c>
      <c r="I262" s="33">
        <v>2</v>
      </c>
      <c r="J262" s="128">
        <v>3</v>
      </c>
      <c r="K262" s="131" t="s">
        <v>2427</v>
      </c>
      <c r="L262" s="33">
        <v>0</v>
      </c>
      <c r="M262" s="33">
        <v>0</v>
      </c>
      <c r="N262" s="132">
        <v>0</v>
      </c>
      <c r="O262" s="33">
        <v>0</v>
      </c>
      <c r="P262" s="33">
        <v>-1</v>
      </c>
      <c r="Q262" s="33" t="s">
        <v>87</v>
      </c>
      <c r="R262" s="33" t="s">
        <v>30</v>
      </c>
      <c r="S262" s="133"/>
      <c r="T262" s="33">
        <v>0</v>
      </c>
      <c r="U262" s="33">
        <v>0</v>
      </c>
      <c r="V262" s="33">
        <v>0</v>
      </c>
      <c r="W262" s="24"/>
      <c r="X262" s="24"/>
      <c r="Y262" s="33"/>
    </row>
    <row r="263" spans="1:25" ht="14.4">
      <c r="A263" s="135">
        <v>1</v>
      </c>
      <c r="B263" s="155" t="s">
        <v>8</v>
      </c>
      <c r="C263" s="137">
        <v>263</v>
      </c>
      <c r="D263" s="138">
        <v>2</v>
      </c>
      <c r="E263" s="138" t="s">
        <v>633</v>
      </c>
      <c r="F263" s="139" t="str">
        <f>HYPERLINK("https://www.cnnindonesia.com/internasional/20190823130811-134-424068/as-eksekusi-mati-pelaku-pembunuhan-tiga-gay ","sumber")</f>
        <v>sumber</v>
      </c>
      <c r="G263" s="139" t="str">
        <f t="shared" si="0"/>
        <v>lokasi</v>
      </c>
      <c r="H263" s="136">
        <v>297</v>
      </c>
      <c r="I263" s="137">
        <v>1</v>
      </c>
      <c r="J263" s="138">
        <v>3</v>
      </c>
      <c r="K263" s="140"/>
      <c r="L263" s="137">
        <v>0</v>
      </c>
      <c r="M263" s="147">
        <v>0</v>
      </c>
      <c r="N263" s="141">
        <v>0</v>
      </c>
      <c r="O263" s="137">
        <v>0</v>
      </c>
      <c r="P263" s="137">
        <v>0</v>
      </c>
      <c r="Q263" s="137"/>
      <c r="R263" s="137"/>
      <c r="S263" s="142"/>
      <c r="T263" s="137">
        <v>0</v>
      </c>
      <c r="U263" s="137">
        <v>0</v>
      </c>
      <c r="V263" s="137">
        <v>0</v>
      </c>
      <c r="W263" s="143"/>
      <c r="X263" s="143"/>
      <c r="Y263" s="137"/>
    </row>
    <row r="264" spans="1:25" ht="14.4">
      <c r="A264" s="117">
        <v>1</v>
      </c>
      <c r="B264" s="118" t="s">
        <v>1555</v>
      </c>
      <c r="C264" s="22">
        <v>264</v>
      </c>
      <c r="D264" s="119">
        <v>3</v>
      </c>
      <c r="E264" s="120">
        <v>43532</v>
      </c>
      <c r="F264" s="121" t="str">
        <f>HYPERLINK("https://nasional.okezone.com/read/2019/08/03/337/2087270/90-persen-pelaku-kejahatan-seksual-pada-anak-merupakan-orang-terdekat ","sumber")</f>
        <v>sumber</v>
      </c>
      <c r="G264" s="121" t="str">
        <f t="shared" si="0"/>
        <v>lokasi</v>
      </c>
      <c r="H264" s="118">
        <v>190</v>
      </c>
      <c r="I264" s="22">
        <v>3</v>
      </c>
      <c r="J264" s="119">
        <v>1</v>
      </c>
      <c r="K264" s="123" t="s">
        <v>2428</v>
      </c>
      <c r="L264" s="22">
        <v>0</v>
      </c>
      <c r="M264" s="22">
        <v>0</v>
      </c>
      <c r="N264" s="125">
        <v>0</v>
      </c>
      <c r="O264" s="22">
        <v>0</v>
      </c>
      <c r="P264" s="22">
        <v>0</v>
      </c>
      <c r="Q264" s="22">
        <v>0</v>
      </c>
      <c r="R264" s="22">
        <v>0</v>
      </c>
      <c r="S264" s="134"/>
      <c r="T264" s="22">
        <v>0</v>
      </c>
      <c r="U264" s="22">
        <v>0</v>
      </c>
      <c r="V264" s="22">
        <v>1</v>
      </c>
      <c r="W264" s="23"/>
      <c r="X264" s="23"/>
      <c r="Y264" s="23"/>
    </row>
    <row r="265" spans="1:25" ht="14.4">
      <c r="A265" s="111">
        <v>2</v>
      </c>
      <c r="B265" s="112" t="s">
        <v>2429</v>
      </c>
      <c r="C265" s="25">
        <v>265</v>
      </c>
      <c r="D265" s="113">
        <v>7</v>
      </c>
      <c r="E265" s="114">
        <v>43716</v>
      </c>
      <c r="F265" s="115" t="str">
        <f>HYPERLINK("https://www.tribunnews.com/metropolitan/2019/08/09/terapis-terbaik-dari-berbagai-daerah-ikut-lomba-teknik-spa-tingkat-nasional-di-jakarta ","sumber")</f>
        <v>sumber</v>
      </c>
      <c r="G265" s="115" t="str">
        <f t="shared" si="0"/>
        <v>lokasi</v>
      </c>
      <c r="H265" s="112">
        <v>220</v>
      </c>
      <c r="I265" s="26"/>
      <c r="J265" s="113">
        <v>3</v>
      </c>
      <c r="K265" s="124"/>
      <c r="L265" s="26"/>
      <c r="M265" s="26"/>
      <c r="N265" s="26"/>
      <c r="O265" s="26"/>
      <c r="P265" s="26"/>
      <c r="Q265" s="26"/>
      <c r="R265" s="26"/>
      <c r="S265" s="124"/>
      <c r="T265" s="26"/>
      <c r="U265" s="26"/>
      <c r="V265" s="26"/>
      <c r="W265" s="26"/>
      <c r="X265" s="26"/>
      <c r="Y265" s="25"/>
    </row>
    <row r="266" spans="1:25" ht="14.4">
      <c r="A266" s="111">
        <v>2</v>
      </c>
      <c r="B266" s="112" t="s">
        <v>2430</v>
      </c>
      <c r="C266" s="25">
        <v>266</v>
      </c>
      <c r="D266" s="113">
        <v>5</v>
      </c>
      <c r="E266" s="114">
        <v>43777</v>
      </c>
      <c r="F266" s="115" t="str">
        <f>HYPERLINK("https://tirto.id/sinopsis-my-only-one-ep-51-52-trans-tv-do-ran-tahu-siapa-ayahnya-ef4M ","sumber")</f>
        <v>sumber</v>
      </c>
      <c r="G266" s="115" t="str">
        <f t="shared" si="0"/>
        <v>lokasi</v>
      </c>
      <c r="H266" s="112">
        <v>545</v>
      </c>
      <c r="I266" s="26"/>
      <c r="J266" s="113">
        <v>3</v>
      </c>
      <c r="K266" s="124"/>
      <c r="L266" s="26"/>
      <c r="M266" s="26"/>
      <c r="N266" s="26"/>
      <c r="O266" s="26"/>
      <c r="P266" s="26"/>
      <c r="Q266" s="26"/>
      <c r="R266" s="26"/>
      <c r="S266" s="124"/>
      <c r="T266" s="26"/>
      <c r="U266" s="26"/>
      <c r="V266" s="26"/>
      <c r="W266" s="26"/>
      <c r="X266" s="26"/>
      <c r="Y266" s="25"/>
    </row>
    <row r="267" spans="1:25" ht="14.4">
      <c r="A267" s="117">
        <v>1</v>
      </c>
      <c r="B267" s="118" t="s">
        <v>2431</v>
      </c>
      <c r="C267" s="22">
        <v>267</v>
      </c>
      <c r="D267" s="119">
        <v>8</v>
      </c>
      <c r="E267" s="119" t="s">
        <v>2055</v>
      </c>
      <c r="F267" s="121" t="str">
        <f>HYPERLINK("https://jateng.suara.com/read/2019/08/13/151633/waria-se-solo-dukung-gibran-putra-jokowi-ikut-pilkada-2020-dia-peduli-kami ","sumber")</f>
        <v>sumber</v>
      </c>
      <c r="G267" s="121" t="str">
        <f t="shared" si="0"/>
        <v>lokasi</v>
      </c>
      <c r="H267" s="118">
        <v>398</v>
      </c>
      <c r="I267" s="22">
        <v>3</v>
      </c>
      <c r="J267" s="119">
        <v>3</v>
      </c>
      <c r="K267" s="123" t="s">
        <v>2432</v>
      </c>
      <c r="L267" s="22">
        <v>0</v>
      </c>
      <c r="M267" s="22">
        <v>0</v>
      </c>
      <c r="N267" s="125">
        <v>0</v>
      </c>
      <c r="O267" s="22">
        <v>0</v>
      </c>
      <c r="P267" s="22">
        <v>0</v>
      </c>
      <c r="Q267" s="22">
        <v>2</v>
      </c>
      <c r="R267" s="22">
        <v>1</v>
      </c>
      <c r="S267" s="123" t="s">
        <v>2433</v>
      </c>
      <c r="T267" s="22">
        <v>1</v>
      </c>
      <c r="U267" s="22">
        <v>0</v>
      </c>
      <c r="V267" s="22">
        <v>1</v>
      </c>
      <c r="W267" s="23"/>
      <c r="X267" s="23"/>
      <c r="Y267" s="23"/>
    </row>
    <row r="268" spans="1:25" ht="14.4">
      <c r="A268" s="117">
        <v>1</v>
      </c>
      <c r="B268" s="118" t="s">
        <v>2434</v>
      </c>
      <c r="C268" s="22">
        <v>268</v>
      </c>
      <c r="D268" s="119">
        <v>5</v>
      </c>
      <c r="E268" s="119" t="s">
        <v>2055</v>
      </c>
      <c r="F268" s="121" t="str">
        <f>HYPERLINK("https://tirto.id/imdb-revisi-kebijakan-soal-nama-lahir-profesional-industri-hiburan-egcS ","sumber")</f>
        <v>sumber</v>
      </c>
      <c r="G268" s="121" t="str">
        <f t="shared" si="0"/>
        <v>lokasi</v>
      </c>
      <c r="H268" s="118">
        <v>388</v>
      </c>
      <c r="I268" s="22">
        <v>4</v>
      </c>
      <c r="J268" s="119">
        <v>3</v>
      </c>
      <c r="K268" s="123" t="s">
        <v>2435</v>
      </c>
      <c r="L268" s="22">
        <v>0</v>
      </c>
      <c r="M268" s="22">
        <v>0</v>
      </c>
      <c r="N268" s="125">
        <v>0</v>
      </c>
      <c r="O268" s="22">
        <v>0</v>
      </c>
      <c r="P268" s="22">
        <v>0</v>
      </c>
      <c r="Q268" s="22">
        <v>0</v>
      </c>
      <c r="R268" s="22">
        <v>0</v>
      </c>
      <c r="S268" s="134"/>
      <c r="T268" s="22">
        <v>0</v>
      </c>
      <c r="U268" s="22">
        <v>0</v>
      </c>
      <c r="V268" s="22">
        <v>1</v>
      </c>
      <c r="W268" s="23"/>
      <c r="X268" s="23"/>
      <c r="Y268" s="23"/>
    </row>
    <row r="269" spans="1:25" ht="14.4">
      <c r="A269" s="111">
        <v>2</v>
      </c>
      <c r="B269" s="112" t="s">
        <v>2436</v>
      </c>
      <c r="C269" s="25">
        <v>269</v>
      </c>
      <c r="D269" s="113">
        <v>1</v>
      </c>
      <c r="E269" s="113" t="s">
        <v>2437</v>
      </c>
      <c r="F269" s="115" t="str">
        <f>HYPERLINK("https://hot.detik.com/celeb/d-4671908/liburan-bareng-rezky-aditya-masih-rindu-citra-kirana ","sumber")</f>
        <v>sumber</v>
      </c>
      <c r="G269" s="115" t="str">
        <f t="shared" si="0"/>
        <v>lokasi</v>
      </c>
      <c r="H269" s="112">
        <v>1514</v>
      </c>
      <c r="I269" s="26"/>
      <c r="J269" s="113">
        <v>3</v>
      </c>
      <c r="K269" s="124"/>
      <c r="L269" s="26"/>
      <c r="M269" s="26"/>
      <c r="N269" s="26"/>
      <c r="O269" s="26"/>
      <c r="P269" s="26"/>
      <c r="Q269" s="26"/>
      <c r="R269" s="26"/>
      <c r="S269" s="124"/>
      <c r="T269" s="26"/>
      <c r="U269" s="26"/>
      <c r="V269" s="26"/>
      <c r="W269" s="26"/>
      <c r="X269" s="26"/>
      <c r="Y269" s="25"/>
    </row>
    <row r="270" spans="1:25" ht="14.4">
      <c r="A270" s="117">
        <v>1</v>
      </c>
      <c r="B270" s="118" t="s">
        <v>2438</v>
      </c>
      <c r="C270" s="22">
        <v>270</v>
      </c>
      <c r="D270" s="119">
        <v>4</v>
      </c>
      <c r="E270" s="119" t="s">
        <v>274</v>
      </c>
      <c r="F270" s="121" t="str">
        <f>HYPERLINK("https://hot.liputan6.com/read/4046518/pelaku-kejahatan-seksual-bakal-dihukum-kebiri-kimia-ini-4-faktanya ","sumber")</f>
        <v>sumber</v>
      </c>
      <c r="G270" s="121" t="str">
        <f t="shared" si="0"/>
        <v>lokasi</v>
      </c>
      <c r="H270" s="118">
        <v>775</v>
      </c>
      <c r="I270" s="22">
        <v>4</v>
      </c>
      <c r="J270" s="119">
        <v>3</v>
      </c>
      <c r="K270" s="123" t="s">
        <v>2439</v>
      </c>
      <c r="L270" s="22">
        <v>0</v>
      </c>
      <c r="M270" s="22">
        <v>0</v>
      </c>
      <c r="N270" s="125">
        <v>0</v>
      </c>
      <c r="O270" s="22">
        <v>0</v>
      </c>
      <c r="P270" s="22">
        <v>0</v>
      </c>
      <c r="Q270" s="22" t="s">
        <v>170</v>
      </c>
      <c r="R270" s="22" t="s">
        <v>170</v>
      </c>
      <c r="S270" s="134"/>
      <c r="T270" s="22">
        <v>0</v>
      </c>
      <c r="U270" s="22">
        <v>0</v>
      </c>
      <c r="V270" s="22">
        <v>1</v>
      </c>
      <c r="W270" s="23"/>
      <c r="X270" s="23"/>
      <c r="Y270" s="23"/>
    </row>
    <row r="271" spans="1:25" ht="14.4">
      <c r="A271" s="111">
        <v>2</v>
      </c>
      <c r="B271" s="112" t="s">
        <v>2440</v>
      </c>
      <c r="C271" s="25">
        <v>271</v>
      </c>
      <c r="D271" s="113">
        <v>4</v>
      </c>
      <c r="E271" s="113" t="s">
        <v>283</v>
      </c>
      <c r="F271" s="115" t="str">
        <f>HYPERLINK("https://www.liputan6.com/showbiz/read/4047574/pernah-jadi-presiden-hingga-gay-peran-apa-lagi-yang-dicari-mathias-muchus ","sumber")</f>
        <v>sumber</v>
      </c>
      <c r="G271" s="115" t="str">
        <f t="shared" si="0"/>
        <v>lokasi</v>
      </c>
      <c r="H271" s="112">
        <v>302</v>
      </c>
      <c r="I271" s="26"/>
      <c r="J271" s="113">
        <v>3</v>
      </c>
      <c r="K271" s="124"/>
      <c r="L271" s="26"/>
      <c r="M271" s="26"/>
      <c r="N271" s="26"/>
      <c r="O271" s="26"/>
      <c r="P271" s="26"/>
      <c r="Q271" s="26"/>
      <c r="R271" s="26"/>
      <c r="S271" s="124"/>
      <c r="T271" s="26"/>
      <c r="U271" s="26"/>
      <c r="V271" s="26"/>
      <c r="W271" s="26"/>
      <c r="X271" s="26"/>
      <c r="Y271" s="25"/>
    </row>
    <row r="272" spans="1:25" ht="14.4">
      <c r="A272" s="117">
        <v>1</v>
      </c>
      <c r="B272" s="118" t="s">
        <v>2441</v>
      </c>
      <c r="C272" s="22">
        <v>272</v>
      </c>
      <c r="D272" s="119">
        <v>7</v>
      </c>
      <c r="E272" s="119" t="s">
        <v>283</v>
      </c>
      <c r="F272" s="121" t="str">
        <f>HYPERLINK("https://www.tribunnews.com/regional/2019/08/27/waria-lubuklinggau-ungkap-detik-detik-pembunuhan-pukul-kepala-korban-lalu-hujani-tusukan ","sumber")</f>
        <v>sumber</v>
      </c>
      <c r="G272" s="121" t="str">
        <f t="shared" si="0"/>
        <v>lokasi</v>
      </c>
      <c r="H272" s="118">
        <v>107</v>
      </c>
      <c r="I272" s="22">
        <v>1</v>
      </c>
      <c r="J272" s="119">
        <v>3</v>
      </c>
      <c r="K272" s="123" t="s">
        <v>2442</v>
      </c>
      <c r="L272" s="22">
        <v>0</v>
      </c>
      <c r="M272" s="22">
        <v>1</v>
      </c>
      <c r="N272" s="22">
        <v>-1</v>
      </c>
      <c r="O272" s="22">
        <v>0</v>
      </c>
      <c r="P272" s="22">
        <v>0</v>
      </c>
      <c r="Q272" s="22" t="s">
        <v>782</v>
      </c>
      <c r="R272" s="22" t="s">
        <v>170</v>
      </c>
      <c r="S272" s="134"/>
      <c r="T272" s="22">
        <v>0</v>
      </c>
      <c r="U272" s="22">
        <v>0</v>
      </c>
      <c r="V272" s="22">
        <v>0</v>
      </c>
      <c r="W272" s="23"/>
      <c r="X272" s="23"/>
      <c r="Y272" s="23"/>
    </row>
    <row r="273" spans="1:25" ht="14.4">
      <c r="A273" s="117">
        <v>1</v>
      </c>
      <c r="B273" s="118" t="s">
        <v>2443</v>
      </c>
      <c r="C273" s="22">
        <v>273</v>
      </c>
      <c r="D273" s="119">
        <v>3</v>
      </c>
      <c r="E273" s="119" t="s">
        <v>2444</v>
      </c>
      <c r="F273" s="121" t="str">
        <f>HYPERLINK("https://news.okezone.com/read/2019/08/28/610/2097625/ini-motif-waria-tega-habisi-nyawa-pemilik-salon-kecantikan-di-lubuk-linggau ","sumber")</f>
        <v>sumber</v>
      </c>
      <c r="G273" s="121" t="str">
        <f t="shared" si="0"/>
        <v>lokasi</v>
      </c>
      <c r="H273" s="118">
        <v>272</v>
      </c>
      <c r="I273" s="22">
        <v>1</v>
      </c>
      <c r="J273" s="119">
        <v>3</v>
      </c>
      <c r="K273" s="123" t="s">
        <v>2445</v>
      </c>
      <c r="L273" s="22">
        <v>0</v>
      </c>
      <c r="M273" s="22">
        <v>-1</v>
      </c>
      <c r="N273" s="22">
        <v>-1</v>
      </c>
      <c r="O273" s="22">
        <v>0</v>
      </c>
      <c r="P273" s="22">
        <v>-1</v>
      </c>
      <c r="Q273" s="22">
        <v>0</v>
      </c>
      <c r="R273" s="22">
        <v>0</v>
      </c>
      <c r="S273" s="134"/>
      <c r="T273" s="22">
        <v>0</v>
      </c>
      <c r="U273" s="22">
        <v>-1</v>
      </c>
      <c r="V273" s="22">
        <v>0</v>
      </c>
      <c r="W273" s="23"/>
      <c r="X273" s="23"/>
      <c r="Y273" s="23"/>
    </row>
    <row r="274" spans="1:25" ht="14.4">
      <c r="A274" s="148">
        <v>1</v>
      </c>
      <c r="B274" s="149" t="s">
        <v>2446</v>
      </c>
      <c r="C274" s="33">
        <v>274</v>
      </c>
      <c r="D274" s="128">
        <v>8</v>
      </c>
      <c r="E274" s="129">
        <v>43654</v>
      </c>
      <c r="F274" s="130" t="str">
        <f>HYPERLINK("https://www.suara.com/lifestyle/2019/08/07/150346/viral-pasangan-gay-india-menikah-dengan-tradisi-hindu-kental ","sumber")</f>
        <v>sumber</v>
      </c>
      <c r="G274" s="130" t="str">
        <f t="shared" si="0"/>
        <v>lokasi</v>
      </c>
      <c r="H274" s="127">
        <v>294</v>
      </c>
      <c r="I274" s="33">
        <v>3</v>
      </c>
      <c r="J274" s="128">
        <v>3</v>
      </c>
      <c r="K274" s="131" t="s">
        <v>2447</v>
      </c>
      <c r="L274" s="33">
        <v>0</v>
      </c>
      <c r="M274" s="33">
        <v>0</v>
      </c>
      <c r="N274" s="132">
        <v>0</v>
      </c>
      <c r="O274" s="33">
        <v>0</v>
      </c>
      <c r="P274" s="33">
        <v>-1</v>
      </c>
      <c r="Q274" s="33">
        <v>2</v>
      </c>
      <c r="R274" s="33">
        <v>1</v>
      </c>
      <c r="S274" s="133"/>
      <c r="T274" s="33">
        <v>0</v>
      </c>
      <c r="U274" s="33">
        <v>0</v>
      </c>
      <c r="V274" s="33">
        <v>1</v>
      </c>
      <c r="W274" s="24"/>
      <c r="X274" s="24"/>
      <c r="Y274" s="33"/>
    </row>
    <row r="275" spans="1:25" ht="14.4">
      <c r="A275" s="111">
        <v>2</v>
      </c>
      <c r="B275" s="112" t="s">
        <v>2448</v>
      </c>
      <c r="C275" s="25">
        <v>275</v>
      </c>
      <c r="D275" s="113">
        <v>2</v>
      </c>
      <c r="E275" s="114">
        <v>43474</v>
      </c>
      <c r="F275" s="115" t="str">
        <f>HYPERLINK("https://www.cnnindonesia.com/internasional/20190901202432-113-426627/paus-berencana-angkat-kardinal-dari-indonesia ","sumber")</f>
        <v>sumber</v>
      </c>
      <c r="G275" s="115" t="str">
        <f t="shared" si="0"/>
        <v>lokasi</v>
      </c>
      <c r="H275" s="112">
        <v>260</v>
      </c>
      <c r="I275" s="26"/>
      <c r="J275" s="113">
        <v>3</v>
      </c>
      <c r="K275" s="124"/>
      <c r="L275" s="26"/>
      <c r="M275" s="26"/>
      <c r="N275" s="26"/>
      <c r="O275" s="26"/>
      <c r="P275" s="26"/>
      <c r="Q275" s="26"/>
      <c r="R275" s="26"/>
      <c r="S275" s="124"/>
      <c r="T275" s="26"/>
      <c r="U275" s="26"/>
      <c r="V275" s="26"/>
      <c r="W275" s="26"/>
      <c r="X275" s="26"/>
      <c r="Y275" s="25"/>
    </row>
    <row r="276" spans="1:25" ht="14.4">
      <c r="A276" s="117">
        <v>1</v>
      </c>
      <c r="B276" s="118" t="s">
        <v>2449</v>
      </c>
      <c r="C276" s="22">
        <v>276</v>
      </c>
      <c r="D276" s="119">
        <v>1</v>
      </c>
      <c r="E276" s="120">
        <v>43533</v>
      </c>
      <c r="F276" s="121" t="str">
        <f>HYPERLINK("https://hot.detik.com/celeb/d-4691764/dulu-berkoar-intim-dengan-youtuber-kini-dj-bebby-fey-kok-diam ","sumber")</f>
        <v>sumber</v>
      </c>
      <c r="G276" s="121" t="str">
        <f t="shared" si="0"/>
        <v>lokasi</v>
      </c>
      <c r="H276" s="118">
        <v>1478</v>
      </c>
      <c r="I276" s="22">
        <v>1</v>
      </c>
      <c r="J276" s="119">
        <v>1</v>
      </c>
      <c r="K276" s="123" t="s">
        <v>2450</v>
      </c>
      <c r="L276" s="22">
        <v>0</v>
      </c>
      <c r="M276" s="147">
        <v>0</v>
      </c>
      <c r="N276" s="125">
        <v>0</v>
      </c>
      <c r="O276" s="22">
        <v>0</v>
      </c>
      <c r="P276" s="22">
        <v>0</v>
      </c>
      <c r="Q276" s="22">
        <v>0</v>
      </c>
      <c r="R276" s="22">
        <v>0</v>
      </c>
      <c r="S276" s="134"/>
      <c r="T276" s="22">
        <v>0</v>
      </c>
      <c r="U276" s="22">
        <v>0</v>
      </c>
      <c r="V276" s="22">
        <v>0</v>
      </c>
      <c r="W276" s="23"/>
      <c r="X276" s="23"/>
      <c r="Y276" s="23"/>
    </row>
    <row r="277" spans="1:25" ht="14.4">
      <c r="A277" s="111">
        <v>2</v>
      </c>
      <c r="B277" s="112" t="s">
        <v>2451</v>
      </c>
      <c r="C277" s="25">
        <v>277</v>
      </c>
      <c r="D277" s="113">
        <v>10</v>
      </c>
      <c r="E277" s="114">
        <v>43533</v>
      </c>
      <c r="F277" s="115" t="str">
        <f>HYPERLINK("https://nasional.tempo.co/read/1243313/banser-laporkan-pembicara-parade-ukhuwah-ke-polisi ","sumber")</f>
        <v>sumber</v>
      </c>
      <c r="G277" s="115" t="str">
        <f t="shared" si="0"/>
        <v>lokasi</v>
      </c>
      <c r="H277" s="112">
        <v>251</v>
      </c>
      <c r="I277" s="26"/>
      <c r="J277" s="113">
        <v>3</v>
      </c>
      <c r="K277" s="124"/>
      <c r="L277" s="26"/>
      <c r="M277" s="26"/>
      <c r="N277" s="26"/>
      <c r="O277" s="26"/>
      <c r="P277" s="26"/>
      <c r="Q277" s="26"/>
      <c r="R277" s="26"/>
      <c r="S277" s="124"/>
      <c r="T277" s="26"/>
      <c r="U277" s="26"/>
      <c r="V277" s="26"/>
      <c r="W277" s="26"/>
      <c r="X277" s="26"/>
      <c r="Y277" s="25"/>
    </row>
    <row r="278" spans="1:25" ht="14.4">
      <c r="A278" s="117">
        <v>1</v>
      </c>
      <c r="B278" s="118" t="s">
        <v>2452</v>
      </c>
      <c r="C278" s="22">
        <v>278</v>
      </c>
      <c r="D278" s="119">
        <v>8</v>
      </c>
      <c r="E278" s="119" t="s">
        <v>2453</v>
      </c>
      <c r="F278" s="121" t="str">
        <f>HYPERLINK("https://www.suara.com/news/2019/09/21/194641/ciuman-di-hadapan-demonstran-anti-lgbt-pasangan-gay-ini-viral ","sumber")</f>
        <v>sumber</v>
      </c>
      <c r="G278" s="121" t="str">
        <f t="shared" si="0"/>
        <v>lokasi</v>
      </c>
      <c r="H278" s="118">
        <v>238</v>
      </c>
      <c r="I278" s="22">
        <v>2</v>
      </c>
      <c r="J278" s="119">
        <v>3</v>
      </c>
      <c r="K278" s="123" t="s">
        <v>2454</v>
      </c>
      <c r="L278" s="22">
        <v>0</v>
      </c>
      <c r="M278" s="22">
        <v>0</v>
      </c>
      <c r="N278" s="125">
        <v>0</v>
      </c>
      <c r="O278" s="22">
        <v>0</v>
      </c>
      <c r="P278" s="22">
        <v>0</v>
      </c>
      <c r="Q278" s="22">
        <v>2</v>
      </c>
      <c r="R278" s="22">
        <v>1</v>
      </c>
      <c r="S278" s="134"/>
      <c r="T278" s="22">
        <v>0</v>
      </c>
      <c r="U278" s="22">
        <v>0</v>
      </c>
      <c r="V278" s="22">
        <v>0</v>
      </c>
      <c r="W278" s="23"/>
      <c r="X278" s="23"/>
      <c r="Y278" s="23"/>
    </row>
    <row r="279" spans="1:25" ht="14.4">
      <c r="A279" s="111">
        <v>2</v>
      </c>
      <c r="B279" s="112" t="s">
        <v>2455</v>
      </c>
      <c r="C279" s="25">
        <v>279</v>
      </c>
      <c r="D279" s="113">
        <v>8</v>
      </c>
      <c r="E279" s="113" t="s">
        <v>2456</v>
      </c>
      <c r="F279" s="115" t="str">
        <f>HYPERLINK("https://www.suara.com/news/2019/09/27/104301/jadi-buronan-anak-stm-ini-komentar-lucu-denny-siregar ","sumber")</f>
        <v>sumber</v>
      </c>
      <c r="G279" s="115" t="str">
        <f t="shared" si="0"/>
        <v>lokasi</v>
      </c>
      <c r="H279" s="112">
        <v>273</v>
      </c>
      <c r="I279" s="26"/>
      <c r="J279" s="113">
        <v>3</v>
      </c>
      <c r="K279" s="124"/>
      <c r="L279" s="26"/>
      <c r="M279" s="26"/>
      <c r="N279" s="26"/>
      <c r="O279" s="26"/>
      <c r="P279" s="26"/>
      <c r="Q279" s="26"/>
      <c r="R279" s="26"/>
      <c r="S279" s="124"/>
      <c r="T279" s="26"/>
      <c r="U279" s="26"/>
      <c r="V279" s="26"/>
      <c r="W279" s="26"/>
      <c r="X279" s="26"/>
      <c r="Y279" s="25"/>
    </row>
    <row r="280" spans="1:25" ht="14.4">
      <c r="A280" s="117">
        <v>1</v>
      </c>
      <c r="B280" s="118" t="s">
        <v>2457</v>
      </c>
      <c r="C280" s="22">
        <v>280</v>
      </c>
      <c r="D280" s="119">
        <v>4</v>
      </c>
      <c r="E280" s="120">
        <v>43586</v>
      </c>
      <c r="F280" s="121" t="str">
        <f>HYPERLINK("https://www.liputan6.com/regional/read/3863980/ungkap-rantai-prostitusi-online-artis-va-menginap-di-polda-jatim-malam-ini ","sumber")</f>
        <v>sumber</v>
      </c>
      <c r="G280" s="121" t="str">
        <f t="shared" si="0"/>
        <v>lokasi</v>
      </c>
      <c r="H280" s="118">
        <v>166</v>
      </c>
      <c r="I280" s="22">
        <v>1</v>
      </c>
      <c r="J280" s="119">
        <v>1</v>
      </c>
      <c r="K280" s="123" t="s">
        <v>2458</v>
      </c>
      <c r="L280" s="22">
        <v>0</v>
      </c>
      <c r="M280" s="22">
        <v>-1</v>
      </c>
      <c r="N280" s="125">
        <v>0</v>
      </c>
      <c r="O280" s="22">
        <v>0</v>
      </c>
      <c r="P280" s="22">
        <v>0</v>
      </c>
      <c r="Q280" s="22">
        <v>0</v>
      </c>
      <c r="R280" s="22">
        <v>0</v>
      </c>
      <c r="S280" s="134"/>
      <c r="T280" s="22">
        <v>0</v>
      </c>
      <c r="U280" s="22">
        <v>0</v>
      </c>
      <c r="V280" s="22">
        <v>0</v>
      </c>
      <c r="W280" s="23"/>
      <c r="X280" s="23"/>
      <c r="Y280" s="23"/>
    </row>
    <row r="281" spans="1:25" ht="14.4">
      <c r="A281" s="117">
        <v>1</v>
      </c>
      <c r="B281" s="118" t="s">
        <v>2459</v>
      </c>
      <c r="C281" s="22">
        <v>281</v>
      </c>
      <c r="D281" s="119">
        <v>5</v>
      </c>
      <c r="E281" s="120">
        <v>43678</v>
      </c>
      <c r="F281" s="121" t="str">
        <f>HYPERLINK("https://tirto.id/menyimpan-rahasia-bisa-tingkatkan-stres-turunkan-kesehatan-mental-ddG5 ","sumber")</f>
        <v>sumber</v>
      </c>
      <c r="G281" s="121" t="str">
        <f t="shared" si="0"/>
        <v>lokasi</v>
      </c>
      <c r="H281" s="118">
        <v>524</v>
      </c>
      <c r="I281" s="22">
        <v>2</v>
      </c>
      <c r="J281" s="119">
        <v>2</v>
      </c>
      <c r="K281" s="123" t="s">
        <v>2460</v>
      </c>
      <c r="L281" s="22">
        <v>0</v>
      </c>
      <c r="M281" s="22">
        <v>0</v>
      </c>
      <c r="N281" s="125">
        <v>0</v>
      </c>
      <c r="O281" s="22">
        <v>0</v>
      </c>
      <c r="P281" s="22">
        <v>0</v>
      </c>
      <c r="Q281" s="22" t="s">
        <v>29</v>
      </c>
      <c r="R281" s="22" t="s">
        <v>29</v>
      </c>
      <c r="S281" s="134"/>
      <c r="T281" s="22">
        <v>0</v>
      </c>
      <c r="U281" s="22">
        <v>0</v>
      </c>
      <c r="V281" s="22">
        <v>0</v>
      </c>
      <c r="W281" s="23"/>
      <c r="X281" s="23"/>
      <c r="Y281" s="23"/>
    </row>
    <row r="282" spans="1:25" ht="14.4">
      <c r="A282" s="117">
        <v>1</v>
      </c>
      <c r="B282" s="118" t="s">
        <v>2461</v>
      </c>
      <c r="C282" s="22">
        <v>282</v>
      </c>
      <c r="D282" s="119">
        <v>8</v>
      </c>
      <c r="E282" s="120">
        <v>43770</v>
      </c>
      <c r="F282" s="121" t="str">
        <f>HYPERLINK("https://www.suara.com/entertainment/2019/01/11/113257/artis-ac-hingga-bs-bakal-diperiksa-kasus-prostitusi-siapa-mereka ","sumber")</f>
        <v>sumber</v>
      </c>
      <c r="G282" s="121" t="str">
        <f t="shared" si="0"/>
        <v>lokasi</v>
      </c>
      <c r="H282" s="118">
        <v>160</v>
      </c>
      <c r="I282" s="22">
        <v>1</v>
      </c>
      <c r="J282" s="119">
        <v>1</v>
      </c>
      <c r="K282" s="123" t="s">
        <v>2462</v>
      </c>
      <c r="L282" s="22">
        <v>0</v>
      </c>
      <c r="M282" s="22">
        <v>-1</v>
      </c>
      <c r="N282" s="125">
        <v>0</v>
      </c>
      <c r="O282" s="22">
        <v>0</v>
      </c>
      <c r="P282" s="22">
        <v>0</v>
      </c>
      <c r="Q282" s="22">
        <v>0</v>
      </c>
      <c r="R282" s="22">
        <v>0</v>
      </c>
      <c r="S282" s="134"/>
      <c r="T282" s="22">
        <v>0</v>
      </c>
      <c r="U282" s="22">
        <v>0</v>
      </c>
      <c r="V282" s="22">
        <v>0</v>
      </c>
      <c r="W282" s="23"/>
      <c r="X282" s="23"/>
      <c r="Y282" s="23"/>
    </row>
    <row r="283" spans="1:25" ht="14.4">
      <c r="A283" s="117">
        <v>1</v>
      </c>
      <c r="B283" s="118" t="s">
        <v>2463</v>
      </c>
      <c r="C283" s="22">
        <v>283</v>
      </c>
      <c r="D283" s="119">
        <v>10</v>
      </c>
      <c r="E283" s="120">
        <v>43770</v>
      </c>
      <c r="F283" s="121" t="str">
        <f>HYPERLINK("https://bisnis.tempo.co/read/1164035/bpjs-ketenagakerjaan-skandal-eks-pejabat-tak-pengaruhi-kinerja ","sumber")</f>
        <v>sumber</v>
      </c>
      <c r="G283" s="121" t="str">
        <f t="shared" si="0"/>
        <v>lokasi</v>
      </c>
      <c r="H283" s="118">
        <v>230</v>
      </c>
      <c r="I283" s="22">
        <v>1</v>
      </c>
      <c r="J283" s="119">
        <v>1</v>
      </c>
      <c r="K283" s="123" t="s">
        <v>2464</v>
      </c>
      <c r="L283" s="22">
        <v>0</v>
      </c>
      <c r="M283" s="22">
        <v>-1</v>
      </c>
      <c r="N283" s="125">
        <v>0</v>
      </c>
      <c r="O283" s="22">
        <v>0</v>
      </c>
      <c r="P283" s="22">
        <v>0</v>
      </c>
      <c r="Q283" s="22">
        <v>0</v>
      </c>
      <c r="R283" s="22">
        <v>0</v>
      </c>
      <c r="S283" s="134"/>
      <c r="T283" s="22">
        <v>0</v>
      </c>
      <c r="U283" s="22">
        <v>0</v>
      </c>
      <c r="V283" s="22">
        <v>0</v>
      </c>
      <c r="W283" s="23"/>
      <c r="X283" s="23"/>
      <c r="Y283" s="23"/>
    </row>
    <row r="284" spans="1:25" ht="14.4">
      <c r="A284" s="117">
        <v>1</v>
      </c>
      <c r="B284" s="118" t="s">
        <v>2465</v>
      </c>
      <c r="C284" s="22">
        <v>284</v>
      </c>
      <c r="D284" s="119">
        <v>10</v>
      </c>
      <c r="E284" s="170">
        <v>43800</v>
      </c>
      <c r="F284" s="121" t="str">
        <f>HYPERLINK("https://seleb.tempo.co/read/1164205/vanessa-angel-disebut-terima-transfer-15-kali-dari-muncikari ","sumber")</f>
        <v>sumber</v>
      </c>
      <c r="G284" s="121" t="str">
        <f t="shared" si="0"/>
        <v>lokasi</v>
      </c>
      <c r="H284" s="118">
        <v>235</v>
      </c>
      <c r="I284" s="22">
        <v>1</v>
      </c>
      <c r="J284" s="119">
        <v>1</v>
      </c>
      <c r="K284" s="123" t="s">
        <v>2466</v>
      </c>
      <c r="L284" s="22">
        <v>0</v>
      </c>
      <c r="M284" s="22">
        <v>-1</v>
      </c>
      <c r="N284" s="22">
        <v>-1</v>
      </c>
      <c r="O284" s="22">
        <v>0</v>
      </c>
      <c r="P284" s="22">
        <v>0</v>
      </c>
      <c r="Q284" s="22">
        <v>1</v>
      </c>
      <c r="R284" s="22">
        <v>0</v>
      </c>
      <c r="S284" s="134"/>
      <c r="T284" s="22">
        <v>0</v>
      </c>
      <c r="U284" s="22">
        <v>0</v>
      </c>
      <c r="V284" s="22">
        <v>0</v>
      </c>
      <c r="W284" s="23"/>
      <c r="X284" s="23"/>
      <c r="Y284" s="23"/>
    </row>
    <row r="285" spans="1:25" ht="14.4">
      <c r="A285" s="117">
        <v>1</v>
      </c>
      <c r="B285" s="118" t="s">
        <v>2467</v>
      </c>
      <c r="C285" s="22">
        <v>285</v>
      </c>
      <c r="D285" s="119">
        <v>6</v>
      </c>
      <c r="E285" s="119" t="s">
        <v>2468</v>
      </c>
      <c r="F285" s="121" t="str">
        <f>HYPERLINK("https://internasional.kompas.com/read/2019/01/17/13314941/mahasiswi-asal-israel-jadi-korban-penyerangan-orang-tak-dikenal-di ","sumber")</f>
        <v>sumber</v>
      </c>
      <c r="G285" s="121" t="str">
        <f t="shared" si="0"/>
        <v>lokasi</v>
      </c>
      <c r="H285" s="118">
        <v>308</v>
      </c>
      <c r="I285" s="22">
        <v>1</v>
      </c>
      <c r="J285" s="119">
        <v>1</v>
      </c>
      <c r="K285" s="123" t="s">
        <v>2469</v>
      </c>
      <c r="L285" s="22">
        <v>0</v>
      </c>
      <c r="M285" s="22">
        <v>-1</v>
      </c>
      <c r="N285" s="125">
        <v>0</v>
      </c>
      <c r="O285" s="22">
        <v>0</v>
      </c>
      <c r="P285" s="22">
        <v>0</v>
      </c>
      <c r="Q285" s="22">
        <v>0</v>
      </c>
      <c r="R285" s="22">
        <v>1</v>
      </c>
      <c r="S285" s="134"/>
      <c r="T285" s="22">
        <v>0</v>
      </c>
      <c r="U285" s="22">
        <v>0</v>
      </c>
      <c r="V285" s="22">
        <v>0</v>
      </c>
      <c r="W285" s="23"/>
      <c r="X285" s="23"/>
      <c r="Y285" s="23"/>
    </row>
    <row r="286" spans="1:25" ht="14.4">
      <c r="A286" s="117">
        <v>1</v>
      </c>
      <c r="B286" s="118" t="s">
        <v>2470</v>
      </c>
      <c r="C286" s="22">
        <v>286</v>
      </c>
      <c r="D286" s="119">
        <v>6</v>
      </c>
      <c r="E286" s="120">
        <v>43467</v>
      </c>
      <c r="F286" s="121" t="str">
        <f>HYPERLINK("https://regional.kompas.com/read/2019/02/01/14305321/tante-dan-kuasa-hukum-artis-va-jaminkan-diri-agar-artis-va-tak-ditahan ","sumber")</f>
        <v>sumber</v>
      </c>
      <c r="G286" s="121" t="str">
        <f t="shared" si="0"/>
        <v>lokasi</v>
      </c>
      <c r="H286" s="118">
        <v>230</v>
      </c>
      <c r="I286" s="22">
        <v>1</v>
      </c>
      <c r="J286" s="119">
        <v>1</v>
      </c>
      <c r="K286" s="123" t="s">
        <v>2471</v>
      </c>
      <c r="L286" s="22">
        <v>0</v>
      </c>
      <c r="M286" s="147">
        <v>0</v>
      </c>
      <c r="N286" s="125">
        <v>0</v>
      </c>
      <c r="O286" s="22">
        <v>0</v>
      </c>
      <c r="P286" s="22">
        <v>0</v>
      </c>
      <c r="Q286" s="22">
        <v>0</v>
      </c>
      <c r="R286" s="22">
        <v>0</v>
      </c>
      <c r="S286" s="134"/>
      <c r="T286" s="22">
        <v>0</v>
      </c>
      <c r="U286" s="22">
        <v>0</v>
      </c>
      <c r="V286" s="22">
        <v>0</v>
      </c>
      <c r="W286" s="23"/>
      <c r="X286" s="23"/>
      <c r="Y286" s="23"/>
    </row>
    <row r="287" spans="1:25" ht="14.4">
      <c r="A287" s="117">
        <v>1</v>
      </c>
      <c r="B287" s="118" t="s">
        <v>69</v>
      </c>
      <c r="C287" s="22">
        <v>287</v>
      </c>
      <c r="D287" s="119">
        <v>3</v>
      </c>
      <c r="E287" s="120">
        <v>43498</v>
      </c>
      <c r="F287" s="121" t="str">
        <f>HYPERLINK("https://celebrity.okezone.com/read/2019/01/31/33/2012177/kebohongan-berujung-bui-untuk-vanessa-angel ","sumber")</f>
        <v>sumber</v>
      </c>
      <c r="G287" s="121" t="str">
        <f t="shared" si="0"/>
        <v>lokasi</v>
      </c>
      <c r="H287" s="118">
        <v>839</v>
      </c>
      <c r="I287" s="22">
        <v>1</v>
      </c>
      <c r="J287" s="119">
        <v>1</v>
      </c>
      <c r="K287" s="123" t="s">
        <v>2472</v>
      </c>
      <c r="L287" s="22">
        <v>0</v>
      </c>
      <c r="M287" s="22">
        <v>1</v>
      </c>
      <c r="N287" s="125">
        <v>0</v>
      </c>
      <c r="O287" s="22">
        <v>0</v>
      </c>
      <c r="P287" s="22">
        <v>0</v>
      </c>
      <c r="Q287" s="22" t="s">
        <v>21</v>
      </c>
      <c r="R287" s="22" t="s">
        <v>21</v>
      </c>
      <c r="S287" s="134"/>
      <c r="T287" s="22">
        <v>0</v>
      </c>
      <c r="U287" s="22">
        <v>0</v>
      </c>
      <c r="V287" s="22">
        <v>0</v>
      </c>
      <c r="W287" s="23"/>
      <c r="X287" s="23"/>
      <c r="Y287" s="23"/>
    </row>
    <row r="288" spans="1:25" ht="14.4">
      <c r="A288" s="111">
        <v>2</v>
      </c>
      <c r="B288" s="112" t="s">
        <v>2473</v>
      </c>
      <c r="C288" s="25">
        <v>288</v>
      </c>
      <c r="D288" s="113">
        <v>7</v>
      </c>
      <c r="E288" s="114">
        <v>43498</v>
      </c>
      <c r="F288" s="115" t="str">
        <f>HYPERLINK("http://www.tribunnews.com/pilpres-2019/2019/02/02/boni-hargens-dorong-tabloid-indonesia-barokah-terus-diterbitkan ","sumber")</f>
        <v>sumber</v>
      </c>
      <c r="G288" s="115" t="str">
        <f t="shared" si="0"/>
        <v>lokasi</v>
      </c>
      <c r="H288" s="112">
        <v>281</v>
      </c>
      <c r="I288" s="26"/>
      <c r="J288" s="113">
        <v>1</v>
      </c>
      <c r="K288" s="124"/>
      <c r="L288" s="26"/>
      <c r="M288" s="26"/>
      <c r="N288" s="26"/>
      <c r="O288" s="26"/>
      <c r="P288" s="26"/>
      <c r="Q288" s="26"/>
      <c r="R288" s="26"/>
      <c r="S288" s="124"/>
      <c r="T288" s="26"/>
      <c r="U288" s="26"/>
      <c r="V288" s="26"/>
      <c r="W288" s="26"/>
      <c r="X288" s="26"/>
      <c r="Y288" s="25"/>
    </row>
    <row r="289" spans="1:25" ht="14.4">
      <c r="A289" s="117">
        <v>1</v>
      </c>
      <c r="B289" s="118" t="s">
        <v>2474</v>
      </c>
      <c r="C289" s="22">
        <v>289</v>
      </c>
      <c r="D289" s="119">
        <v>2</v>
      </c>
      <c r="E289" s="120">
        <v>43557</v>
      </c>
      <c r="F289" s="121" t="str">
        <f>HYPERLINK("https://www.cnnindonesia.com/nasional/20190204211906-20-366502/kasus-pemerkosaan-mahasiswi-ugm-saat-kkn-berakhir-damai ","sumber")</f>
        <v>sumber</v>
      </c>
      <c r="G289" s="121" t="str">
        <f t="shared" si="0"/>
        <v>lokasi</v>
      </c>
      <c r="H289" s="118">
        <v>344</v>
      </c>
      <c r="I289" s="22">
        <v>1</v>
      </c>
      <c r="J289" s="119">
        <v>1</v>
      </c>
      <c r="K289" s="123" t="s">
        <v>1575</v>
      </c>
      <c r="L289" s="22">
        <v>0</v>
      </c>
      <c r="M289" s="22">
        <v>-1</v>
      </c>
      <c r="N289" s="125">
        <v>0</v>
      </c>
      <c r="O289" s="22">
        <v>0</v>
      </c>
      <c r="P289" s="22">
        <v>0</v>
      </c>
      <c r="Q289" s="22">
        <v>0</v>
      </c>
      <c r="R289" s="22">
        <v>0</v>
      </c>
      <c r="S289" s="134"/>
      <c r="T289" s="22">
        <v>0</v>
      </c>
      <c r="U289" s="22">
        <v>0</v>
      </c>
      <c r="V289" s="22">
        <v>0</v>
      </c>
      <c r="W289" s="23"/>
      <c r="X289" s="23"/>
      <c r="Y289" s="23"/>
    </row>
    <row r="290" spans="1:25" ht="14.4">
      <c r="A290" s="135">
        <v>1</v>
      </c>
      <c r="B290" s="155" t="s">
        <v>2475</v>
      </c>
      <c r="C290" s="137">
        <v>290</v>
      </c>
      <c r="D290" s="138">
        <v>5</v>
      </c>
      <c r="E290" s="154">
        <v>43557</v>
      </c>
      <c r="F290" s="139" t="str">
        <f>HYPERLINK("https://tirto.id/tarik-ulur-kepentingan-dalam-kasus-pelecehan-ra-dfQT ","sumber")</f>
        <v>sumber</v>
      </c>
      <c r="G290" s="139" t="str">
        <f t="shared" si="0"/>
        <v>lokasi</v>
      </c>
      <c r="H290" s="136">
        <v>709</v>
      </c>
      <c r="I290" s="137">
        <v>1</v>
      </c>
      <c r="J290" s="138">
        <v>1</v>
      </c>
      <c r="K290" s="140" t="s">
        <v>2476</v>
      </c>
      <c r="L290" s="137">
        <v>0</v>
      </c>
      <c r="M290" s="137">
        <v>1</v>
      </c>
      <c r="N290" s="141">
        <v>0</v>
      </c>
      <c r="O290" s="137">
        <v>0</v>
      </c>
      <c r="P290" s="137">
        <v>0</v>
      </c>
      <c r="Q290" s="137" t="s">
        <v>245</v>
      </c>
      <c r="R290" s="137" t="s">
        <v>2477</v>
      </c>
      <c r="S290" s="142"/>
      <c r="T290" s="137">
        <v>0</v>
      </c>
      <c r="U290" s="137">
        <v>0</v>
      </c>
      <c r="V290" s="137">
        <v>0</v>
      </c>
      <c r="W290" s="143"/>
      <c r="X290" s="143"/>
      <c r="Y290" s="137"/>
    </row>
    <row r="291" spans="1:25" ht="14.4">
      <c r="A291" s="117">
        <v>1</v>
      </c>
      <c r="B291" s="118" t="s">
        <v>2478</v>
      </c>
      <c r="C291" s="22">
        <v>291</v>
      </c>
      <c r="D291" s="119">
        <v>4</v>
      </c>
      <c r="E291" s="120">
        <v>43771</v>
      </c>
      <c r="F291" s="121" t="str">
        <f>HYPERLINK("https://www.liputan6.com/showbiz/read/3892464/dikaitkan-dengan-kasus-prostitusi-online-ratna-pandita-rugi-ratusan-juta-rupiah ","sumber")</f>
        <v>sumber</v>
      </c>
      <c r="G291" s="121" t="str">
        <f t="shared" si="0"/>
        <v>lokasi</v>
      </c>
      <c r="H291" s="118">
        <v>217</v>
      </c>
      <c r="I291" s="22">
        <v>1</v>
      </c>
      <c r="J291" s="119">
        <v>1</v>
      </c>
      <c r="K291" s="123" t="s">
        <v>2479</v>
      </c>
      <c r="L291" s="22">
        <v>0</v>
      </c>
      <c r="M291" s="22">
        <v>-1</v>
      </c>
      <c r="N291" s="125">
        <v>0</v>
      </c>
      <c r="O291" s="22">
        <v>0</v>
      </c>
      <c r="P291" s="22">
        <v>0</v>
      </c>
      <c r="Q291" s="22">
        <v>2</v>
      </c>
      <c r="R291" s="22">
        <v>1</v>
      </c>
      <c r="S291" s="134"/>
      <c r="T291" s="22">
        <v>0</v>
      </c>
      <c r="U291" s="22">
        <v>0</v>
      </c>
      <c r="V291" s="22">
        <v>0</v>
      </c>
      <c r="W291" s="23"/>
      <c r="X291" s="23"/>
      <c r="Y291" s="23"/>
    </row>
    <row r="292" spans="1:25" ht="14.4">
      <c r="A292" s="117">
        <v>1</v>
      </c>
      <c r="B292" s="118" t="s">
        <v>2480</v>
      </c>
      <c r="C292" s="22">
        <v>292</v>
      </c>
      <c r="D292" s="119">
        <v>4</v>
      </c>
      <c r="E292" s="120">
        <v>43801</v>
      </c>
      <c r="F292" s="121" t="str">
        <f>HYPERLINK("https://www.liputan6.com/health/read/3892876/catat-kondisi-kerja-yang-timbulkan-stres-berat ","sumber")</f>
        <v>sumber</v>
      </c>
      <c r="G292" s="121" t="str">
        <f t="shared" si="0"/>
        <v>lokasi</v>
      </c>
      <c r="H292" s="118">
        <v>350</v>
      </c>
      <c r="I292" s="22">
        <v>2</v>
      </c>
      <c r="J292" s="119">
        <v>1</v>
      </c>
      <c r="K292" s="123" t="s">
        <v>2481</v>
      </c>
      <c r="L292" s="22">
        <v>0</v>
      </c>
      <c r="M292" s="22">
        <v>0</v>
      </c>
      <c r="N292" s="125">
        <v>0</v>
      </c>
      <c r="O292" s="22">
        <v>0</v>
      </c>
      <c r="P292" s="22">
        <v>0</v>
      </c>
      <c r="Q292" s="22" t="s">
        <v>21</v>
      </c>
      <c r="R292" s="22" t="s">
        <v>360</v>
      </c>
      <c r="S292" s="134"/>
      <c r="T292" s="22">
        <v>0</v>
      </c>
      <c r="U292" s="22">
        <v>0</v>
      </c>
      <c r="V292" s="22">
        <v>0</v>
      </c>
      <c r="W292" s="23"/>
      <c r="X292" s="23"/>
      <c r="Y292" s="23"/>
    </row>
    <row r="293" spans="1:25" ht="14.4">
      <c r="A293" s="117">
        <v>1</v>
      </c>
      <c r="B293" s="118" t="s">
        <v>2482</v>
      </c>
      <c r="C293" s="22">
        <v>293</v>
      </c>
      <c r="D293" s="119">
        <v>8</v>
      </c>
      <c r="E293" s="119" t="s">
        <v>81</v>
      </c>
      <c r="F293" s="121" t="str">
        <f>HYPERLINK("https://www.suara.com/news/2019/02/14/181312/bunuh-diri-caleg-gerindra-ke-anak-mungkin-ini-yang-diinginkan-bapakmu ","sumber")</f>
        <v>sumber</v>
      </c>
      <c r="G293" s="121" t="str">
        <f t="shared" si="0"/>
        <v>lokasi</v>
      </c>
      <c r="H293" s="118">
        <v>226</v>
      </c>
      <c r="I293" s="22">
        <v>1</v>
      </c>
      <c r="J293" s="119">
        <v>1</v>
      </c>
      <c r="K293" s="123" t="s">
        <v>2483</v>
      </c>
      <c r="L293" s="22">
        <v>0</v>
      </c>
      <c r="M293" s="147">
        <v>0</v>
      </c>
      <c r="N293" s="22">
        <v>-1</v>
      </c>
      <c r="O293" s="22">
        <v>0</v>
      </c>
      <c r="P293" s="22">
        <v>-1</v>
      </c>
      <c r="Q293" s="22">
        <v>0</v>
      </c>
      <c r="R293" s="22">
        <v>0</v>
      </c>
      <c r="S293" s="134"/>
      <c r="T293" s="22">
        <v>0</v>
      </c>
      <c r="U293" s="22">
        <v>0</v>
      </c>
      <c r="V293" s="22">
        <v>0</v>
      </c>
      <c r="W293" s="23"/>
      <c r="X293" s="23"/>
      <c r="Y293" s="23"/>
    </row>
    <row r="294" spans="1:25" ht="14.4">
      <c r="A294" s="135">
        <v>1</v>
      </c>
      <c r="B294" s="155" t="s">
        <v>2484</v>
      </c>
      <c r="C294" s="137">
        <v>294</v>
      </c>
      <c r="D294" s="138">
        <v>2</v>
      </c>
      <c r="E294" s="138" t="s">
        <v>2117</v>
      </c>
      <c r="F294" s="139" t="str">
        <f>HYPERLINK("https://www.cnnindonesia.com/internasional/20190223181315-134-372088/kardinal-gereja-akui-arsip-soal-pastor-paedofil-dihancurkan ","sumber")</f>
        <v>sumber</v>
      </c>
      <c r="G294" s="139" t="str">
        <f t="shared" si="0"/>
        <v>lokasi</v>
      </c>
      <c r="H294" s="136">
        <v>299</v>
      </c>
      <c r="I294" s="137">
        <v>1</v>
      </c>
      <c r="J294" s="138">
        <v>1</v>
      </c>
      <c r="K294" s="140" t="s">
        <v>2485</v>
      </c>
      <c r="L294" s="137">
        <v>0</v>
      </c>
      <c r="M294" s="137">
        <v>1</v>
      </c>
      <c r="N294" s="141">
        <v>0</v>
      </c>
      <c r="O294" s="137">
        <v>0</v>
      </c>
      <c r="P294" s="137">
        <v>0</v>
      </c>
      <c r="Q294" s="137">
        <v>0</v>
      </c>
      <c r="R294" s="137">
        <v>-1</v>
      </c>
      <c r="S294" s="142"/>
      <c r="T294" s="137">
        <v>0</v>
      </c>
      <c r="U294" s="137">
        <v>0</v>
      </c>
      <c r="V294" s="137">
        <v>1</v>
      </c>
      <c r="W294" s="143"/>
      <c r="X294" s="143"/>
      <c r="Y294" s="137"/>
    </row>
    <row r="295" spans="1:25" ht="14.4">
      <c r="A295" s="117">
        <v>1</v>
      </c>
      <c r="B295" s="118" t="s">
        <v>2486</v>
      </c>
      <c r="C295" s="22">
        <v>295</v>
      </c>
      <c r="D295" s="119">
        <v>10</v>
      </c>
      <c r="E295" s="119" t="s">
        <v>444</v>
      </c>
      <c r="F295" s="121" t="str">
        <f>HYPERLINK("https://dunia.tempo.co/read/1177381/vatikan-punya-aturan-bagi-imam-yang-punya-anak-ini-alasannya ","sumber")</f>
        <v>sumber</v>
      </c>
      <c r="G295" s="121" t="str">
        <f t="shared" si="0"/>
        <v>lokasi</v>
      </c>
      <c r="H295" s="118">
        <v>284</v>
      </c>
      <c r="I295" s="22">
        <v>4</v>
      </c>
      <c r="J295" s="119">
        <v>1</v>
      </c>
      <c r="K295" s="123" t="s">
        <v>2487</v>
      </c>
      <c r="L295" s="22">
        <v>0</v>
      </c>
      <c r="M295" s="22">
        <v>0</v>
      </c>
      <c r="N295" s="125">
        <v>0</v>
      </c>
      <c r="O295" s="22">
        <v>0</v>
      </c>
      <c r="P295" s="22">
        <v>0</v>
      </c>
      <c r="Q295" s="22">
        <v>0</v>
      </c>
      <c r="R295" s="22">
        <v>0</v>
      </c>
      <c r="S295" s="134"/>
      <c r="T295" s="22">
        <v>0</v>
      </c>
      <c r="U295" s="22">
        <v>0</v>
      </c>
      <c r="V295" s="22">
        <v>1</v>
      </c>
      <c r="W295" s="23"/>
      <c r="X295" s="23"/>
      <c r="Y295" s="23"/>
    </row>
    <row r="296" spans="1:25" ht="14.4">
      <c r="A296" s="117">
        <v>1</v>
      </c>
      <c r="B296" s="118" t="s">
        <v>2488</v>
      </c>
      <c r="C296" s="22">
        <v>296</v>
      </c>
      <c r="D296" s="119">
        <v>6</v>
      </c>
      <c r="E296" s="119" t="s">
        <v>322</v>
      </c>
      <c r="F296" s="121" t="str">
        <f>HYPERLINK("https://bola.kompas.com/read/2019/02/21/13064568/persija-terancam-tanpa-penyerang-murni-saat-lawan-tira-persikabo ","sumber")</f>
        <v>sumber</v>
      </c>
      <c r="G296" s="121" t="str">
        <f t="shared" si="0"/>
        <v>lokasi</v>
      </c>
      <c r="H296" s="118">
        <v>240</v>
      </c>
      <c r="I296" s="22">
        <v>1</v>
      </c>
      <c r="J296" s="119">
        <v>1</v>
      </c>
      <c r="K296" s="123" t="s">
        <v>2489</v>
      </c>
      <c r="L296" s="22">
        <v>0</v>
      </c>
      <c r="M296" s="22">
        <v>-1</v>
      </c>
      <c r="N296" s="125">
        <v>0</v>
      </c>
      <c r="O296" s="22">
        <v>0</v>
      </c>
      <c r="P296" s="22">
        <v>0</v>
      </c>
      <c r="Q296" s="22">
        <v>0</v>
      </c>
      <c r="R296" s="22">
        <v>0</v>
      </c>
      <c r="S296" s="134"/>
      <c r="T296" s="22">
        <v>0</v>
      </c>
      <c r="U296" s="22">
        <v>0</v>
      </c>
      <c r="V296" s="22">
        <v>0</v>
      </c>
      <c r="W296" s="23"/>
      <c r="X296" s="23"/>
      <c r="Y296" s="23"/>
    </row>
    <row r="297" spans="1:25" ht="14.4">
      <c r="A297" s="117">
        <v>1</v>
      </c>
      <c r="B297" s="118" t="s">
        <v>2490</v>
      </c>
      <c r="C297" s="22">
        <v>297</v>
      </c>
      <c r="D297" s="119">
        <v>10</v>
      </c>
      <c r="E297" s="119" t="s">
        <v>437</v>
      </c>
      <c r="F297" s="121" t="str">
        <f>HYPERLINK("https://dunia.tempo.co/read/1179022/biarawati-katholik-kritik-uskup-di-konferensi-vatikan ","sumber")</f>
        <v>sumber</v>
      </c>
      <c r="G297" s="121" t="str">
        <f t="shared" si="0"/>
        <v>lokasi</v>
      </c>
      <c r="H297" s="118">
        <v>473</v>
      </c>
      <c r="I297" s="22">
        <v>1</v>
      </c>
      <c r="J297" s="119">
        <v>1</v>
      </c>
      <c r="K297" s="123" t="s">
        <v>2491</v>
      </c>
      <c r="L297" s="22">
        <v>0</v>
      </c>
      <c r="M297" s="22">
        <v>-1</v>
      </c>
      <c r="N297" s="125">
        <v>0</v>
      </c>
      <c r="O297" s="22">
        <v>0</v>
      </c>
      <c r="P297" s="22">
        <v>0</v>
      </c>
      <c r="Q297" s="22" t="s">
        <v>29</v>
      </c>
      <c r="R297" s="22" t="s">
        <v>160</v>
      </c>
      <c r="S297" s="134"/>
      <c r="T297" s="22">
        <v>0</v>
      </c>
      <c r="U297" s="22">
        <v>0</v>
      </c>
      <c r="V297" s="22">
        <v>1</v>
      </c>
      <c r="W297" s="23"/>
      <c r="X297" s="23"/>
      <c r="Y297" s="23"/>
    </row>
    <row r="298" spans="1:25" ht="14.4">
      <c r="A298" s="117">
        <v>1</v>
      </c>
      <c r="B298" s="118" t="s">
        <v>2492</v>
      </c>
      <c r="C298" s="22">
        <v>298</v>
      </c>
      <c r="D298" s="119">
        <v>7</v>
      </c>
      <c r="E298" s="119" t="s">
        <v>325</v>
      </c>
      <c r="F298" s="121" t="str">
        <f>HYPERLINK("http://www.tribunnews.com/internasional/2019/02/26/skandal-di-gereja-katolik-kardinal-george-pell-bersalah-atas-pelanggaran-seksual-di-australia ","sumber")</f>
        <v>sumber</v>
      </c>
      <c r="G298" s="121" t="str">
        <f t="shared" si="0"/>
        <v>lokasi</v>
      </c>
      <c r="H298" s="118">
        <v>198</v>
      </c>
      <c r="I298" s="22">
        <v>1</v>
      </c>
      <c r="J298" s="119">
        <v>1</v>
      </c>
      <c r="K298" s="123" t="s">
        <v>2493</v>
      </c>
      <c r="L298" s="22">
        <v>0</v>
      </c>
      <c r="M298" s="22">
        <v>-1</v>
      </c>
      <c r="N298" s="125">
        <v>0</v>
      </c>
      <c r="O298" s="22">
        <v>0</v>
      </c>
      <c r="P298" s="22">
        <v>0</v>
      </c>
      <c r="Q298" s="22">
        <v>0</v>
      </c>
      <c r="R298" s="22">
        <v>-1</v>
      </c>
      <c r="S298" s="134"/>
      <c r="T298" s="22">
        <v>0</v>
      </c>
      <c r="U298" s="22">
        <v>0</v>
      </c>
      <c r="V298" s="22">
        <v>0</v>
      </c>
      <c r="W298" s="23"/>
      <c r="X298" s="23"/>
      <c r="Y298" s="23"/>
    </row>
    <row r="299" spans="1:25" ht="14.4">
      <c r="A299" s="117">
        <v>1</v>
      </c>
      <c r="B299" s="118" t="s">
        <v>2494</v>
      </c>
      <c r="C299" s="22">
        <v>299</v>
      </c>
      <c r="D299" s="119">
        <v>10</v>
      </c>
      <c r="E299" s="119" t="s">
        <v>328</v>
      </c>
      <c r="F299" s="121" t="str">
        <f>HYPERLINK("https://bola.tempo.co/read/1180075/dituduh-lakukan-pemerkosaaan-ronaldo-justru-untung ","sumber")</f>
        <v>sumber</v>
      </c>
      <c r="G299" s="121" t="str">
        <f t="shared" si="0"/>
        <v>lokasi</v>
      </c>
      <c r="H299" s="118">
        <v>470</v>
      </c>
      <c r="I299" s="22">
        <v>1</v>
      </c>
      <c r="J299" s="119">
        <v>1</v>
      </c>
      <c r="K299" s="123"/>
      <c r="L299" s="22">
        <v>0</v>
      </c>
      <c r="M299" s="147">
        <v>0</v>
      </c>
      <c r="N299" s="125">
        <v>0</v>
      </c>
      <c r="O299" s="22">
        <v>0</v>
      </c>
      <c r="P299" s="22">
        <v>0</v>
      </c>
      <c r="Q299" s="22"/>
      <c r="R299" s="22"/>
      <c r="S299" s="134"/>
      <c r="T299" s="22">
        <v>0</v>
      </c>
      <c r="U299" s="22">
        <v>0</v>
      </c>
      <c r="V299" s="22">
        <v>0</v>
      </c>
      <c r="W299" s="23"/>
      <c r="X299" s="23"/>
      <c r="Y299" s="23"/>
    </row>
    <row r="300" spans="1:25" ht="14.4">
      <c r="A300" s="117">
        <v>1</v>
      </c>
      <c r="B300" s="118" t="s">
        <v>2495</v>
      </c>
      <c r="C300" s="22">
        <v>300</v>
      </c>
      <c r="D300" s="119">
        <v>1</v>
      </c>
      <c r="E300" s="120">
        <v>43558</v>
      </c>
      <c r="F300" s="121" t="str">
        <f>HYPERLINK("https://news.detik.com/abc-australia/d-4452769/cerita-salah-satu-anak-yang-jadi-korban-pelecehan-seks-kardinal-pell ","sumber")</f>
        <v>sumber</v>
      </c>
      <c r="G300" s="121" t="str">
        <f t="shared" si="0"/>
        <v>lokasi</v>
      </c>
      <c r="H300" s="118">
        <v>743</v>
      </c>
      <c r="I300" s="22">
        <v>1</v>
      </c>
      <c r="J300" s="119">
        <v>1</v>
      </c>
      <c r="K300" s="123" t="s">
        <v>2496</v>
      </c>
      <c r="L300" s="22">
        <v>0</v>
      </c>
      <c r="M300" s="147">
        <v>0</v>
      </c>
      <c r="N300" s="125">
        <v>0</v>
      </c>
      <c r="O300" s="22">
        <v>0</v>
      </c>
      <c r="P300" s="22">
        <v>0</v>
      </c>
      <c r="Q300" s="22" t="s">
        <v>21</v>
      </c>
      <c r="R300" s="22" t="s">
        <v>360</v>
      </c>
      <c r="S300" s="134"/>
      <c r="T300" s="22">
        <v>0</v>
      </c>
      <c r="U300" s="22">
        <v>0</v>
      </c>
      <c r="V300" s="22">
        <v>0</v>
      </c>
      <c r="W300" s="23"/>
      <c r="X300" s="23"/>
      <c r="Y300" s="23"/>
    </row>
    <row r="301" spans="1:25" ht="14.4">
      <c r="A301" s="111">
        <v>2</v>
      </c>
      <c r="B301" s="112" t="s">
        <v>1615</v>
      </c>
      <c r="C301" s="25">
        <v>301</v>
      </c>
      <c r="D301" s="113">
        <v>3</v>
      </c>
      <c r="E301" s="114">
        <v>43619</v>
      </c>
      <c r="F301" s="115" t="str">
        <f>HYPERLINK("https://celebrity.okezone.com/read/2019/03/06/33/2026702/sempat-dekat-della-perez-akui-diego-michiels-ingin-menikah ","sumber")</f>
        <v>sumber</v>
      </c>
      <c r="G301" s="115" t="str">
        <f t="shared" si="0"/>
        <v>lokasi</v>
      </c>
      <c r="H301" s="112">
        <v>307</v>
      </c>
      <c r="I301" s="26"/>
      <c r="J301" s="113">
        <v>1</v>
      </c>
      <c r="K301" s="124"/>
      <c r="L301" s="26"/>
      <c r="M301" s="26"/>
      <c r="N301" s="26"/>
      <c r="O301" s="26"/>
      <c r="P301" s="26"/>
      <c r="Q301" s="26"/>
      <c r="R301" s="26"/>
      <c r="S301" s="124"/>
      <c r="T301" s="26"/>
      <c r="U301" s="26"/>
      <c r="V301" s="26"/>
      <c r="W301" s="26"/>
      <c r="X301" s="26"/>
      <c r="Y301" s="25"/>
    </row>
    <row r="302" spans="1:25" ht="14.4">
      <c r="A302" s="117">
        <v>1</v>
      </c>
      <c r="B302" s="118" t="s">
        <v>2497</v>
      </c>
      <c r="C302" s="22">
        <v>302</v>
      </c>
      <c r="D302" s="119">
        <v>7</v>
      </c>
      <c r="E302" s="120">
        <v>43741</v>
      </c>
      <c r="F302" s="121" t="str">
        <f>HYPERLINK("http://www.tribunnews.com/seleb/2019/03/10/pernah-alami-kdrt-saat-jadi-istri-faisal-nasimuddin-emilia-mengaku-hanya-ingin-pertahankan-hak-anak ","sumber")</f>
        <v>sumber</v>
      </c>
      <c r="G302" s="121" t="str">
        <f t="shared" si="0"/>
        <v>lokasi</v>
      </c>
      <c r="H302" s="118">
        <v>123</v>
      </c>
      <c r="I302" s="22">
        <v>1</v>
      </c>
      <c r="J302" s="119">
        <v>1</v>
      </c>
      <c r="K302" s="123" t="s">
        <v>2498</v>
      </c>
      <c r="L302" s="22">
        <v>0</v>
      </c>
      <c r="M302" s="22">
        <v>-1</v>
      </c>
      <c r="N302" s="125">
        <v>0</v>
      </c>
      <c r="O302" s="22">
        <v>0</v>
      </c>
      <c r="P302" s="22">
        <v>-1</v>
      </c>
      <c r="Q302" s="22">
        <v>2</v>
      </c>
      <c r="R302" s="22">
        <v>0</v>
      </c>
      <c r="S302" s="134"/>
      <c r="T302" s="22">
        <v>0</v>
      </c>
      <c r="U302" s="22">
        <v>0</v>
      </c>
      <c r="V302" s="22">
        <v>0</v>
      </c>
      <c r="W302" s="23"/>
      <c r="X302" s="23"/>
      <c r="Y302" s="23"/>
    </row>
    <row r="303" spans="1:25" ht="14.4">
      <c r="A303" s="117">
        <v>1</v>
      </c>
      <c r="B303" s="118" t="s">
        <v>2499</v>
      </c>
      <c r="C303" s="22">
        <v>303</v>
      </c>
      <c r="D303" s="119">
        <v>10</v>
      </c>
      <c r="E303" s="119" t="s">
        <v>121</v>
      </c>
      <c r="F303" s="121" t="str">
        <f>HYPERLINK("https://dunia.tempo.co/read/1184731/pbb-800-orang-banunu-dibantai-2-minggu-sebelum-pemilu-di-kongo ","sumber")</f>
        <v>sumber</v>
      </c>
      <c r="G303" s="121" t="str">
        <f t="shared" si="0"/>
        <v>lokasi</v>
      </c>
      <c r="H303" s="118">
        <v>361</v>
      </c>
      <c r="I303" s="22">
        <v>1</v>
      </c>
      <c r="J303" s="119">
        <v>1</v>
      </c>
      <c r="K303" s="123" t="s">
        <v>2500</v>
      </c>
      <c r="L303" s="22">
        <v>0</v>
      </c>
      <c r="M303" s="22">
        <v>-1</v>
      </c>
      <c r="N303" s="125">
        <v>0</v>
      </c>
      <c r="O303" s="22">
        <v>0</v>
      </c>
      <c r="P303" s="22">
        <v>0</v>
      </c>
      <c r="Q303" s="22">
        <v>0</v>
      </c>
      <c r="R303" s="22">
        <v>0</v>
      </c>
      <c r="S303" s="134"/>
      <c r="T303" s="22">
        <v>0</v>
      </c>
      <c r="U303" s="22">
        <v>0</v>
      </c>
      <c r="V303" s="22">
        <v>1</v>
      </c>
      <c r="W303" s="23"/>
      <c r="X303" s="23"/>
      <c r="Y303" s="23"/>
    </row>
    <row r="304" spans="1:25" ht="14.4">
      <c r="A304" s="111">
        <v>2</v>
      </c>
      <c r="B304" s="112" t="s">
        <v>2501</v>
      </c>
      <c r="C304" s="25">
        <v>304</v>
      </c>
      <c r="D304" s="113">
        <v>4</v>
      </c>
      <c r="E304" s="113" t="s">
        <v>91</v>
      </c>
      <c r="F304" s="115" t="str">
        <f>HYPERLINK("https://www.liputan6.com/news/read/3917432/video-6-wanita-ditangkap-di-apartemen-kebagusan-city ","sumber")</f>
        <v>sumber</v>
      </c>
      <c r="G304" s="115" t="str">
        <f t="shared" si="0"/>
        <v>lokasi</v>
      </c>
      <c r="H304" s="112">
        <v>26</v>
      </c>
      <c r="I304" s="26"/>
      <c r="J304" s="113">
        <v>1</v>
      </c>
      <c r="K304" s="124"/>
      <c r="L304" s="26"/>
      <c r="M304" s="26"/>
      <c r="N304" s="25"/>
      <c r="O304" s="26"/>
      <c r="P304" s="26"/>
      <c r="Q304" s="26"/>
      <c r="R304" s="26"/>
      <c r="S304" s="124"/>
      <c r="T304" s="26"/>
      <c r="U304" s="26"/>
      <c r="V304" s="26"/>
      <c r="W304" s="26"/>
      <c r="X304" s="26"/>
      <c r="Y304" s="25"/>
    </row>
    <row r="305" spans="1:25" ht="14.4">
      <c r="A305" s="117">
        <v>1</v>
      </c>
      <c r="B305" s="118" t="s">
        <v>2502</v>
      </c>
      <c r="C305" s="22">
        <v>305</v>
      </c>
      <c r="D305" s="119">
        <v>4</v>
      </c>
      <c r="E305" s="119" t="s">
        <v>115</v>
      </c>
      <c r="F305" s="121" t="str">
        <f>HYPERLINK("https://www.liputan6.com/showbiz/read/3918430/seungri-bigbang-dituding-sediakan-psk-untuk-perusahaan-jepang ","sumber")</f>
        <v>sumber</v>
      </c>
      <c r="G305" s="121" t="str">
        <f t="shared" si="0"/>
        <v>lokasi</v>
      </c>
      <c r="H305" s="118">
        <v>248</v>
      </c>
      <c r="I305" s="22">
        <v>1</v>
      </c>
      <c r="J305" s="119">
        <v>1</v>
      </c>
      <c r="K305" s="123" t="s">
        <v>2503</v>
      </c>
      <c r="L305" s="22">
        <v>0</v>
      </c>
      <c r="M305" s="22">
        <v>-1</v>
      </c>
      <c r="N305" s="125">
        <v>0</v>
      </c>
      <c r="O305" s="22">
        <v>0</v>
      </c>
      <c r="P305" s="22">
        <v>0</v>
      </c>
      <c r="Q305" s="22">
        <v>0</v>
      </c>
      <c r="R305" s="22">
        <v>-1</v>
      </c>
      <c r="S305" s="134"/>
      <c r="T305" s="22">
        <v>0</v>
      </c>
      <c r="U305" s="22">
        <v>0</v>
      </c>
      <c r="V305" s="22">
        <v>0</v>
      </c>
      <c r="W305" s="23"/>
      <c r="X305" s="23"/>
      <c r="Y305" s="23"/>
    </row>
    <row r="306" spans="1:25" ht="14.4">
      <c r="A306" s="135">
        <v>1</v>
      </c>
      <c r="B306" s="155" t="s">
        <v>2504</v>
      </c>
      <c r="C306" s="137">
        <v>306</v>
      </c>
      <c r="D306" s="138">
        <v>1</v>
      </c>
      <c r="E306" s="154">
        <v>43741</v>
      </c>
      <c r="F306" s="139" t="str">
        <f>HYPERLINK("https://news.detik.com/berita/d-4460964/miris-abg-di-jakut-jual-sepupunya-ke-pria-hidung-belang-via-fb ","sumber")</f>
        <v>sumber</v>
      </c>
      <c r="G306" s="139" t="str">
        <f t="shared" si="0"/>
        <v>lokasi</v>
      </c>
      <c r="H306" s="136">
        <v>290</v>
      </c>
      <c r="I306" s="137">
        <v>1</v>
      </c>
      <c r="J306" s="138">
        <v>1</v>
      </c>
      <c r="K306" s="140" t="s">
        <v>2505</v>
      </c>
      <c r="L306" s="137">
        <v>0</v>
      </c>
      <c r="M306" s="137">
        <v>1</v>
      </c>
      <c r="N306" s="141">
        <v>0</v>
      </c>
      <c r="O306" s="137">
        <v>0</v>
      </c>
      <c r="P306" s="137">
        <v>-1</v>
      </c>
      <c r="Q306" s="137">
        <v>0</v>
      </c>
      <c r="R306" s="137">
        <v>0</v>
      </c>
      <c r="S306" s="142"/>
      <c r="T306" s="137">
        <v>0</v>
      </c>
      <c r="U306" s="137">
        <v>0</v>
      </c>
      <c r="V306" s="137">
        <v>0</v>
      </c>
      <c r="W306" s="143"/>
      <c r="X306" s="143"/>
      <c r="Y306" s="137"/>
    </row>
    <row r="307" spans="1:25" ht="14.4">
      <c r="A307" s="117">
        <v>1</v>
      </c>
      <c r="B307" s="118" t="s">
        <v>2506</v>
      </c>
      <c r="C307" s="22">
        <v>307</v>
      </c>
      <c r="D307" s="119">
        <v>2</v>
      </c>
      <c r="E307" s="119" t="s">
        <v>124</v>
      </c>
      <c r="F307" s="121" t="str">
        <f>HYPERLINK("https://www.cnnindonesia.com/internasional/20190321122620-113-379372/bayang-bayang-rasisme-di-selandia-baru ","sumber")</f>
        <v>sumber</v>
      </c>
      <c r="G307" s="121" t="str">
        <f t="shared" si="0"/>
        <v>lokasi</v>
      </c>
      <c r="H307" s="118">
        <v>335</v>
      </c>
      <c r="I307" s="22">
        <v>1</v>
      </c>
      <c r="J307" s="119">
        <v>1</v>
      </c>
      <c r="K307" s="123" t="s">
        <v>2507</v>
      </c>
      <c r="L307" s="22">
        <v>0</v>
      </c>
      <c r="M307" s="22">
        <v>1</v>
      </c>
      <c r="N307" s="125">
        <v>0</v>
      </c>
      <c r="O307" s="22">
        <v>0</v>
      </c>
      <c r="P307" s="22">
        <v>0</v>
      </c>
      <c r="Q307" s="22">
        <v>0</v>
      </c>
      <c r="R307" s="22">
        <v>1</v>
      </c>
      <c r="S307" s="134"/>
      <c r="T307" s="22">
        <v>0</v>
      </c>
      <c r="U307" s="22">
        <v>0</v>
      </c>
      <c r="V307" s="22">
        <v>1</v>
      </c>
      <c r="W307" s="23"/>
      <c r="X307" s="23"/>
      <c r="Y307" s="23"/>
    </row>
    <row r="308" spans="1:25" ht="14.4">
      <c r="A308" s="117">
        <v>1</v>
      </c>
      <c r="B308" s="118" t="s">
        <v>2508</v>
      </c>
      <c r="C308" s="22">
        <v>308</v>
      </c>
      <c r="D308" s="119">
        <v>9</v>
      </c>
      <c r="E308" s="119" t="s">
        <v>474</v>
      </c>
      <c r="F308" s="121" t="str">
        <f>HYPERLINK("https://senggang.republika.co.id/berita/senggang/musik/pow02u348/diana-ross-bela-mendiang-michael-jackson ","sumber")</f>
        <v>sumber</v>
      </c>
      <c r="G308" s="121" t="str">
        <f t="shared" si="0"/>
        <v>lokasi</v>
      </c>
      <c r="H308" s="118">
        <v>320</v>
      </c>
      <c r="I308" s="22">
        <v>1</v>
      </c>
      <c r="J308" s="119">
        <v>1</v>
      </c>
      <c r="K308" s="123" t="s">
        <v>2509</v>
      </c>
      <c r="L308" s="22">
        <v>0</v>
      </c>
      <c r="M308" s="22">
        <v>-1</v>
      </c>
      <c r="N308" s="125">
        <v>0</v>
      </c>
      <c r="O308" s="22">
        <v>0</v>
      </c>
      <c r="P308" s="22">
        <v>0</v>
      </c>
      <c r="Q308" s="22">
        <v>0</v>
      </c>
      <c r="R308" s="22">
        <v>-1</v>
      </c>
      <c r="S308" s="134"/>
      <c r="T308" s="22">
        <v>0</v>
      </c>
      <c r="U308" s="22">
        <v>0</v>
      </c>
      <c r="V308" s="22">
        <v>0</v>
      </c>
      <c r="W308" s="23"/>
      <c r="X308" s="23"/>
      <c r="Y308" s="23"/>
    </row>
    <row r="309" spans="1:25" ht="14.4">
      <c r="A309" s="135">
        <v>1</v>
      </c>
      <c r="B309" s="155" t="s">
        <v>2510</v>
      </c>
      <c r="C309" s="137">
        <v>309</v>
      </c>
      <c r="D309" s="138">
        <v>4</v>
      </c>
      <c r="E309" s="138" t="s">
        <v>491</v>
      </c>
      <c r="F309" s="139" t="str">
        <f>HYPERLINK("https://www.liputan6.com/showbiz/read/3920884/terjerat-kekerasan-seksual-yoochun-jyj-didenda-rp-1-miliar ","sumber")</f>
        <v>sumber</v>
      </c>
      <c r="G309" s="139" t="str">
        <f t="shared" si="0"/>
        <v>lokasi</v>
      </c>
      <c r="H309" s="136">
        <v>212</v>
      </c>
      <c r="I309" s="137">
        <v>1</v>
      </c>
      <c r="J309" s="138">
        <v>1</v>
      </c>
      <c r="K309" s="140" t="s">
        <v>2511</v>
      </c>
      <c r="L309" s="137">
        <v>0</v>
      </c>
      <c r="M309" s="137">
        <v>1</v>
      </c>
      <c r="N309" s="141">
        <v>0</v>
      </c>
      <c r="O309" s="137">
        <v>0</v>
      </c>
      <c r="P309" s="137">
        <v>0</v>
      </c>
      <c r="Q309" s="137">
        <v>0</v>
      </c>
      <c r="R309" s="137">
        <v>1</v>
      </c>
      <c r="S309" s="142"/>
      <c r="T309" s="137">
        <v>0</v>
      </c>
      <c r="U309" s="137">
        <v>0</v>
      </c>
      <c r="V309" s="137">
        <v>0</v>
      </c>
      <c r="W309" s="143"/>
      <c r="X309" s="143"/>
      <c r="Y309" s="137"/>
    </row>
    <row r="310" spans="1:25" ht="14.4">
      <c r="A310" s="117">
        <v>1</v>
      </c>
      <c r="B310" s="118" t="s">
        <v>2512</v>
      </c>
      <c r="C310" s="22">
        <v>310</v>
      </c>
      <c r="D310" s="119">
        <v>3</v>
      </c>
      <c r="E310" s="119" t="s">
        <v>127</v>
      </c>
      <c r="F310" s="121" t="str">
        <f>HYPERLINK("https://news.okezone.com/read/2019/03/26/340/2035198/kakek-bejat-di-kalteng-paksa-bocah-laki-laki-lakukan-seks-oral ","sumber")</f>
        <v>sumber</v>
      </c>
      <c r="G310" s="121" t="str">
        <f t="shared" si="0"/>
        <v>lokasi</v>
      </c>
      <c r="H310" s="118">
        <v>285</v>
      </c>
      <c r="I310" s="22">
        <v>1</v>
      </c>
      <c r="J310" s="119">
        <v>1</v>
      </c>
      <c r="K310" s="123" t="s">
        <v>2513</v>
      </c>
      <c r="L310" s="22">
        <v>0</v>
      </c>
      <c r="M310" s="22">
        <v>-1</v>
      </c>
      <c r="N310" s="125">
        <v>0</v>
      </c>
      <c r="O310" s="22">
        <v>-1</v>
      </c>
      <c r="P310" s="22">
        <v>-1</v>
      </c>
      <c r="Q310" s="22">
        <v>0</v>
      </c>
      <c r="R310" s="22">
        <v>0</v>
      </c>
      <c r="S310" s="134"/>
      <c r="T310" s="22">
        <v>0</v>
      </c>
      <c r="U310" s="22">
        <v>0</v>
      </c>
      <c r="V310" s="22">
        <v>0</v>
      </c>
      <c r="W310" s="23"/>
      <c r="X310" s="23"/>
      <c r="Y310" s="23"/>
    </row>
    <row r="311" spans="1:25" ht="14.4">
      <c r="A311" s="117">
        <v>1</v>
      </c>
      <c r="B311" s="118" t="s">
        <v>2514</v>
      </c>
      <c r="C311" s="22">
        <v>311</v>
      </c>
      <c r="D311" s="119">
        <v>8</v>
      </c>
      <c r="E311" s="119" t="s">
        <v>497</v>
      </c>
      <c r="F311" s="121" t="str">
        <f>HYPERLINK("https://www.suara.com/news/2019/03/27/094730/aktivis-internasional-kecam-rencana-brunei-terapkan-hukum-rajam-bagi-lgbt ","sumber")</f>
        <v>sumber</v>
      </c>
      <c r="G311" s="121" t="str">
        <f t="shared" si="0"/>
        <v>lokasi</v>
      </c>
      <c r="H311" s="118">
        <v>392</v>
      </c>
      <c r="I311" s="22">
        <v>1</v>
      </c>
      <c r="J311" s="119">
        <v>1</v>
      </c>
      <c r="K311" s="123" t="s">
        <v>2515</v>
      </c>
      <c r="L311" s="22">
        <v>0</v>
      </c>
      <c r="M311" s="22">
        <v>1</v>
      </c>
      <c r="N311" s="125">
        <v>0</v>
      </c>
      <c r="O311" s="22">
        <v>0</v>
      </c>
      <c r="P311" s="22">
        <v>0</v>
      </c>
      <c r="Q311" s="22" t="s">
        <v>29</v>
      </c>
      <c r="R311" s="22" t="s">
        <v>160</v>
      </c>
      <c r="S311" s="134"/>
      <c r="T311" s="22">
        <v>0</v>
      </c>
      <c r="U311" s="22">
        <v>0</v>
      </c>
      <c r="V311" s="22">
        <v>1</v>
      </c>
      <c r="W311" s="23"/>
      <c r="X311" s="23"/>
      <c r="Y311" s="23"/>
    </row>
    <row r="312" spans="1:25" ht="14.4">
      <c r="A312" s="117">
        <v>1</v>
      </c>
      <c r="B312" s="118" t="s">
        <v>2516</v>
      </c>
      <c r="C312" s="22">
        <v>312</v>
      </c>
      <c r="D312" s="119">
        <v>1</v>
      </c>
      <c r="E312" s="119" t="s">
        <v>502</v>
      </c>
      <c r="F312" s="121" t="str">
        <f>HYPERLINK("https://news.detik.com/berita/d-4487628/saksi-dan-hasil-visum-jadi-petunjuk-polisi-tangkap-2-pembunuh-calon-pendeta ","sumber")</f>
        <v>sumber</v>
      </c>
      <c r="G312" s="121" t="str">
        <f t="shared" si="0"/>
        <v>lokasi</v>
      </c>
      <c r="H312" s="118">
        <v>287</v>
      </c>
      <c r="I312" s="22">
        <v>1</v>
      </c>
      <c r="J312" s="119">
        <v>1</v>
      </c>
      <c r="K312" s="123" t="s">
        <v>2517</v>
      </c>
      <c r="L312" s="22">
        <v>0</v>
      </c>
      <c r="M312" s="22">
        <v>-1</v>
      </c>
      <c r="N312" s="22">
        <v>-1</v>
      </c>
      <c r="O312" s="22">
        <v>0</v>
      </c>
      <c r="P312" s="22">
        <v>0</v>
      </c>
      <c r="Q312" s="22">
        <v>0</v>
      </c>
      <c r="R312" s="22">
        <v>0</v>
      </c>
      <c r="S312" s="134"/>
      <c r="T312" s="22">
        <v>0</v>
      </c>
      <c r="U312" s="22">
        <v>0</v>
      </c>
      <c r="V312" s="22">
        <v>0</v>
      </c>
      <c r="W312" s="23"/>
      <c r="X312" s="23"/>
      <c r="Y312" s="23"/>
    </row>
    <row r="313" spans="1:25" ht="14.4">
      <c r="A313" s="117">
        <v>1</v>
      </c>
      <c r="B313" s="118" t="s">
        <v>2518</v>
      </c>
      <c r="C313" s="22">
        <v>313</v>
      </c>
      <c r="D313" s="119">
        <v>4</v>
      </c>
      <c r="E313" s="119" t="s">
        <v>502</v>
      </c>
      <c r="F313" s="121" t="str">
        <f>HYPERLINK("https://hot.liputan6.com/read/3927902/calon-pendeta-di-oki-sumatera-selatan-dibunuh-ini-3-faktanya ","sumber")</f>
        <v>sumber</v>
      </c>
      <c r="G313" s="121" t="str">
        <f t="shared" si="0"/>
        <v>lokasi</v>
      </c>
      <c r="H313" s="118">
        <v>463</v>
      </c>
      <c r="I313" s="22">
        <v>1</v>
      </c>
      <c r="J313" s="119">
        <v>1</v>
      </c>
      <c r="K313" s="123" t="s">
        <v>2519</v>
      </c>
      <c r="L313" s="22">
        <v>0</v>
      </c>
      <c r="M313" s="22">
        <v>-1</v>
      </c>
      <c r="N313" s="22">
        <v>-1</v>
      </c>
      <c r="O313" s="22">
        <v>-1</v>
      </c>
      <c r="P313" s="22">
        <v>-1</v>
      </c>
      <c r="Q313" s="22" t="s">
        <v>21</v>
      </c>
      <c r="R313" s="22" t="s">
        <v>21</v>
      </c>
      <c r="S313" s="134"/>
      <c r="T313" s="22">
        <v>0</v>
      </c>
      <c r="U313" s="22">
        <v>0</v>
      </c>
      <c r="V313" s="22">
        <v>0</v>
      </c>
      <c r="W313" s="23"/>
      <c r="X313" s="23"/>
      <c r="Y313" s="23"/>
    </row>
    <row r="314" spans="1:25" ht="14.4">
      <c r="A314" s="117">
        <v>1</v>
      </c>
      <c r="B314" s="118" t="s">
        <v>131</v>
      </c>
      <c r="C314" s="22">
        <v>314</v>
      </c>
      <c r="D314" s="119">
        <v>6</v>
      </c>
      <c r="E314" s="119" t="s">
        <v>132</v>
      </c>
      <c r="F314" s="121" t="str">
        <f>HYPERLINK("https://olahraga.kompas.com/read/2019/03/30/00202808/lakukan-pelecehan-pulev-terkena-sanksi ","sumber")</f>
        <v>sumber</v>
      </c>
      <c r="G314" s="121" t="str">
        <f t="shared" si="0"/>
        <v>lokasi</v>
      </c>
      <c r="H314" s="118">
        <v>368</v>
      </c>
      <c r="I314" s="22">
        <v>1</v>
      </c>
      <c r="J314" s="119">
        <v>1</v>
      </c>
      <c r="K314" s="123" t="s">
        <v>2520</v>
      </c>
      <c r="L314" s="22">
        <v>0</v>
      </c>
      <c r="M314" s="22">
        <v>1</v>
      </c>
      <c r="N314" s="125">
        <v>0</v>
      </c>
      <c r="O314" s="22">
        <v>0</v>
      </c>
      <c r="P314" s="22">
        <v>0</v>
      </c>
      <c r="Q314" s="22" t="s">
        <v>178</v>
      </c>
      <c r="R314" s="22" t="s">
        <v>141</v>
      </c>
      <c r="S314" s="134"/>
      <c r="T314" s="22">
        <v>0</v>
      </c>
      <c r="U314" s="22">
        <v>0</v>
      </c>
      <c r="V314" s="22">
        <v>0</v>
      </c>
      <c r="W314" s="23"/>
      <c r="X314" s="23"/>
      <c r="Y314" s="23"/>
    </row>
    <row r="315" spans="1:25" ht="14.4">
      <c r="A315" s="117">
        <v>1</v>
      </c>
      <c r="B315" s="118" t="s">
        <v>142</v>
      </c>
      <c r="C315" s="22">
        <v>315</v>
      </c>
      <c r="D315" s="119">
        <v>8</v>
      </c>
      <c r="E315" s="119" t="s">
        <v>139</v>
      </c>
      <c r="F315" s="121" t="str">
        <f>HYPERLINK("https://www.suara.com/entertainment/2019/03/31/205112/vanessa-angel-diborgol-pengacara-apa-perlu-sampai-segitunya ","sumber")</f>
        <v>sumber</v>
      </c>
      <c r="G315" s="121" t="str">
        <f t="shared" si="0"/>
        <v>lokasi</v>
      </c>
      <c r="H315" s="118">
        <v>191</v>
      </c>
      <c r="I315" s="22">
        <v>1</v>
      </c>
      <c r="J315" s="119">
        <v>1</v>
      </c>
      <c r="K315" s="123" t="s">
        <v>2521</v>
      </c>
      <c r="L315" s="22">
        <v>0</v>
      </c>
      <c r="M315" s="22">
        <v>-1</v>
      </c>
      <c r="N315" s="22">
        <v>-1</v>
      </c>
      <c r="O315" s="22">
        <v>0</v>
      </c>
      <c r="P315" s="22">
        <v>0</v>
      </c>
      <c r="Q315" s="22">
        <v>0</v>
      </c>
      <c r="R315" s="22">
        <v>1</v>
      </c>
      <c r="S315" s="134"/>
      <c r="T315" s="22">
        <v>0</v>
      </c>
      <c r="U315" s="22">
        <v>0</v>
      </c>
      <c r="V315" s="22">
        <v>0</v>
      </c>
      <c r="W315" s="23"/>
      <c r="X315" s="23"/>
      <c r="Y315" s="23"/>
    </row>
    <row r="316" spans="1:25" ht="14.4">
      <c r="A316" s="117">
        <v>1</v>
      </c>
      <c r="B316" s="118" t="s">
        <v>2522</v>
      </c>
      <c r="C316" s="22">
        <v>316</v>
      </c>
      <c r="D316" s="119">
        <v>6</v>
      </c>
      <c r="E316" s="120">
        <v>43469</v>
      </c>
      <c r="F316" s="121" t="str">
        <f>HYPERLINK("https://regional.kompas.com/read/2019/04/01/21032241/dipanggil-sebagai-saksi-di-persidangan-pria-pemesan-artis-va-tidak-hadir ","sumber")</f>
        <v>sumber</v>
      </c>
      <c r="G316" s="121" t="str">
        <f t="shared" si="0"/>
        <v>lokasi</v>
      </c>
      <c r="H316" s="118">
        <v>261</v>
      </c>
      <c r="I316" s="22">
        <v>1</v>
      </c>
      <c r="J316" s="119">
        <v>1</v>
      </c>
      <c r="K316" s="123" t="s">
        <v>2523</v>
      </c>
      <c r="L316" s="22">
        <v>0</v>
      </c>
      <c r="M316" s="22">
        <v>-1</v>
      </c>
      <c r="N316" s="125">
        <v>0</v>
      </c>
      <c r="O316" s="22">
        <v>0</v>
      </c>
      <c r="P316" s="22">
        <v>-1</v>
      </c>
      <c r="Q316" s="22">
        <v>0</v>
      </c>
      <c r="R316" s="22">
        <v>0</v>
      </c>
      <c r="S316" s="134"/>
      <c r="T316" s="22">
        <v>0</v>
      </c>
      <c r="U316" s="22">
        <v>0</v>
      </c>
      <c r="V316" s="22">
        <v>0</v>
      </c>
      <c r="W316" s="23"/>
      <c r="X316" s="23"/>
      <c r="Y316" s="23"/>
    </row>
    <row r="317" spans="1:25" ht="14.4">
      <c r="A317" s="111">
        <v>2</v>
      </c>
      <c r="B317" s="112" t="s">
        <v>2524</v>
      </c>
      <c r="C317" s="25">
        <v>317</v>
      </c>
      <c r="D317" s="113">
        <v>4</v>
      </c>
      <c r="E317" s="114">
        <v>43589</v>
      </c>
      <c r="F317" s="115" t="str">
        <f>HYPERLINK("https://www.liputan6.com/bola/read/3934385/moise-kean-jadi-korban-hinaan-rasialisme-pelatih-timnas-italia-berikan-dukungan ","sumber")</f>
        <v>sumber</v>
      </c>
      <c r="G317" s="115" t="str">
        <f t="shared" si="0"/>
        <v>lokasi</v>
      </c>
      <c r="H317" s="112">
        <v>182</v>
      </c>
      <c r="I317" s="26"/>
      <c r="J317" s="113">
        <v>1</v>
      </c>
      <c r="K317" s="124"/>
      <c r="L317" s="26"/>
      <c r="M317" s="26"/>
      <c r="N317" s="26"/>
      <c r="O317" s="26"/>
      <c r="P317" s="26"/>
      <c r="Q317" s="26"/>
      <c r="R317" s="26"/>
      <c r="S317" s="124"/>
      <c r="T317" s="26"/>
      <c r="U317" s="26"/>
      <c r="V317" s="26"/>
      <c r="W317" s="26"/>
      <c r="X317" s="26"/>
      <c r="Y317" s="26"/>
    </row>
    <row r="318" spans="1:25" ht="14.4">
      <c r="A318" s="117">
        <v>1</v>
      </c>
      <c r="B318" s="118" t="s">
        <v>2525</v>
      </c>
      <c r="C318" s="22">
        <v>318</v>
      </c>
      <c r="D318" s="119">
        <v>4</v>
      </c>
      <c r="E318" s="120">
        <v>43650</v>
      </c>
      <c r="F318" s="121" t="str">
        <f>HYPERLINK("https://www.liputan6.com/showbiz/read/3935429/seungri-diprediksi-bakal-dihukum-2-3-tahun-penjara ","sumber")</f>
        <v>sumber</v>
      </c>
      <c r="G318" s="121" t="str">
        <f t="shared" si="0"/>
        <v>lokasi</v>
      </c>
      <c r="H318" s="118">
        <v>323</v>
      </c>
      <c r="I318" s="22">
        <v>1</v>
      </c>
      <c r="J318" s="119">
        <v>1</v>
      </c>
      <c r="K318" s="123" t="s">
        <v>2526</v>
      </c>
      <c r="L318" s="22">
        <v>0</v>
      </c>
      <c r="M318" s="22">
        <v>-1</v>
      </c>
      <c r="N318" s="125">
        <v>0</v>
      </c>
      <c r="O318" s="22">
        <v>0</v>
      </c>
      <c r="P318" s="22">
        <v>0</v>
      </c>
      <c r="Q318" s="22">
        <v>0</v>
      </c>
      <c r="R318" s="22">
        <v>0</v>
      </c>
      <c r="S318" s="134"/>
      <c r="T318" s="22">
        <v>0</v>
      </c>
      <c r="U318" s="22">
        <v>0</v>
      </c>
      <c r="V318" s="22">
        <v>0</v>
      </c>
      <c r="W318" s="23"/>
      <c r="X318" s="23"/>
      <c r="Y318" s="23"/>
    </row>
    <row r="319" spans="1:25" ht="14.4">
      <c r="A319" s="117">
        <v>1</v>
      </c>
      <c r="B319" s="118" t="s">
        <v>2527</v>
      </c>
      <c r="C319" s="22">
        <v>319</v>
      </c>
      <c r="D319" s="119">
        <v>8</v>
      </c>
      <c r="E319" s="120">
        <v>43650</v>
      </c>
      <c r="F319" s="121" t="str">
        <f>HYPERLINK("https://www.suara.com/bola/2019/04/07/141520/persija-tetap-prioritaskan-marko-simic-tapi ","sumber")</f>
        <v>sumber</v>
      </c>
      <c r="G319" s="121" t="str">
        <f t="shared" si="0"/>
        <v>lokasi</v>
      </c>
      <c r="H319" s="118">
        <v>160</v>
      </c>
      <c r="I319" s="22">
        <v>1</v>
      </c>
      <c r="J319" s="119">
        <v>1</v>
      </c>
      <c r="K319" s="123" t="s">
        <v>2528</v>
      </c>
      <c r="L319" s="22">
        <v>0</v>
      </c>
      <c r="M319" s="22">
        <v>-1</v>
      </c>
      <c r="N319" s="125">
        <v>0</v>
      </c>
      <c r="O319" s="22">
        <v>0</v>
      </c>
      <c r="P319" s="22">
        <v>0</v>
      </c>
      <c r="Q319" s="22">
        <v>0</v>
      </c>
      <c r="R319" s="22">
        <v>0</v>
      </c>
      <c r="S319" s="134"/>
      <c r="T319" s="22">
        <v>0</v>
      </c>
      <c r="U319" s="22">
        <v>0</v>
      </c>
      <c r="V319" s="22">
        <v>0</v>
      </c>
      <c r="W319" s="23"/>
      <c r="X319" s="23"/>
      <c r="Y319" s="23"/>
    </row>
    <row r="320" spans="1:25" ht="14.4">
      <c r="A320" s="111">
        <v>2</v>
      </c>
      <c r="B320" s="112" t="s">
        <v>2529</v>
      </c>
      <c r="C320" s="25">
        <v>320</v>
      </c>
      <c r="D320" s="113">
        <v>9</v>
      </c>
      <c r="E320" s="114">
        <v>43681</v>
      </c>
      <c r="F320" s="115" t="str">
        <f>HYPERLINK("https://republika.co.id/berita/retizen/surat-pembaca/ppmtxk349/ingat-tragedi-rwanda-masih-hantui-dunia ","sumber")</f>
        <v>sumber</v>
      </c>
      <c r="G320" s="115" t="str">
        <f t="shared" si="0"/>
        <v>lokasi</v>
      </c>
      <c r="H320" s="112">
        <v>862</v>
      </c>
      <c r="I320" s="26"/>
      <c r="J320" s="113">
        <v>1</v>
      </c>
      <c r="K320" s="124"/>
      <c r="L320" s="26"/>
      <c r="M320" s="26"/>
      <c r="N320" s="26"/>
      <c r="O320" s="26"/>
      <c r="P320" s="26"/>
      <c r="Q320" s="26"/>
      <c r="R320" s="26"/>
      <c r="S320" s="124"/>
      <c r="T320" s="26"/>
      <c r="U320" s="26"/>
      <c r="V320" s="26"/>
      <c r="W320" s="26"/>
      <c r="X320" s="26"/>
      <c r="Y320" s="26"/>
    </row>
    <row r="321" spans="1:25" ht="14.4">
      <c r="A321" s="135">
        <v>1</v>
      </c>
      <c r="B321" s="155" t="s">
        <v>2530</v>
      </c>
      <c r="C321" s="137">
        <v>321</v>
      </c>
      <c r="D321" s="138">
        <v>7</v>
      </c>
      <c r="E321" s="154">
        <v>43500</v>
      </c>
      <c r="F321" s="139" t="str">
        <f>HYPERLINK("http://www.tribunnews.com/regional/2019/04/02/tagih-hutang-malah-istri-dikatai-pelacur-pria-ini-cemburu-dan-bacok-laki-laki-selingkuhan-istrinya ","sumber")</f>
        <v>sumber</v>
      </c>
      <c r="G321" s="139" t="str">
        <f t="shared" si="0"/>
        <v>lokasi</v>
      </c>
      <c r="H321" s="136">
        <v>164</v>
      </c>
      <c r="I321" s="137">
        <v>1</v>
      </c>
      <c r="J321" s="138">
        <v>1</v>
      </c>
      <c r="K321" s="140" t="s">
        <v>2531</v>
      </c>
      <c r="L321" s="137">
        <v>0</v>
      </c>
      <c r="M321" s="137">
        <v>1</v>
      </c>
      <c r="N321" s="141">
        <v>0</v>
      </c>
      <c r="O321" s="137">
        <v>0</v>
      </c>
      <c r="P321" s="137">
        <v>-1</v>
      </c>
      <c r="Q321" s="137" t="s">
        <v>29</v>
      </c>
      <c r="R321" s="137" t="s">
        <v>29</v>
      </c>
      <c r="S321" s="142"/>
      <c r="T321" s="137">
        <v>0</v>
      </c>
      <c r="U321" s="137">
        <v>0</v>
      </c>
      <c r="V321" s="137">
        <v>0</v>
      </c>
      <c r="W321" s="143"/>
      <c r="X321" s="143"/>
      <c r="Y321" s="143"/>
    </row>
    <row r="322" spans="1:25" ht="14.4">
      <c r="A322" s="117">
        <v>1</v>
      </c>
      <c r="B322" s="118" t="s">
        <v>2532</v>
      </c>
      <c r="C322" s="22">
        <v>322</v>
      </c>
      <c r="D322" s="119">
        <v>9</v>
      </c>
      <c r="E322" s="120">
        <v>43742</v>
      </c>
      <c r="F322" s="121" t="str">
        <f>HYPERLINK("https://nasional.republika.co.id/berita/nasional/daerah/ppr0qp335/presiden-minta-polisi-tegas-tangani-kasus-ay ","sumber")</f>
        <v>sumber</v>
      </c>
      <c r="G322" s="121" t="str">
        <f t="shared" si="0"/>
        <v>lokasi</v>
      </c>
      <c r="H322" s="118">
        <v>261</v>
      </c>
      <c r="I322" s="22">
        <v>1</v>
      </c>
      <c r="J322" s="119">
        <v>1</v>
      </c>
      <c r="K322" s="123" t="s">
        <v>2338</v>
      </c>
      <c r="L322" s="22">
        <v>0</v>
      </c>
      <c r="M322" s="22">
        <v>-1</v>
      </c>
      <c r="N322" s="125">
        <v>0</v>
      </c>
      <c r="O322" s="22">
        <v>1</v>
      </c>
      <c r="P322" s="22">
        <v>0</v>
      </c>
      <c r="Q322" s="22">
        <v>0</v>
      </c>
      <c r="R322" s="22">
        <v>1</v>
      </c>
      <c r="S322" s="134"/>
      <c r="T322" s="22">
        <v>0</v>
      </c>
      <c r="U322" s="22">
        <v>0</v>
      </c>
      <c r="V322" s="22">
        <v>0</v>
      </c>
      <c r="W322" s="23"/>
      <c r="X322" s="23"/>
      <c r="Y322" s="23"/>
    </row>
    <row r="323" spans="1:25" ht="14.4">
      <c r="A323" s="117">
        <v>1</v>
      </c>
      <c r="B323" s="118" t="s">
        <v>2533</v>
      </c>
      <c r="C323" s="22">
        <v>323</v>
      </c>
      <c r="D323" s="119">
        <v>3</v>
      </c>
      <c r="E323" s="119" t="s">
        <v>516</v>
      </c>
      <c r="F323" s="121" t="str">
        <f>HYPERLINK("https://celebrity.okezone.com/read/2019/04/13/33/2043238/blakblakan-jessica-iskandar-sempat-alami-pelecehan ","sumber")</f>
        <v>sumber</v>
      </c>
      <c r="G323" s="121" t="str">
        <f t="shared" si="0"/>
        <v>lokasi</v>
      </c>
      <c r="H323" s="118">
        <v>407</v>
      </c>
      <c r="I323" s="22">
        <v>1</v>
      </c>
      <c r="J323" s="119">
        <v>1</v>
      </c>
      <c r="K323" s="123" t="s">
        <v>2534</v>
      </c>
      <c r="L323" s="22">
        <v>0</v>
      </c>
      <c r="M323" s="22">
        <v>-1</v>
      </c>
      <c r="N323" s="125">
        <v>0</v>
      </c>
      <c r="O323" s="22">
        <v>0</v>
      </c>
      <c r="P323" s="22">
        <v>0</v>
      </c>
      <c r="Q323" s="22">
        <v>2</v>
      </c>
      <c r="R323" s="22">
        <v>0</v>
      </c>
      <c r="S323" s="134"/>
      <c r="T323" s="22">
        <v>0</v>
      </c>
      <c r="U323" s="22">
        <v>0</v>
      </c>
      <c r="V323" s="22">
        <v>0</v>
      </c>
      <c r="W323" s="23"/>
      <c r="X323" s="23"/>
      <c r="Y323" s="23"/>
    </row>
    <row r="324" spans="1:25" ht="14.4">
      <c r="A324" s="117">
        <v>1</v>
      </c>
      <c r="B324" s="118" t="s">
        <v>2535</v>
      </c>
      <c r="C324" s="22">
        <v>324</v>
      </c>
      <c r="D324" s="119">
        <v>8</v>
      </c>
      <c r="E324" s="119" t="s">
        <v>2347</v>
      </c>
      <c r="F324" s="121" t="str">
        <f>HYPERLINK("https://www.suara.com/news/2019/04/15/200515/ada-penusukan-dan-pelecehan-seksual-transjakarta-timbang-tambah-cctv ","sumber")</f>
        <v>sumber</v>
      </c>
      <c r="G324" s="121" t="str">
        <f t="shared" si="0"/>
        <v>lokasi</v>
      </c>
      <c r="H324" s="118">
        <v>260</v>
      </c>
      <c r="I324" s="22">
        <v>4</v>
      </c>
      <c r="J324" s="119">
        <v>1</v>
      </c>
      <c r="K324" s="123" t="s">
        <v>2536</v>
      </c>
      <c r="L324" s="22">
        <v>0</v>
      </c>
      <c r="M324" s="22">
        <v>0</v>
      </c>
      <c r="N324" s="125">
        <v>0</v>
      </c>
      <c r="O324" s="22">
        <v>0</v>
      </c>
      <c r="P324" s="22">
        <v>0</v>
      </c>
      <c r="Q324" s="22">
        <v>0</v>
      </c>
      <c r="R324" s="22">
        <v>0</v>
      </c>
      <c r="S324" s="134"/>
      <c r="T324" s="22">
        <v>0</v>
      </c>
      <c r="U324" s="22">
        <v>0</v>
      </c>
      <c r="V324" s="22">
        <v>1</v>
      </c>
      <c r="W324" s="23"/>
      <c r="X324" s="23"/>
      <c r="Y324" s="23"/>
    </row>
    <row r="325" spans="1:25" ht="14.4">
      <c r="A325" s="111">
        <v>2</v>
      </c>
      <c r="B325" s="112" t="s">
        <v>2537</v>
      </c>
      <c r="C325" s="25">
        <v>325</v>
      </c>
      <c r="D325" s="113">
        <v>4</v>
      </c>
      <c r="E325" s="113" t="s">
        <v>2538</v>
      </c>
      <c r="F325" s="115" t="str">
        <f>HYPERLINK("https://www.liputan6.com/lifestyle/read/3939866/aman-naik-ojek-online-para-wanita-wajib-perhatikan-4-hal-ini ","sumber")</f>
        <v>sumber</v>
      </c>
      <c r="G325" s="115" t="str">
        <f t="shared" si="0"/>
        <v>lokasi</v>
      </c>
      <c r="H325" s="112">
        <v>540</v>
      </c>
      <c r="I325" s="26"/>
      <c r="J325" s="113">
        <v>1</v>
      </c>
      <c r="K325" s="124"/>
      <c r="L325" s="26"/>
      <c r="M325" s="26"/>
      <c r="N325" s="26"/>
      <c r="O325" s="26"/>
      <c r="P325" s="26"/>
      <c r="Q325" s="26"/>
      <c r="R325" s="26"/>
      <c r="S325" s="124"/>
      <c r="T325" s="26"/>
      <c r="U325" s="26"/>
      <c r="V325" s="26"/>
      <c r="W325" s="26"/>
      <c r="X325" s="26"/>
      <c r="Y325" s="26"/>
    </row>
    <row r="326" spans="1:25" ht="14.4">
      <c r="A326" s="111">
        <v>2</v>
      </c>
      <c r="B326" s="112" t="s">
        <v>2539</v>
      </c>
      <c r="C326" s="25">
        <v>326</v>
      </c>
      <c r="D326" s="113">
        <v>6</v>
      </c>
      <c r="E326" s="113" t="s">
        <v>162</v>
      </c>
      <c r="F326" s="115" t="str">
        <f>HYPERLINK("https://entertainment.kompas.com/read/2019/04/23/233038210/park-yoochun-terbukti-positif-narkoba ","sumber")</f>
        <v>sumber</v>
      </c>
      <c r="G326" s="115" t="str">
        <f t="shared" si="0"/>
        <v>lokasi</v>
      </c>
      <c r="H326" s="112">
        <v>183</v>
      </c>
      <c r="I326" s="26"/>
      <c r="J326" s="113">
        <v>1</v>
      </c>
      <c r="K326" s="124"/>
      <c r="L326" s="26"/>
      <c r="M326" s="26"/>
      <c r="N326" s="26"/>
      <c r="O326" s="26"/>
      <c r="P326" s="26"/>
      <c r="Q326" s="26"/>
      <c r="R326" s="26"/>
      <c r="S326" s="124"/>
      <c r="T326" s="26"/>
      <c r="U326" s="26"/>
      <c r="V326" s="26"/>
      <c r="W326" s="26"/>
      <c r="X326" s="26"/>
      <c r="Y326" s="25"/>
    </row>
    <row r="327" spans="1:25" ht="14.4">
      <c r="A327" s="148">
        <v>1</v>
      </c>
      <c r="B327" s="149" t="s">
        <v>2540</v>
      </c>
      <c r="C327" s="33">
        <v>327</v>
      </c>
      <c r="D327" s="128">
        <v>10</v>
      </c>
      <c r="E327" s="128" t="s">
        <v>165</v>
      </c>
      <c r="F327" s="130" t="str">
        <f>HYPERLINK("https://bisnis.tempo.co/read/1198824/5-langkah-grab-wujudkan-transportasi-online-aman-bagi-perempuan ","sumber")</f>
        <v>sumber</v>
      </c>
      <c r="G327" s="130" t="str">
        <f t="shared" si="0"/>
        <v>lokasi</v>
      </c>
      <c r="H327" s="127">
        <v>317</v>
      </c>
      <c r="I327" s="33">
        <v>4</v>
      </c>
      <c r="J327" s="128">
        <v>1</v>
      </c>
      <c r="K327" s="131" t="s">
        <v>2541</v>
      </c>
      <c r="L327" s="33">
        <v>0</v>
      </c>
      <c r="M327" s="33">
        <v>0</v>
      </c>
      <c r="N327" s="132">
        <v>0</v>
      </c>
      <c r="O327" s="33">
        <v>0</v>
      </c>
      <c r="P327" s="33">
        <v>0</v>
      </c>
      <c r="Q327" s="33">
        <v>0</v>
      </c>
      <c r="R327" s="33">
        <v>1</v>
      </c>
      <c r="S327" s="133"/>
      <c r="T327" s="33">
        <v>0</v>
      </c>
      <c r="U327" s="33">
        <v>0</v>
      </c>
      <c r="V327" s="33">
        <v>1</v>
      </c>
      <c r="W327" s="24"/>
      <c r="X327" s="24"/>
      <c r="Y327" s="33"/>
    </row>
    <row r="328" spans="1:25" ht="14.4">
      <c r="A328" s="117">
        <v>1</v>
      </c>
      <c r="B328" s="118" t="s">
        <v>167</v>
      </c>
      <c r="C328" s="22">
        <v>328</v>
      </c>
      <c r="D328" s="119">
        <v>7</v>
      </c>
      <c r="E328" s="119" t="s">
        <v>165</v>
      </c>
      <c r="F328" s="121" t="str">
        <f>HYPERLINK("http://www.tribunnews.com/australia-plus/2019/04/24/surati-parlemen-eropa-brunei-bela-hukuman-mati-terhadap-pasangan-gay ","sumber")</f>
        <v>sumber</v>
      </c>
      <c r="G328" s="121" t="str">
        <f t="shared" si="0"/>
        <v>lokasi</v>
      </c>
      <c r="H328" s="118">
        <v>218</v>
      </c>
      <c r="I328" s="22">
        <v>1</v>
      </c>
      <c r="J328" s="119">
        <v>1</v>
      </c>
      <c r="K328" s="123" t="s">
        <v>2542</v>
      </c>
      <c r="L328" s="22">
        <v>0</v>
      </c>
      <c r="M328" s="22">
        <v>1</v>
      </c>
      <c r="N328" s="125">
        <v>0</v>
      </c>
      <c r="O328" s="22">
        <v>0</v>
      </c>
      <c r="P328" s="22">
        <v>0</v>
      </c>
      <c r="Q328" s="22" t="s">
        <v>21</v>
      </c>
      <c r="R328" s="22" t="s">
        <v>739</v>
      </c>
      <c r="S328" s="134"/>
      <c r="T328" s="22">
        <v>0</v>
      </c>
      <c r="U328" s="22">
        <v>0</v>
      </c>
      <c r="V328" s="22">
        <v>1</v>
      </c>
      <c r="W328" s="23"/>
      <c r="X328" s="23"/>
      <c r="Y328" s="23"/>
    </row>
    <row r="329" spans="1:25" ht="14.4">
      <c r="A329" s="117">
        <v>1</v>
      </c>
      <c r="B329" s="118" t="s">
        <v>2543</v>
      </c>
      <c r="C329" s="22">
        <v>329</v>
      </c>
      <c r="D329" s="119">
        <v>2</v>
      </c>
      <c r="E329" s="119" t="s">
        <v>521</v>
      </c>
      <c r="F329" s="121" t="str">
        <f>HYPERLINK("https://www.cnnindonesia.com/teknologi/20190424181532-185-389338/komnas-perempuan-imbau-pengguna-paham-aturan-keselamatan-ojol ","sumber")</f>
        <v>sumber</v>
      </c>
      <c r="G329" s="121" t="str">
        <f t="shared" si="0"/>
        <v>lokasi</v>
      </c>
      <c r="H329" s="118">
        <v>292</v>
      </c>
      <c r="I329" s="22">
        <v>2</v>
      </c>
      <c r="J329" s="119">
        <v>1</v>
      </c>
      <c r="K329" s="123" t="s">
        <v>2544</v>
      </c>
      <c r="L329" s="22">
        <v>0</v>
      </c>
      <c r="M329" s="22">
        <v>0</v>
      </c>
      <c r="N329" s="125">
        <v>0</v>
      </c>
      <c r="O329" s="22">
        <v>0</v>
      </c>
      <c r="P329" s="22">
        <v>0</v>
      </c>
      <c r="Q329" s="22" t="s">
        <v>29</v>
      </c>
      <c r="R329" s="22" t="s">
        <v>68</v>
      </c>
      <c r="S329" s="134"/>
      <c r="T329" s="22">
        <v>0</v>
      </c>
      <c r="U329" s="22">
        <v>0</v>
      </c>
      <c r="V329" s="22">
        <v>0</v>
      </c>
      <c r="W329" s="23"/>
      <c r="X329" s="23"/>
      <c r="Y329" s="23"/>
    </row>
    <row r="330" spans="1:25" ht="14.4">
      <c r="A330" s="117">
        <v>1</v>
      </c>
      <c r="B330" s="118" t="s">
        <v>2545</v>
      </c>
      <c r="C330" s="22">
        <v>330</v>
      </c>
      <c r="D330" s="119">
        <v>6</v>
      </c>
      <c r="E330" s="119" t="s">
        <v>521</v>
      </c>
      <c r="F330" s="121" t="str">
        <f>HYPERLINK("https://megapolitan.kompas.com/read/2019/04/25/07094731/viral-penumpang-wanita-alami-pelecehan-seksual-saat-naik-kereta-jakarta ","sumber")</f>
        <v>sumber</v>
      </c>
      <c r="G330" s="121" t="str">
        <f t="shared" si="0"/>
        <v>lokasi</v>
      </c>
      <c r="H330" s="118">
        <v>24</v>
      </c>
      <c r="I330" s="22">
        <v>1</v>
      </c>
      <c r="J330" s="119">
        <v>1</v>
      </c>
      <c r="K330" s="123" t="s">
        <v>2546</v>
      </c>
      <c r="L330" s="22">
        <v>0</v>
      </c>
      <c r="M330" s="22">
        <v>1</v>
      </c>
      <c r="N330" s="125">
        <v>0</v>
      </c>
      <c r="O330" s="22">
        <v>0</v>
      </c>
      <c r="P330" s="22">
        <v>-1</v>
      </c>
      <c r="Q330" s="22" t="s">
        <v>178</v>
      </c>
      <c r="R330" s="22" t="s">
        <v>68</v>
      </c>
      <c r="S330" s="134"/>
      <c r="T330" s="22">
        <v>0</v>
      </c>
      <c r="U330" s="22">
        <v>0</v>
      </c>
      <c r="V330" s="22">
        <v>0</v>
      </c>
      <c r="W330" s="23"/>
      <c r="X330" s="23"/>
      <c r="Y330" s="23"/>
    </row>
    <row r="331" spans="1:25" ht="14.4">
      <c r="A331" s="117">
        <v>1</v>
      </c>
      <c r="B331" s="118" t="s">
        <v>2547</v>
      </c>
      <c r="C331" s="22">
        <v>331</v>
      </c>
      <c r="D331" s="119">
        <v>7</v>
      </c>
      <c r="E331" s="119" t="s">
        <v>521</v>
      </c>
      <c r="F331" s="121" t="str">
        <f>HYPERLINK("http://www.tribunnews.com/nasional/2019/04/25/panjangnya-proses-pemilu-2019-disebut-menghambat-kajian-ruu-pks ","sumber")</f>
        <v>sumber</v>
      </c>
      <c r="G331" s="121" t="str">
        <f t="shared" si="0"/>
        <v>lokasi</v>
      </c>
      <c r="H331" s="118">
        <v>230</v>
      </c>
      <c r="I331" s="22">
        <v>4</v>
      </c>
      <c r="J331" s="119">
        <v>1</v>
      </c>
      <c r="K331" s="123" t="s">
        <v>2548</v>
      </c>
      <c r="L331" s="22">
        <v>0</v>
      </c>
      <c r="M331" s="22">
        <v>0</v>
      </c>
      <c r="N331" s="125">
        <v>0</v>
      </c>
      <c r="O331" s="22">
        <v>0</v>
      </c>
      <c r="P331" s="22">
        <v>0</v>
      </c>
      <c r="Q331" s="22">
        <v>0</v>
      </c>
      <c r="R331" s="22">
        <v>0</v>
      </c>
      <c r="S331" s="123"/>
      <c r="T331" s="22">
        <v>0</v>
      </c>
      <c r="U331" s="22">
        <v>0</v>
      </c>
      <c r="V331" s="22">
        <v>1</v>
      </c>
      <c r="W331" s="23"/>
      <c r="X331" s="23"/>
      <c r="Y331" s="23"/>
    </row>
    <row r="332" spans="1:25" ht="14.4">
      <c r="A332" s="117">
        <v>1</v>
      </c>
      <c r="B332" s="118" t="s">
        <v>2549</v>
      </c>
      <c r="C332" s="22">
        <v>332</v>
      </c>
      <c r="D332" s="119">
        <v>10</v>
      </c>
      <c r="E332" s="120">
        <v>43470</v>
      </c>
      <c r="F332" s="121" t="str">
        <f>HYPERLINK("https://dunia.tempo.co/read/1201043/aplikasi-cari-jodoh-tantan-dibekukan-di-cina ","sumber")</f>
        <v>sumber</v>
      </c>
      <c r="G332" s="121" t="str">
        <f t="shared" si="0"/>
        <v>lokasi</v>
      </c>
      <c r="H332" s="118">
        <v>328</v>
      </c>
      <c r="I332" s="22">
        <v>4</v>
      </c>
      <c r="J332" s="119">
        <v>1</v>
      </c>
      <c r="K332" s="123" t="s">
        <v>2550</v>
      </c>
      <c r="L332" s="22">
        <v>0</v>
      </c>
      <c r="M332" s="22">
        <v>0</v>
      </c>
      <c r="N332" s="125">
        <v>0</v>
      </c>
      <c r="O332" s="22">
        <v>0</v>
      </c>
      <c r="P332" s="22">
        <v>0</v>
      </c>
      <c r="Q332" s="22">
        <v>0</v>
      </c>
      <c r="R332" s="22">
        <v>0</v>
      </c>
      <c r="S332" s="134"/>
      <c r="T332" s="22">
        <v>0</v>
      </c>
      <c r="U332" s="22">
        <v>0</v>
      </c>
      <c r="V332" s="22">
        <v>0</v>
      </c>
      <c r="W332" s="23"/>
      <c r="X332" s="23"/>
      <c r="Y332" s="23"/>
    </row>
    <row r="333" spans="1:25" ht="14.4">
      <c r="A333" s="117">
        <v>1</v>
      </c>
      <c r="B333" s="118" t="s">
        <v>2551</v>
      </c>
      <c r="C333" s="22">
        <v>333</v>
      </c>
      <c r="D333" s="119">
        <v>8</v>
      </c>
      <c r="E333" s="120">
        <v>43529</v>
      </c>
      <c r="F333" s="121" t="str">
        <f>HYPERLINK("https://banten.suara.com/read/2019/05/03/181348/lewat-air-doa-bunga-ungkap-dosa-sang-guru-ngaji-cabul ","sumber")</f>
        <v>sumber</v>
      </c>
      <c r="G333" s="121" t="str">
        <f t="shared" si="0"/>
        <v>lokasi</v>
      </c>
      <c r="H333" s="118">
        <v>257</v>
      </c>
      <c r="I333" s="22">
        <v>1</v>
      </c>
      <c r="J333" s="119">
        <v>1</v>
      </c>
      <c r="K333" s="123" t="s">
        <v>2552</v>
      </c>
      <c r="L333" s="22">
        <v>0</v>
      </c>
      <c r="M333" s="22">
        <v>-1</v>
      </c>
      <c r="N333" s="125">
        <v>0</v>
      </c>
      <c r="O333" s="22">
        <v>-1</v>
      </c>
      <c r="P333" s="22">
        <v>-1</v>
      </c>
      <c r="Q333" s="22">
        <v>0</v>
      </c>
      <c r="R333" s="22">
        <v>0</v>
      </c>
      <c r="S333" s="134"/>
      <c r="T333" s="22">
        <v>0</v>
      </c>
      <c r="U333" s="22">
        <v>0</v>
      </c>
      <c r="V333" s="22">
        <v>0</v>
      </c>
      <c r="W333" s="23"/>
      <c r="X333" s="23"/>
      <c r="Y333" s="23"/>
    </row>
    <row r="334" spans="1:25" ht="14.4">
      <c r="A334" s="111">
        <v>2</v>
      </c>
      <c r="B334" s="112" t="s">
        <v>2553</v>
      </c>
      <c r="C334" s="25">
        <v>334</v>
      </c>
      <c r="D334" s="113">
        <v>3</v>
      </c>
      <c r="E334" s="114">
        <v>43804</v>
      </c>
      <c r="F334" s="115" t="str">
        <f>HYPERLINK("https://news.okezone.com/read/2019/05/12/337/2054671/viral-massa-geruduk-kasir-indomaret-karena-dikasih-sumbangan-rp1-000 ","sumber")</f>
        <v>sumber</v>
      </c>
      <c r="G334" s="115" t="str">
        <f t="shared" si="0"/>
        <v>lokasi</v>
      </c>
      <c r="H334" s="112">
        <v>359</v>
      </c>
      <c r="I334" s="26"/>
      <c r="J334" s="113">
        <v>1</v>
      </c>
      <c r="K334" s="124"/>
      <c r="L334" s="26"/>
      <c r="M334" s="26"/>
      <c r="N334" s="26"/>
      <c r="O334" s="26"/>
      <c r="P334" s="26"/>
      <c r="Q334" s="26"/>
      <c r="R334" s="26"/>
      <c r="S334" s="124"/>
      <c r="T334" s="26"/>
      <c r="U334" s="26"/>
      <c r="V334" s="26"/>
      <c r="W334" s="26"/>
      <c r="X334" s="26"/>
      <c r="Y334" s="26"/>
    </row>
    <row r="335" spans="1:25" ht="14.4">
      <c r="A335" s="117">
        <v>1</v>
      </c>
      <c r="B335" s="118" t="s">
        <v>2554</v>
      </c>
      <c r="C335" s="22">
        <v>335</v>
      </c>
      <c r="D335" s="119">
        <v>3</v>
      </c>
      <c r="E335" s="119" t="s">
        <v>215</v>
      </c>
      <c r="F335" s="121" t="str">
        <f>HYPERLINK("https://news.okezone.com/read/2019/05/13/338/2055053/pria-di-depok-masturbasi-di-depan-seluruh-penghuni-kos-wanita ","sumber")</f>
        <v>sumber</v>
      </c>
      <c r="G335" s="121" t="str">
        <f t="shared" si="0"/>
        <v>lokasi</v>
      </c>
      <c r="H335" s="118">
        <v>222</v>
      </c>
      <c r="I335" s="22">
        <v>1</v>
      </c>
      <c r="J335" s="119">
        <v>1</v>
      </c>
      <c r="K335" s="123" t="s">
        <v>2555</v>
      </c>
      <c r="L335" s="22">
        <v>0</v>
      </c>
      <c r="M335" s="22">
        <v>-1</v>
      </c>
      <c r="N335" s="125">
        <v>0</v>
      </c>
      <c r="O335" s="22">
        <v>0</v>
      </c>
      <c r="P335" s="22">
        <v>-1</v>
      </c>
      <c r="Q335" s="22">
        <v>0</v>
      </c>
      <c r="R335" s="22">
        <v>0</v>
      </c>
      <c r="S335" s="123"/>
      <c r="T335" s="22">
        <v>0</v>
      </c>
      <c r="U335" s="22">
        <v>0</v>
      </c>
      <c r="V335" s="22">
        <v>0</v>
      </c>
      <c r="W335" s="23"/>
      <c r="X335" s="23"/>
      <c r="Y335" s="23"/>
    </row>
    <row r="336" spans="1:25" ht="14.4">
      <c r="A336" s="117">
        <v>1</v>
      </c>
      <c r="B336" s="118" t="s">
        <v>2556</v>
      </c>
      <c r="C336" s="22">
        <v>336</v>
      </c>
      <c r="D336" s="119">
        <v>2</v>
      </c>
      <c r="E336" s="119" t="s">
        <v>362</v>
      </c>
      <c r="F336" s="121" t="str">
        <f>HYPERLINK("https://www.cnnindonesia.com/nasional/20190515195336-12-395220/polisi-garut-amankan-tersangka-pelecehan-seksual-ke-20-anak ","sumber")</f>
        <v>sumber</v>
      </c>
      <c r="G336" s="121" t="str">
        <f t="shared" si="0"/>
        <v>lokasi</v>
      </c>
      <c r="H336" s="118">
        <v>364</v>
      </c>
      <c r="I336" s="22">
        <v>1</v>
      </c>
      <c r="J336" s="119">
        <v>1</v>
      </c>
      <c r="K336" s="123" t="s">
        <v>2557</v>
      </c>
      <c r="L336" s="22">
        <v>0</v>
      </c>
      <c r="M336" s="22">
        <v>1</v>
      </c>
      <c r="N336" s="125">
        <v>0</v>
      </c>
      <c r="O336" s="22">
        <v>1</v>
      </c>
      <c r="P336" s="22">
        <v>0</v>
      </c>
      <c r="Q336" s="22" t="s">
        <v>29</v>
      </c>
      <c r="R336" s="22" t="s">
        <v>182</v>
      </c>
      <c r="S336" s="134"/>
      <c r="T336" s="22">
        <v>0</v>
      </c>
      <c r="U336" s="22">
        <v>0</v>
      </c>
      <c r="V336" s="22">
        <v>0</v>
      </c>
      <c r="W336" s="23"/>
      <c r="X336" s="23"/>
      <c r="Y336" s="23"/>
    </row>
    <row r="337" spans="1:25" ht="14.4">
      <c r="A337" s="117">
        <v>1</v>
      </c>
      <c r="B337" s="118" t="s">
        <v>2558</v>
      </c>
      <c r="C337" s="22">
        <v>337</v>
      </c>
      <c r="D337" s="119">
        <v>3</v>
      </c>
      <c r="E337" s="119" t="s">
        <v>362</v>
      </c>
      <c r="F337" s="121" t="str">
        <f>HYPERLINK("https://news.okezone.com/read/2019/05/14/338/2055690/ini-modus-tersangka-masturbasi-di-kos-wanita-depok ","sumber")</f>
        <v>sumber</v>
      </c>
      <c r="G337" s="121" t="str">
        <f t="shared" si="0"/>
        <v>lokasi</v>
      </c>
      <c r="H337" s="118">
        <v>202</v>
      </c>
      <c r="I337" s="22">
        <v>1</v>
      </c>
      <c r="J337" s="119">
        <v>1</v>
      </c>
      <c r="K337" s="123" t="s">
        <v>2559</v>
      </c>
      <c r="L337" s="22">
        <v>0</v>
      </c>
      <c r="M337" s="22">
        <v>-1</v>
      </c>
      <c r="N337" s="22">
        <v>-1</v>
      </c>
      <c r="O337" s="22">
        <v>0</v>
      </c>
      <c r="P337" s="22">
        <v>0</v>
      </c>
      <c r="Q337" s="22">
        <v>0</v>
      </c>
      <c r="R337" s="22">
        <v>0</v>
      </c>
      <c r="S337" s="134"/>
      <c r="T337" s="22">
        <v>0</v>
      </c>
      <c r="U337" s="22">
        <v>0</v>
      </c>
      <c r="V337" s="22">
        <v>0</v>
      </c>
      <c r="W337" s="23"/>
      <c r="X337" s="23"/>
      <c r="Y337" s="23"/>
    </row>
    <row r="338" spans="1:25" ht="14.4">
      <c r="A338" s="117">
        <v>1</v>
      </c>
      <c r="B338" s="118" t="s">
        <v>2560</v>
      </c>
      <c r="C338" s="22">
        <v>338</v>
      </c>
      <c r="D338" s="119">
        <v>1</v>
      </c>
      <c r="E338" s="119" t="s">
        <v>2561</v>
      </c>
      <c r="F338" s="121" t="str">
        <f>HYPERLINK("https://news.detik.com/berita-jawa-timur/d-4552634/nekat-tawarkan-prostitusi-di-eks-lokalisasi-dolly-satu-muncikari-diamankan ","sumber")</f>
        <v>sumber</v>
      </c>
      <c r="G338" s="121" t="str">
        <f t="shared" si="0"/>
        <v>lokasi</v>
      </c>
      <c r="H338" s="118">
        <v>241</v>
      </c>
      <c r="I338" s="22">
        <v>1</v>
      </c>
      <c r="J338" s="119">
        <v>1</v>
      </c>
      <c r="K338" s="123" t="s">
        <v>2562</v>
      </c>
      <c r="L338" s="22">
        <v>0</v>
      </c>
      <c r="M338" s="22">
        <v>-1</v>
      </c>
      <c r="N338" s="22">
        <v>-1</v>
      </c>
      <c r="O338" s="22">
        <v>0</v>
      </c>
      <c r="P338" s="22">
        <v>0</v>
      </c>
      <c r="Q338" s="22">
        <v>0</v>
      </c>
      <c r="R338" s="22">
        <v>0</v>
      </c>
      <c r="S338" s="134"/>
      <c r="T338" s="22">
        <v>0</v>
      </c>
      <c r="U338" s="22">
        <v>0</v>
      </c>
      <c r="V338" s="22">
        <v>0</v>
      </c>
      <c r="W338" s="23"/>
      <c r="X338" s="23"/>
      <c r="Y338" s="23"/>
    </row>
    <row r="339" spans="1:25" ht="14.4">
      <c r="A339" s="135">
        <v>1</v>
      </c>
      <c r="B339" s="155" t="s">
        <v>2563</v>
      </c>
      <c r="C339" s="137">
        <v>339</v>
      </c>
      <c r="D339" s="138">
        <v>9</v>
      </c>
      <c r="E339" s="138" t="s">
        <v>2564</v>
      </c>
      <c r="F339" s="139" t="str">
        <f>HYPERLINK("https://internasional.republika.co.id/berita/internasional/asia/ps3o0i368/pbb-desak-myanmar-ambil-tindakan-agar-rohingya-kembali ","sumber")</f>
        <v>sumber</v>
      </c>
      <c r="G339" s="139" t="str">
        <f t="shared" si="0"/>
        <v>lokasi</v>
      </c>
      <c r="H339" s="136">
        <v>346</v>
      </c>
      <c r="I339" s="137">
        <v>1</v>
      </c>
      <c r="J339" s="138">
        <v>1</v>
      </c>
      <c r="K339" s="140"/>
      <c r="L339" s="137">
        <v>0</v>
      </c>
      <c r="M339" s="147">
        <v>0</v>
      </c>
      <c r="N339" s="141">
        <v>0</v>
      </c>
      <c r="O339" s="137">
        <v>0</v>
      </c>
      <c r="P339" s="137">
        <v>0</v>
      </c>
      <c r="Q339" s="137"/>
      <c r="R339" s="137"/>
      <c r="S339" s="142"/>
      <c r="T339" s="137">
        <v>0</v>
      </c>
      <c r="U339" s="137">
        <v>0</v>
      </c>
      <c r="V339" s="137">
        <v>1</v>
      </c>
      <c r="W339" s="143"/>
      <c r="X339" s="143"/>
      <c r="Y339" s="137"/>
    </row>
    <row r="340" spans="1:25" ht="14.4">
      <c r="A340" s="111">
        <v>2</v>
      </c>
      <c r="B340" s="112" t="s">
        <v>2565</v>
      </c>
      <c r="C340" s="25">
        <v>340</v>
      </c>
      <c r="D340" s="113">
        <v>8</v>
      </c>
      <c r="E340" s="113" t="s">
        <v>205</v>
      </c>
      <c r="F340" s="115" t="str">
        <f>HYPERLINK("https://www.suara.com/entertainment/2019/05/21/182120/berada-di-penjara-saat-ramadan-vanessa-angel-menangis-setiap-dengar-adzan ","sumber")</f>
        <v>sumber</v>
      </c>
      <c r="G340" s="115" t="str">
        <f t="shared" si="0"/>
        <v>lokasi</v>
      </c>
      <c r="H340" s="112">
        <v>203</v>
      </c>
      <c r="I340" s="26"/>
      <c r="J340" s="113">
        <v>1</v>
      </c>
      <c r="K340" s="124"/>
      <c r="L340" s="26"/>
      <c r="M340" s="26"/>
      <c r="N340" s="26"/>
      <c r="O340" s="26"/>
      <c r="P340" s="26"/>
      <c r="Q340" s="26"/>
      <c r="R340" s="26"/>
      <c r="S340" s="124"/>
      <c r="T340" s="26"/>
      <c r="U340" s="26"/>
      <c r="V340" s="26"/>
      <c r="W340" s="26"/>
      <c r="X340" s="26"/>
      <c r="Y340" s="26"/>
    </row>
    <row r="341" spans="1:25" ht="14.4">
      <c r="A341" s="135">
        <v>1</v>
      </c>
      <c r="B341" s="155" t="s">
        <v>2566</v>
      </c>
      <c r="C341" s="137">
        <v>341</v>
      </c>
      <c r="D341" s="138">
        <v>9</v>
      </c>
      <c r="E341" s="154">
        <v>43743</v>
      </c>
      <c r="F341" s="139" t="str">
        <f>HYPERLINK("https://internasional.republika.co.id/berita/internasional/eropa/pr97zr423/paus-keluarkan-dekrit-terkait-pelaporan-pelecehan-di-gereja ","sumber")</f>
        <v>sumber</v>
      </c>
      <c r="G341" s="139" t="str">
        <f t="shared" si="0"/>
        <v>lokasi</v>
      </c>
      <c r="H341" s="136">
        <v>432</v>
      </c>
      <c r="I341" s="137">
        <v>1</v>
      </c>
      <c r="J341" s="138">
        <v>1</v>
      </c>
      <c r="K341" s="140" t="s">
        <v>2567</v>
      </c>
      <c r="L341" s="137">
        <v>0</v>
      </c>
      <c r="M341" s="137">
        <v>1</v>
      </c>
      <c r="N341" s="141">
        <v>0</v>
      </c>
      <c r="O341" s="137">
        <v>0</v>
      </c>
      <c r="P341" s="137">
        <v>0</v>
      </c>
      <c r="Q341" s="137" t="s">
        <v>29</v>
      </c>
      <c r="R341" s="137" t="s">
        <v>182</v>
      </c>
      <c r="S341" s="142"/>
      <c r="T341" s="137">
        <v>0</v>
      </c>
      <c r="U341" s="137">
        <v>0</v>
      </c>
      <c r="V341" s="137">
        <v>1</v>
      </c>
      <c r="W341" s="143"/>
      <c r="X341" s="143"/>
      <c r="Y341" s="143"/>
    </row>
    <row r="342" spans="1:25" ht="14.4">
      <c r="A342" s="117">
        <v>1</v>
      </c>
      <c r="B342" s="118" t="s">
        <v>2568</v>
      </c>
      <c r="C342" s="22">
        <v>342</v>
      </c>
      <c r="D342" s="119">
        <v>3</v>
      </c>
      <c r="E342" s="119" t="s">
        <v>2027</v>
      </c>
      <c r="F342" s="121" t="str">
        <f>HYPERLINK("https://news.okezone.com/read/2019/05/25/525/2060368/bongkar-prostitusi-online-di-garut-polisi-amankan-7-wanita-dan-5-pria ","sumber")</f>
        <v>sumber</v>
      </c>
      <c r="G342" s="121" t="str">
        <f t="shared" si="0"/>
        <v>lokasi</v>
      </c>
      <c r="H342" s="118">
        <v>403</v>
      </c>
      <c r="I342" s="22">
        <v>1</v>
      </c>
      <c r="J342" s="119">
        <v>1</v>
      </c>
      <c r="K342" s="123" t="s">
        <v>2569</v>
      </c>
      <c r="L342" s="22">
        <v>0</v>
      </c>
      <c r="M342" s="22">
        <v>-1</v>
      </c>
      <c r="N342" s="125">
        <v>0</v>
      </c>
      <c r="O342" s="22">
        <v>0</v>
      </c>
      <c r="P342" s="22">
        <v>0</v>
      </c>
      <c r="Q342" s="22">
        <v>0</v>
      </c>
      <c r="R342" s="22">
        <v>1</v>
      </c>
      <c r="S342" s="134"/>
      <c r="T342" s="22">
        <v>0</v>
      </c>
      <c r="U342" s="22">
        <v>0</v>
      </c>
      <c r="V342" s="22">
        <v>0</v>
      </c>
      <c r="W342" s="23"/>
      <c r="X342" s="23"/>
      <c r="Y342" s="23"/>
    </row>
    <row r="343" spans="1:25" ht="14.4">
      <c r="A343" s="117">
        <v>1</v>
      </c>
      <c r="B343" s="118" t="s">
        <v>2570</v>
      </c>
      <c r="C343" s="22">
        <v>343</v>
      </c>
      <c r="D343" s="119">
        <v>3</v>
      </c>
      <c r="E343" s="119" t="s">
        <v>180</v>
      </c>
      <c r="F343" s="121" t="str">
        <f>HYPERLINK("https://news.okezone.com/read/2019/05/31/18/2062398/skandal-seks-di-universitas-warwick-inggris-perkosa-mereka-semua-biar-kapok ","sumber")</f>
        <v>sumber</v>
      </c>
      <c r="G343" s="121" t="str">
        <f t="shared" si="0"/>
        <v>lokasi</v>
      </c>
      <c r="H343" s="118">
        <v>1262</v>
      </c>
      <c r="I343" s="22">
        <v>1</v>
      </c>
      <c r="J343" s="119">
        <v>1</v>
      </c>
      <c r="K343" s="123" t="s">
        <v>2571</v>
      </c>
      <c r="L343" s="22">
        <v>0</v>
      </c>
      <c r="M343" s="22">
        <v>1</v>
      </c>
      <c r="N343" s="125">
        <v>0</v>
      </c>
      <c r="O343" s="22">
        <v>-1</v>
      </c>
      <c r="P343" s="22">
        <v>-1</v>
      </c>
      <c r="Q343" s="22" t="s">
        <v>178</v>
      </c>
      <c r="R343" s="22" t="s">
        <v>748</v>
      </c>
      <c r="S343" s="134"/>
      <c r="T343" s="22">
        <v>0</v>
      </c>
      <c r="U343" s="22">
        <v>0</v>
      </c>
      <c r="V343" s="22">
        <v>0</v>
      </c>
      <c r="W343" s="23"/>
      <c r="X343" s="23"/>
      <c r="Y343" s="23"/>
    </row>
    <row r="344" spans="1:25" ht="14.4">
      <c r="A344" s="171">
        <v>2</v>
      </c>
      <c r="B344" s="172" t="s">
        <v>2572</v>
      </c>
      <c r="C344" s="25">
        <v>344</v>
      </c>
      <c r="D344" s="113">
        <v>9</v>
      </c>
      <c r="E344" s="113" t="s">
        <v>388</v>
      </c>
      <c r="F344" s="115" t="str">
        <f>HYPERLINK("https://republika.co.id/berita/retizen/surat-pembaca/pt8knd349/aborsi-kebebasan-memilih-ataukah-memilih-bebas ","sumber")</f>
        <v>sumber</v>
      </c>
      <c r="G344" s="115" t="str">
        <f t="shared" si="0"/>
        <v>lokasi</v>
      </c>
      <c r="H344" s="112">
        <v>960</v>
      </c>
      <c r="I344" s="26"/>
      <c r="J344" s="113">
        <v>1</v>
      </c>
      <c r="K344" s="124"/>
      <c r="L344" s="26"/>
      <c r="M344" s="26"/>
      <c r="N344" s="26"/>
      <c r="O344" s="26"/>
      <c r="P344" s="26"/>
      <c r="Q344" s="26"/>
      <c r="R344" s="26"/>
      <c r="S344" s="124"/>
      <c r="T344" s="26"/>
      <c r="U344" s="26"/>
      <c r="V344" s="26"/>
      <c r="W344" s="26"/>
      <c r="X344" s="26"/>
      <c r="Y344" s="25"/>
    </row>
    <row r="345" spans="1:25" ht="14.4">
      <c r="A345" s="117">
        <v>1</v>
      </c>
      <c r="B345" s="118" t="s">
        <v>2573</v>
      </c>
      <c r="C345" s="22">
        <v>345</v>
      </c>
      <c r="D345" s="119">
        <v>8</v>
      </c>
      <c r="E345" s="119" t="s">
        <v>388</v>
      </c>
      <c r="F345" s="121" t="str">
        <f>HYPERLINK("https://jatim.suara.com/read/2019/06/17/212702/terbukti-langgar-uu-ite-vanessa-angel-dituntut-enam-bulan-penjara ","sumber")</f>
        <v>sumber</v>
      </c>
      <c r="G345" s="121" t="str">
        <f t="shared" si="0"/>
        <v>lokasi</v>
      </c>
      <c r="H345" s="118">
        <v>250</v>
      </c>
      <c r="I345" s="22">
        <v>1</v>
      </c>
      <c r="J345" s="119">
        <v>1</v>
      </c>
      <c r="K345" s="123" t="s">
        <v>2574</v>
      </c>
      <c r="L345" s="22">
        <v>0</v>
      </c>
      <c r="M345" s="22">
        <v>-1</v>
      </c>
      <c r="N345" s="22">
        <v>-1</v>
      </c>
      <c r="O345" s="22">
        <v>0</v>
      </c>
      <c r="P345" s="22">
        <v>0</v>
      </c>
      <c r="Q345" s="22">
        <v>0</v>
      </c>
      <c r="R345" s="22">
        <v>1</v>
      </c>
      <c r="S345" s="134"/>
      <c r="T345" s="22">
        <v>0</v>
      </c>
      <c r="U345" s="22">
        <v>0</v>
      </c>
      <c r="V345" s="22">
        <v>0</v>
      </c>
      <c r="W345" s="23"/>
      <c r="X345" s="23"/>
      <c r="Y345" s="23"/>
    </row>
    <row r="346" spans="1:25" ht="14.4">
      <c r="A346" s="117">
        <v>1</v>
      </c>
      <c r="B346" s="118" t="s">
        <v>2575</v>
      </c>
      <c r="C346" s="22">
        <v>346</v>
      </c>
      <c r="D346" s="119">
        <v>7</v>
      </c>
      <c r="E346" s="119" t="s">
        <v>799</v>
      </c>
      <c r="F346" s="121" t="str">
        <f>HYPERLINK("http://www.tribunnews.com/kilas-daerah/2019/06/20/polres-indramayu-tangkap-mucikari-kapolres-psk-hanya-dapat-rp-70-100-ribu-per-malam ","sumber")</f>
        <v>sumber</v>
      </c>
      <c r="G346" s="121" t="str">
        <f t="shared" si="0"/>
        <v>lokasi</v>
      </c>
      <c r="H346" s="118">
        <v>120</v>
      </c>
      <c r="I346" s="22">
        <v>1</v>
      </c>
      <c r="J346" s="119">
        <v>1</v>
      </c>
      <c r="K346" s="123" t="s">
        <v>2576</v>
      </c>
      <c r="L346" s="22">
        <v>0</v>
      </c>
      <c r="M346" s="22">
        <v>-1</v>
      </c>
      <c r="N346" s="125">
        <v>0</v>
      </c>
      <c r="O346" s="22">
        <v>0</v>
      </c>
      <c r="P346" s="22">
        <v>0</v>
      </c>
      <c r="Q346" s="22">
        <v>0</v>
      </c>
      <c r="R346" s="22">
        <v>0</v>
      </c>
      <c r="S346" s="134"/>
      <c r="T346" s="22">
        <v>0</v>
      </c>
      <c r="U346" s="22">
        <v>0</v>
      </c>
      <c r="V346" s="22">
        <v>0</v>
      </c>
      <c r="W346" s="23"/>
      <c r="X346" s="23"/>
      <c r="Y346" s="23"/>
    </row>
    <row r="347" spans="1:25" ht="14.4">
      <c r="A347" s="135">
        <v>1</v>
      </c>
      <c r="B347" s="155" t="s">
        <v>2577</v>
      </c>
      <c r="C347" s="137">
        <v>347</v>
      </c>
      <c r="D347" s="138">
        <v>9</v>
      </c>
      <c r="E347" s="138" t="s">
        <v>382</v>
      </c>
      <c r="F347" s="139" t="str">
        <f>HYPERLINK("https://internasional.republika.co.id/berita/internasional/abc-australia-network/pt8df2/bekerja-di-australia-dilecehkan-hingga-dieksploitasi ","sumber")</f>
        <v>sumber</v>
      </c>
      <c r="G347" s="139" t="str">
        <f t="shared" si="0"/>
        <v>lokasi</v>
      </c>
      <c r="H347" s="136">
        <v>217</v>
      </c>
      <c r="I347" s="137">
        <v>1</v>
      </c>
      <c r="J347" s="138">
        <v>1</v>
      </c>
      <c r="K347" s="140" t="s">
        <v>2578</v>
      </c>
      <c r="L347" s="137">
        <v>0</v>
      </c>
      <c r="M347" s="137">
        <v>1</v>
      </c>
      <c r="N347" s="141">
        <v>0</v>
      </c>
      <c r="O347" s="137">
        <v>0</v>
      </c>
      <c r="P347" s="137">
        <v>0</v>
      </c>
      <c r="Q347" s="137" t="s">
        <v>2579</v>
      </c>
      <c r="R347" s="137" t="s">
        <v>2580</v>
      </c>
      <c r="S347" s="142"/>
      <c r="T347" s="137">
        <v>0</v>
      </c>
      <c r="U347" s="137">
        <v>0</v>
      </c>
      <c r="V347" s="137">
        <v>1</v>
      </c>
      <c r="W347" s="143"/>
      <c r="X347" s="143"/>
      <c r="Y347" s="137"/>
    </row>
    <row r="348" spans="1:25" ht="14.4">
      <c r="A348" s="111">
        <v>2</v>
      </c>
      <c r="B348" s="112" t="s">
        <v>2581</v>
      </c>
      <c r="C348" s="25">
        <v>348</v>
      </c>
      <c r="D348" s="113">
        <v>5</v>
      </c>
      <c r="E348" s="113" t="s">
        <v>238</v>
      </c>
      <c r="F348" s="115" t="str">
        <f>HYPERLINK("https://tirto.id/membaca-atheis-menelusuri-ruang-pengalaman-para-tokohnya-ecVU ","sumber")</f>
        <v>sumber</v>
      </c>
      <c r="G348" s="115" t="str">
        <f t="shared" si="0"/>
        <v>lokasi</v>
      </c>
      <c r="H348" s="112">
        <v>2075</v>
      </c>
      <c r="I348" s="26"/>
      <c r="J348" s="113">
        <v>1</v>
      </c>
      <c r="K348" s="124"/>
      <c r="L348" s="26"/>
      <c r="M348" s="26"/>
      <c r="N348" s="26"/>
      <c r="O348" s="26"/>
      <c r="P348" s="26"/>
      <c r="Q348" s="26"/>
      <c r="R348" s="26"/>
      <c r="S348" s="124"/>
      <c r="T348" s="26"/>
      <c r="U348" s="26"/>
      <c r="V348" s="26"/>
      <c r="W348" s="26"/>
      <c r="X348" s="26"/>
      <c r="Y348" s="26"/>
    </row>
    <row r="349" spans="1:25" ht="14.4">
      <c r="A349" s="111">
        <v>2</v>
      </c>
      <c r="B349" s="112" t="s">
        <v>2582</v>
      </c>
      <c r="C349" s="25">
        <v>349</v>
      </c>
      <c r="D349" s="113">
        <v>1</v>
      </c>
      <c r="E349" s="113" t="s">
        <v>584</v>
      </c>
      <c r="F349" s="115" t="str">
        <f>HYPERLINK("https://hot.detik.com/movie/d-4603034/james-wan-sibuk-banget-aquaman-2-kapan-digarap ","sumber")</f>
        <v>sumber</v>
      </c>
      <c r="G349" s="115" t="str">
        <f t="shared" si="0"/>
        <v>lokasi</v>
      </c>
      <c r="H349" s="112">
        <v>1651</v>
      </c>
      <c r="I349" s="26"/>
      <c r="J349" s="113">
        <v>1</v>
      </c>
      <c r="K349" s="124"/>
      <c r="L349" s="26"/>
      <c r="M349" s="26"/>
      <c r="N349" s="26"/>
      <c r="O349" s="26"/>
      <c r="P349" s="26"/>
      <c r="Q349" s="26"/>
      <c r="R349" s="26"/>
      <c r="S349" s="124"/>
      <c r="T349" s="26"/>
      <c r="U349" s="26"/>
      <c r="V349" s="26"/>
      <c r="W349" s="26"/>
      <c r="X349" s="26"/>
      <c r="Y349" s="25"/>
    </row>
    <row r="350" spans="1:25" ht="14.4">
      <c r="A350" s="135">
        <v>1</v>
      </c>
      <c r="B350" s="155" t="s">
        <v>1692</v>
      </c>
      <c r="C350" s="137">
        <v>350</v>
      </c>
      <c r="D350" s="138">
        <v>6</v>
      </c>
      <c r="E350" s="154">
        <v>43472</v>
      </c>
      <c r="F350" s="139" t="str">
        <f>HYPERLINK("https://entertainment.kompas.com/read/2019/07/01/102606210/didampingi-hotman-paris-fairuz-a-rafiq-dan-suami-sambangi-polda-metro ","sumber")</f>
        <v>sumber</v>
      </c>
      <c r="G350" s="139" t="str">
        <f t="shared" si="0"/>
        <v>lokasi</v>
      </c>
      <c r="H350" s="136">
        <v>201</v>
      </c>
      <c r="I350" s="137">
        <v>1</v>
      </c>
      <c r="J350" s="138">
        <v>1</v>
      </c>
      <c r="K350" s="140" t="s">
        <v>2419</v>
      </c>
      <c r="L350" s="137">
        <v>0</v>
      </c>
      <c r="M350" s="137">
        <v>-1</v>
      </c>
      <c r="N350" s="141">
        <v>0</v>
      </c>
      <c r="O350" s="137">
        <v>0</v>
      </c>
      <c r="P350" s="137">
        <v>0</v>
      </c>
      <c r="Q350" s="137">
        <v>0</v>
      </c>
      <c r="R350" s="137">
        <v>1</v>
      </c>
      <c r="S350" s="142"/>
      <c r="T350" s="137">
        <v>0</v>
      </c>
      <c r="U350" s="137">
        <v>0</v>
      </c>
      <c r="V350" s="137">
        <v>0</v>
      </c>
      <c r="W350" s="143"/>
      <c r="X350" s="143"/>
      <c r="Y350" s="137"/>
    </row>
    <row r="351" spans="1:25" ht="14.4">
      <c r="A351" s="117">
        <v>1</v>
      </c>
      <c r="B351" s="118" t="s">
        <v>2583</v>
      </c>
      <c r="C351" s="22">
        <v>351</v>
      </c>
      <c r="D351" s="119">
        <v>10</v>
      </c>
      <c r="E351" s="120">
        <v>43745</v>
      </c>
      <c r="F351" s="121" t="str">
        <f>HYPERLINK("https://nasional.tempo.co/read/1223074/yenny-wahid-ikut-dukung-pemberian-amnesti-untuk-baiq-nuril ","sumber")</f>
        <v>sumber</v>
      </c>
      <c r="G351" s="121" t="str">
        <f t="shared" si="0"/>
        <v>lokasi</v>
      </c>
      <c r="H351" s="118">
        <v>263</v>
      </c>
      <c r="I351" s="22">
        <v>4</v>
      </c>
      <c r="J351" s="119">
        <v>1</v>
      </c>
      <c r="K351" s="123" t="s">
        <v>2584</v>
      </c>
      <c r="L351" s="22">
        <v>0</v>
      </c>
      <c r="M351" s="22">
        <v>0</v>
      </c>
      <c r="N351" s="125">
        <v>0</v>
      </c>
      <c r="O351" s="22">
        <v>0</v>
      </c>
      <c r="P351" s="22">
        <v>0</v>
      </c>
      <c r="Q351" s="22">
        <v>0</v>
      </c>
      <c r="R351" s="22">
        <v>1</v>
      </c>
      <c r="S351" s="134"/>
      <c r="T351" s="22">
        <v>0</v>
      </c>
      <c r="U351" s="22">
        <v>0</v>
      </c>
      <c r="V351" s="22">
        <v>0</v>
      </c>
      <c r="W351" s="23"/>
      <c r="X351" s="23"/>
      <c r="Y351" s="23"/>
    </row>
    <row r="352" spans="1:25" ht="14.4">
      <c r="A352" s="111">
        <v>2</v>
      </c>
      <c r="B352" s="112" t="s">
        <v>2585</v>
      </c>
      <c r="C352" s="25">
        <v>352</v>
      </c>
      <c r="D352" s="113">
        <v>1</v>
      </c>
      <c r="E352" s="113" t="s">
        <v>613</v>
      </c>
      <c r="F352" s="115" t="str">
        <f>HYPERLINK("https://hot.detik.com/celeb/d-4622714/dinar-candy-rebut-pacar-orang ","sumber")</f>
        <v>sumber</v>
      </c>
      <c r="G352" s="115" t="str">
        <f t="shared" si="0"/>
        <v>lokasi</v>
      </c>
      <c r="H352" s="112">
        <v>1406</v>
      </c>
      <c r="I352" s="26"/>
      <c r="J352" s="113">
        <v>1</v>
      </c>
      <c r="K352" s="124"/>
      <c r="L352" s="26"/>
      <c r="M352" s="26"/>
      <c r="N352" s="26"/>
      <c r="O352" s="26"/>
      <c r="P352" s="26"/>
      <c r="Q352" s="26"/>
      <c r="R352" s="26"/>
      <c r="S352" s="124"/>
      <c r="T352" s="26"/>
      <c r="U352" s="26"/>
      <c r="V352" s="26"/>
      <c r="W352" s="26"/>
      <c r="X352" s="26"/>
      <c r="Y352" s="26"/>
    </row>
    <row r="353" spans="1:25" ht="14.4">
      <c r="A353" s="135">
        <v>1</v>
      </c>
      <c r="B353" s="155" t="s">
        <v>2586</v>
      </c>
      <c r="C353" s="137">
        <v>353</v>
      </c>
      <c r="D353" s="138">
        <v>3</v>
      </c>
      <c r="E353" s="138" t="s">
        <v>2587</v>
      </c>
      <c r="F353" s="139" t="str">
        <f>HYPERLINK("https://news.okezone.com/read/2019/07/29/18/2085125/mengaku-diperkosa-politisi-india-gadis-19-tahun-kritis-usai-mobil-ditabrak-truk ","sumber")</f>
        <v>sumber</v>
      </c>
      <c r="G353" s="139" t="str">
        <f t="shared" si="0"/>
        <v>lokasi</v>
      </c>
      <c r="H353" s="136">
        <v>288</v>
      </c>
      <c r="I353" s="137">
        <v>1</v>
      </c>
      <c r="J353" s="138">
        <v>1</v>
      </c>
      <c r="K353" s="140" t="s">
        <v>2588</v>
      </c>
      <c r="L353" s="137">
        <v>0</v>
      </c>
      <c r="M353" s="137">
        <v>1</v>
      </c>
      <c r="N353" s="137">
        <v>-1</v>
      </c>
      <c r="O353" s="137">
        <v>0</v>
      </c>
      <c r="P353" s="137">
        <v>0</v>
      </c>
      <c r="Q353" s="137">
        <v>0</v>
      </c>
      <c r="R353" s="137">
        <v>0</v>
      </c>
      <c r="S353" s="142"/>
      <c r="T353" s="137">
        <v>0</v>
      </c>
      <c r="U353" s="137">
        <v>0</v>
      </c>
      <c r="V353" s="137">
        <v>0</v>
      </c>
      <c r="W353" s="143"/>
      <c r="X353" s="143"/>
      <c r="Y353" s="143"/>
    </row>
    <row r="354" spans="1:25" ht="14.4">
      <c r="A354" s="135">
        <v>1</v>
      </c>
      <c r="B354" s="155" t="s">
        <v>2589</v>
      </c>
      <c r="C354" s="137">
        <v>354</v>
      </c>
      <c r="D354" s="138">
        <v>1</v>
      </c>
      <c r="E354" s="138" t="s">
        <v>399</v>
      </c>
      <c r="F354" s="139" t="str">
        <f>HYPERLINK("https://news.detik.com/bbc-world/d-4635437/kisah-para-korban-pelecehan-seksual-pastor-di-polandia ","sumber")</f>
        <v>sumber</v>
      </c>
      <c r="G354" s="139" t="str">
        <f t="shared" si="0"/>
        <v>lokasi</v>
      </c>
      <c r="H354" s="136">
        <v>1002</v>
      </c>
      <c r="I354" s="137">
        <v>1</v>
      </c>
      <c r="J354" s="138">
        <v>1</v>
      </c>
      <c r="K354" s="140" t="s">
        <v>2590</v>
      </c>
      <c r="L354" s="137">
        <v>0</v>
      </c>
      <c r="M354" s="137">
        <v>1</v>
      </c>
      <c r="N354" s="141">
        <v>0</v>
      </c>
      <c r="O354" s="137">
        <v>0</v>
      </c>
      <c r="P354" s="137">
        <v>0</v>
      </c>
      <c r="Q354" s="137" t="s">
        <v>2591</v>
      </c>
      <c r="R354" s="137" t="s">
        <v>2592</v>
      </c>
      <c r="S354" s="142"/>
      <c r="T354" s="137">
        <v>0</v>
      </c>
      <c r="U354" s="137">
        <v>0</v>
      </c>
      <c r="V354" s="137">
        <v>1</v>
      </c>
      <c r="W354" s="143"/>
      <c r="X354" s="143"/>
      <c r="Y354" s="137"/>
    </row>
    <row r="355" spans="1:25" ht="14.4">
      <c r="A355" s="111">
        <v>2</v>
      </c>
      <c r="B355" s="112" t="s">
        <v>2593</v>
      </c>
      <c r="C355" s="25">
        <v>355</v>
      </c>
      <c r="D355" s="113">
        <v>2</v>
      </c>
      <c r="E355" s="113" t="s">
        <v>399</v>
      </c>
      <c r="F355" s="115" t="str">
        <f>HYPERLINK("https://www.cnnindonesia.com/olahraga/20190723110120-178-414620/mayweather-loncat-kegirangan-lihat-pacquiao-jatuhkan-thurman ","sumber")</f>
        <v>sumber</v>
      </c>
      <c r="G355" s="115" t="str">
        <f t="shared" si="0"/>
        <v>lokasi</v>
      </c>
      <c r="H355" s="112">
        <v>320</v>
      </c>
      <c r="I355" s="26"/>
      <c r="J355" s="113">
        <v>1</v>
      </c>
      <c r="K355" s="124"/>
      <c r="L355" s="26"/>
      <c r="M355" s="26"/>
      <c r="N355" s="26"/>
      <c r="O355" s="26"/>
      <c r="P355" s="26"/>
      <c r="Q355" s="26"/>
      <c r="R355" s="26"/>
      <c r="S355" s="124"/>
      <c r="T355" s="26"/>
      <c r="U355" s="26"/>
      <c r="V355" s="26"/>
      <c r="W355" s="26"/>
      <c r="X355" s="26"/>
      <c r="Y355" s="25"/>
    </row>
    <row r="356" spans="1:25" ht="14.4">
      <c r="A356" s="117">
        <v>1</v>
      </c>
      <c r="B356" s="118" t="s">
        <v>2594</v>
      </c>
      <c r="C356" s="22">
        <v>356</v>
      </c>
      <c r="D356" s="119">
        <v>9</v>
      </c>
      <c r="E356" s="119" t="s">
        <v>399</v>
      </c>
      <c r="F356" s="121" t="str">
        <f>HYPERLINK("https://republika.co.id/berita/pv2sng349/lemahnya-hukum-dalam-grasi-neil-bantleman ","sumber")</f>
        <v>sumber</v>
      </c>
      <c r="G356" s="121" t="str">
        <f t="shared" si="0"/>
        <v>lokasi</v>
      </c>
      <c r="H356" s="118">
        <v>57</v>
      </c>
      <c r="I356" s="22">
        <v>1</v>
      </c>
      <c r="J356" s="119">
        <v>1</v>
      </c>
      <c r="K356" s="123" t="s">
        <v>2595</v>
      </c>
      <c r="L356" s="22">
        <v>0</v>
      </c>
      <c r="M356" s="22">
        <v>1</v>
      </c>
      <c r="N356" s="125">
        <v>0</v>
      </c>
      <c r="O356" s="22">
        <v>0</v>
      </c>
      <c r="P356" s="22">
        <v>0</v>
      </c>
      <c r="Q356" s="22" t="s">
        <v>29</v>
      </c>
      <c r="R356" s="22" t="s">
        <v>182</v>
      </c>
      <c r="S356" s="134"/>
      <c r="T356" s="22">
        <v>0</v>
      </c>
      <c r="U356" s="22">
        <v>0</v>
      </c>
      <c r="V356" s="22">
        <v>1</v>
      </c>
      <c r="W356" s="23"/>
      <c r="X356" s="23"/>
      <c r="Y356" s="23"/>
    </row>
    <row r="357" spans="1:25" ht="14.4">
      <c r="A357" s="117">
        <v>1</v>
      </c>
      <c r="B357" s="118" t="s">
        <v>2596</v>
      </c>
      <c r="C357" s="22">
        <v>357</v>
      </c>
      <c r="D357" s="119">
        <v>1</v>
      </c>
      <c r="E357" s="119" t="s">
        <v>839</v>
      </c>
      <c r="F357" s="121" t="str">
        <f>HYPERLINK("https://news.detik.com/berita-jawa-timur/d-4638442/kasus-pencabulan-guru-menyeruak-pemerhati-anak-sarankan-pencegahan ","sumber")</f>
        <v>sumber</v>
      </c>
      <c r="G357" s="121" t="str">
        <f t="shared" si="0"/>
        <v>lokasi</v>
      </c>
      <c r="H357" s="118">
        <v>333</v>
      </c>
      <c r="I357" s="22">
        <v>4</v>
      </c>
      <c r="J357" s="119">
        <v>1</v>
      </c>
      <c r="K357" s="123" t="s">
        <v>2597</v>
      </c>
      <c r="L357" s="22">
        <v>0</v>
      </c>
      <c r="M357" s="22">
        <v>0</v>
      </c>
      <c r="N357" s="125">
        <v>0</v>
      </c>
      <c r="O357" s="22">
        <v>0</v>
      </c>
      <c r="P357" s="22">
        <v>0</v>
      </c>
      <c r="Q357" s="22">
        <v>0</v>
      </c>
      <c r="R357" s="22">
        <v>1</v>
      </c>
      <c r="S357" s="134"/>
      <c r="T357" s="22">
        <v>0</v>
      </c>
      <c r="U357" s="22">
        <v>0</v>
      </c>
      <c r="V357" s="22">
        <v>1</v>
      </c>
      <c r="W357" s="23"/>
      <c r="X357" s="23"/>
      <c r="Y357" s="23"/>
    </row>
    <row r="358" spans="1:25" ht="14.4">
      <c r="A358" s="117">
        <v>1</v>
      </c>
      <c r="B358" s="118" t="s">
        <v>2598</v>
      </c>
      <c r="C358" s="22">
        <v>358</v>
      </c>
      <c r="D358" s="119">
        <v>9</v>
      </c>
      <c r="E358" s="119" t="s">
        <v>839</v>
      </c>
      <c r="F358" s="121" t="str">
        <f>HYPERLINK("https://nasional.republika.co.id/berita/pv5v6g428/menkumham-kita-lindungi-harkat-martabat-perempuan ","sumber")</f>
        <v>sumber</v>
      </c>
      <c r="G358" s="121" t="str">
        <f t="shared" si="0"/>
        <v>lokasi</v>
      </c>
      <c r="H358" s="118">
        <v>74</v>
      </c>
      <c r="I358" s="22">
        <v>4</v>
      </c>
      <c r="J358" s="119">
        <v>1</v>
      </c>
      <c r="K358" s="123" t="s">
        <v>2599</v>
      </c>
      <c r="L358" s="22">
        <v>0</v>
      </c>
      <c r="M358" s="22">
        <v>0</v>
      </c>
      <c r="N358" s="125">
        <v>0</v>
      </c>
      <c r="O358" s="22">
        <v>0</v>
      </c>
      <c r="P358" s="22">
        <v>0</v>
      </c>
      <c r="Q358" s="22" t="s">
        <v>1655</v>
      </c>
      <c r="R358" s="22" t="s">
        <v>360</v>
      </c>
      <c r="S358" s="134"/>
      <c r="T358" s="22">
        <v>0</v>
      </c>
      <c r="U358" s="22">
        <v>0</v>
      </c>
      <c r="V358" s="22">
        <v>1</v>
      </c>
      <c r="W358" s="23"/>
      <c r="X358" s="23"/>
      <c r="Y358" s="23"/>
    </row>
    <row r="359" spans="1:25" ht="14.4">
      <c r="A359" s="148">
        <v>1</v>
      </c>
      <c r="B359" s="149" t="s">
        <v>2600</v>
      </c>
      <c r="C359" s="33">
        <v>359</v>
      </c>
      <c r="D359" s="128">
        <v>1</v>
      </c>
      <c r="E359" s="128" t="s">
        <v>263</v>
      </c>
      <c r="F359" s="130" t="str">
        <f>HYPERLINK("https://news.detik.com/berita/d-4636758/pakaian-perempuan-tak-picu-pelecehan-mui-laki-laki-harus-peduli ","sumber")</f>
        <v>sumber</v>
      </c>
      <c r="G359" s="130" t="str">
        <f t="shared" si="0"/>
        <v>lokasi</v>
      </c>
      <c r="H359" s="127">
        <v>354</v>
      </c>
      <c r="I359" s="33">
        <v>2</v>
      </c>
      <c r="J359" s="128">
        <v>1</v>
      </c>
      <c r="K359" s="131" t="s">
        <v>2601</v>
      </c>
      <c r="L359" s="33">
        <v>0</v>
      </c>
      <c r="M359" s="33">
        <v>0</v>
      </c>
      <c r="N359" s="132">
        <v>0</v>
      </c>
      <c r="O359" s="33">
        <v>0</v>
      </c>
      <c r="P359" s="33">
        <v>0</v>
      </c>
      <c r="Q359" s="33">
        <v>0</v>
      </c>
      <c r="R359" s="33">
        <v>1</v>
      </c>
      <c r="S359" s="133"/>
      <c r="T359" s="33">
        <v>0</v>
      </c>
      <c r="U359" s="33">
        <v>0</v>
      </c>
      <c r="V359" s="33">
        <v>1</v>
      </c>
      <c r="W359" s="24"/>
      <c r="X359" s="24"/>
      <c r="Y359" s="24"/>
    </row>
    <row r="360" spans="1:25" ht="14.4">
      <c r="A360" s="117">
        <v>1</v>
      </c>
      <c r="B360" s="118" t="s">
        <v>1723</v>
      </c>
      <c r="C360" s="22">
        <v>360</v>
      </c>
      <c r="D360" s="119">
        <v>9</v>
      </c>
      <c r="E360" s="120">
        <v>43532</v>
      </c>
      <c r="F360" s="121" t="str">
        <f>HYPERLINK("https://nasional.republika.co.id/berita/pvn7o4415/pemerintah-kaji-revisi-uu-ite ","sumber")</f>
        <v>sumber</v>
      </c>
      <c r="G360" s="121" t="str">
        <f t="shared" si="0"/>
        <v>lokasi</v>
      </c>
      <c r="H360" s="118">
        <v>459</v>
      </c>
      <c r="I360" s="22">
        <v>4</v>
      </c>
      <c r="J360" s="119">
        <v>1</v>
      </c>
      <c r="K360" s="123" t="s">
        <v>2602</v>
      </c>
      <c r="L360" s="22">
        <v>0</v>
      </c>
      <c r="M360" s="22">
        <v>0</v>
      </c>
      <c r="N360" s="125">
        <v>0</v>
      </c>
      <c r="O360" s="22">
        <v>0</v>
      </c>
      <c r="P360" s="22">
        <v>0</v>
      </c>
      <c r="Q360" s="22" t="s">
        <v>87</v>
      </c>
      <c r="R360" s="22" t="s">
        <v>160</v>
      </c>
      <c r="S360" s="134"/>
      <c r="T360" s="22">
        <v>0</v>
      </c>
      <c r="U360" s="22">
        <v>0</v>
      </c>
      <c r="V360" s="22">
        <v>1</v>
      </c>
      <c r="W360" s="23"/>
      <c r="X360" s="23"/>
      <c r="Y360" s="23"/>
    </row>
    <row r="361" spans="1:25" ht="14.4">
      <c r="A361" s="117">
        <v>1</v>
      </c>
      <c r="B361" s="118" t="s">
        <v>2603</v>
      </c>
      <c r="C361" s="22">
        <v>361</v>
      </c>
      <c r="D361" s="119">
        <v>2</v>
      </c>
      <c r="E361" s="120">
        <v>43563</v>
      </c>
      <c r="F361" s="121" t="str">
        <f>HYPERLINK("https://www.cnnindonesia.com/nasional/20190803080939-20-418023/perjalanan-lombok-bogor-baiq-nuril-jemput-amnesti-jokowi ","sumber")</f>
        <v>sumber</v>
      </c>
      <c r="G361" s="121" t="str">
        <f t="shared" si="0"/>
        <v>lokasi</v>
      </c>
      <c r="H361" s="118">
        <v>789</v>
      </c>
      <c r="I361" s="22">
        <v>3</v>
      </c>
      <c r="J361" s="119">
        <v>1</v>
      </c>
      <c r="K361" s="123" t="s">
        <v>2604</v>
      </c>
      <c r="L361" s="22">
        <v>0</v>
      </c>
      <c r="M361" s="22">
        <v>0</v>
      </c>
      <c r="N361" s="125">
        <v>0</v>
      </c>
      <c r="O361" s="22">
        <v>0</v>
      </c>
      <c r="P361" s="22">
        <v>0</v>
      </c>
      <c r="Q361" s="22" t="s">
        <v>134</v>
      </c>
      <c r="R361" s="22" t="s">
        <v>99</v>
      </c>
      <c r="S361" s="134"/>
      <c r="T361" s="22">
        <v>0</v>
      </c>
      <c r="U361" s="22">
        <v>0</v>
      </c>
      <c r="V361" s="22">
        <v>0</v>
      </c>
      <c r="W361" s="23"/>
      <c r="X361" s="23"/>
      <c r="Y361" s="23"/>
    </row>
    <row r="362" spans="1:25" ht="14.4">
      <c r="A362" s="117">
        <v>1</v>
      </c>
      <c r="B362" s="118" t="s">
        <v>2605</v>
      </c>
      <c r="C362" s="22">
        <v>362</v>
      </c>
      <c r="D362" s="119">
        <v>4</v>
      </c>
      <c r="E362" s="120">
        <v>43685</v>
      </c>
      <c r="F362" s="121" t="str">
        <f>HYPERLINK("https://www.liputan6.com/news/read/3988180/terpidana-pelecehan-seksual-siswa-jis-bebas-ini-respons-orangtua ","sumber")</f>
        <v>sumber</v>
      </c>
      <c r="G362" s="121" t="str">
        <f t="shared" si="0"/>
        <v>lokasi</v>
      </c>
      <c r="H362" s="118">
        <v>366</v>
      </c>
      <c r="I362" s="22">
        <v>1</v>
      </c>
      <c r="J362" s="119">
        <v>1</v>
      </c>
      <c r="K362" s="123" t="s">
        <v>2606</v>
      </c>
      <c r="L362" s="22">
        <v>0</v>
      </c>
      <c r="M362" s="22">
        <v>1</v>
      </c>
      <c r="N362" s="125">
        <v>0</v>
      </c>
      <c r="O362" s="22">
        <v>0</v>
      </c>
      <c r="P362" s="22">
        <v>0</v>
      </c>
      <c r="Q362" s="22" t="s">
        <v>29</v>
      </c>
      <c r="R362" s="22" t="s">
        <v>68</v>
      </c>
      <c r="S362" s="134"/>
      <c r="T362" s="22">
        <v>0</v>
      </c>
      <c r="U362" s="22">
        <v>0</v>
      </c>
      <c r="V362" s="22">
        <v>0</v>
      </c>
      <c r="W362" s="23"/>
      <c r="X362" s="23"/>
      <c r="Y362" s="23"/>
    </row>
    <row r="363" spans="1:25" ht="14.4">
      <c r="A363" s="117">
        <v>1</v>
      </c>
      <c r="B363" s="118" t="s">
        <v>2607</v>
      </c>
      <c r="C363" s="22">
        <v>363</v>
      </c>
      <c r="D363" s="119">
        <v>3</v>
      </c>
      <c r="E363" s="120">
        <v>43777</v>
      </c>
      <c r="F363" s="121" t="str">
        <f>HYPERLINK("https://news.okezone.com/read/2019/08/11/608/2090513/orangtua-kristina-gultom-yakin-putrinya-diperkosa-lalu-dibunuh-pria-beranak-5 ","sumber")</f>
        <v>sumber</v>
      </c>
      <c r="G363" s="121" t="str">
        <f t="shared" si="0"/>
        <v>lokasi</v>
      </c>
      <c r="H363" s="118">
        <v>815</v>
      </c>
      <c r="I363" s="22">
        <v>1</v>
      </c>
      <c r="J363" s="119">
        <v>1</v>
      </c>
      <c r="K363" s="123" t="s">
        <v>2608</v>
      </c>
      <c r="L363" s="22">
        <v>0</v>
      </c>
      <c r="M363" s="22">
        <v>1</v>
      </c>
      <c r="N363" s="22">
        <v>-1</v>
      </c>
      <c r="O363" s="22">
        <v>0</v>
      </c>
      <c r="P363" s="22">
        <v>-1</v>
      </c>
      <c r="Q363" s="22" t="s">
        <v>21</v>
      </c>
      <c r="R363" s="22" t="s">
        <v>309</v>
      </c>
      <c r="S363" s="134"/>
      <c r="T363" s="22">
        <v>0</v>
      </c>
      <c r="U363" s="22">
        <v>0</v>
      </c>
      <c r="V363" s="22">
        <v>0</v>
      </c>
      <c r="W363" s="23"/>
      <c r="X363" s="23"/>
      <c r="Y363" s="23"/>
    </row>
    <row r="364" spans="1:25" ht="14.4">
      <c r="A364" s="117">
        <v>1</v>
      </c>
      <c r="B364" s="118" t="s">
        <v>2609</v>
      </c>
      <c r="C364" s="22">
        <v>364</v>
      </c>
      <c r="D364" s="119">
        <v>8</v>
      </c>
      <c r="E364" s="120">
        <v>43777</v>
      </c>
      <c r="F364" s="121" t="str">
        <f>HYPERLINK("https://www.suara.com/news/2019/08/11/204355/polisi-kejar-pelaku-begal-payudara-yang-buron ","sumber")</f>
        <v>sumber</v>
      </c>
      <c r="G364" s="121" t="str">
        <f t="shared" si="0"/>
        <v>lokasi</v>
      </c>
      <c r="H364" s="118">
        <v>284</v>
      </c>
      <c r="I364" s="22">
        <v>1</v>
      </c>
      <c r="J364" s="119">
        <v>1</v>
      </c>
      <c r="K364" s="123" t="s">
        <v>2610</v>
      </c>
      <c r="L364" s="22">
        <v>0</v>
      </c>
      <c r="M364" s="22">
        <v>1</v>
      </c>
      <c r="N364" s="125">
        <v>0</v>
      </c>
      <c r="O364" s="22">
        <v>0</v>
      </c>
      <c r="P364" s="22">
        <v>0</v>
      </c>
      <c r="Q364" s="22">
        <v>0</v>
      </c>
      <c r="R364" s="22">
        <v>0</v>
      </c>
      <c r="S364" s="134"/>
      <c r="T364" s="22">
        <v>0</v>
      </c>
      <c r="U364" s="22">
        <v>0</v>
      </c>
      <c r="V364" s="22">
        <v>0</v>
      </c>
      <c r="W364" s="23"/>
      <c r="X364" s="23"/>
      <c r="Y364" s="23"/>
    </row>
    <row r="365" spans="1:25" ht="14.4">
      <c r="A365" s="117">
        <v>1</v>
      </c>
      <c r="B365" s="118" t="s">
        <v>2611</v>
      </c>
      <c r="C365" s="22">
        <v>365</v>
      </c>
      <c r="D365" s="119">
        <v>1</v>
      </c>
      <c r="E365" s="120">
        <v>43807</v>
      </c>
      <c r="F365" s="121" t="str">
        <f>HYPERLINK("https://news.detik.com/berita-jawa-timur/d-4663000/viral-penumpang-wanita-loncat-setelah-digerayangi-driver-ojol-di-surabaya ","sumber")</f>
        <v>sumber</v>
      </c>
      <c r="G365" s="121" t="str">
        <f t="shared" si="0"/>
        <v>lokasi</v>
      </c>
      <c r="H365" s="118">
        <v>205</v>
      </c>
      <c r="I365" s="22">
        <v>1</v>
      </c>
      <c r="J365" s="119">
        <v>1</v>
      </c>
      <c r="K365" s="123" t="s">
        <v>2612</v>
      </c>
      <c r="L365" s="22">
        <v>0</v>
      </c>
      <c r="M365" s="22">
        <v>1</v>
      </c>
      <c r="N365" s="125">
        <v>0</v>
      </c>
      <c r="O365" s="22">
        <v>0</v>
      </c>
      <c r="P365" s="22">
        <v>-1</v>
      </c>
      <c r="Q365" s="22">
        <v>0</v>
      </c>
      <c r="R365" s="22">
        <v>0</v>
      </c>
      <c r="S365" s="123"/>
      <c r="T365" s="22">
        <v>0</v>
      </c>
      <c r="U365" s="22">
        <v>0</v>
      </c>
      <c r="V365" s="22">
        <v>0</v>
      </c>
      <c r="W365" s="23"/>
      <c r="X365" s="23"/>
      <c r="Y365" s="23"/>
    </row>
    <row r="366" spans="1:25" ht="14.4">
      <c r="A366" s="117">
        <v>1</v>
      </c>
      <c r="B366" s="118" t="s">
        <v>2613</v>
      </c>
      <c r="C366" s="22">
        <v>366</v>
      </c>
      <c r="D366" s="119">
        <v>8</v>
      </c>
      <c r="E366" s="119" t="s">
        <v>2055</v>
      </c>
      <c r="F366" s="121" t="str">
        <f>HYPERLINK("https://www.suara.com/otomotif/2019/08/13/192647/viral-perempuan-loncat-dari-motor-karena-dilecehkan-ojol-ini-kata-grab ","sumber")</f>
        <v>sumber</v>
      </c>
      <c r="G366" s="121" t="str">
        <f t="shared" si="0"/>
        <v>lokasi</v>
      </c>
      <c r="H366" s="118">
        <v>169</v>
      </c>
      <c r="I366" s="22">
        <v>1</v>
      </c>
      <c r="J366" s="119">
        <v>1</v>
      </c>
      <c r="K366" s="123" t="s">
        <v>2614</v>
      </c>
      <c r="L366" s="22">
        <v>0</v>
      </c>
      <c r="M366" s="22">
        <v>-1</v>
      </c>
      <c r="N366" s="125">
        <v>0</v>
      </c>
      <c r="O366" s="22">
        <v>0</v>
      </c>
      <c r="P366" s="22">
        <v>-1</v>
      </c>
      <c r="Q366" s="22">
        <v>0</v>
      </c>
      <c r="R366" s="22">
        <v>1</v>
      </c>
      <c r="S366" s="134"/>
      <c r="T366" s="22">
        <v>0</v>
      </c>
      <c r="U366" s="22">
        <v>0</v>
      </c>
      <c r="V366" s="22">
        <v>0</v>
      </c>
      <c r="W366" s="23"/>
      <c r="X366" s="23"/>
      <c r="Y366" s="23"/>
    </row>
    <row r="367" spans="1:25" ht="14.4">
      <c r="A367" s="111">
        <v>2</v>
      </c>
      <c r="B367" s="112" t="s">
        <v>2615</v>
      </c>
      <c r="C367" s="25">
        <v>367</v>
      </c>
      <c r="D367" s="113">
        <v>2</v>
      </c>
      <c r="E367" s="113" t="s">
        <v>2616</v>
      </c>
      <c r="F367" s="115" t="str">
        <f>HYPERLINK("https://www.cnnindonesia.com/nasional/20190815210836-32-421763/formappi-sebut-etos-kerja-dpr-keropos ","sumber")</f>
        <v>sumber</v>
      </c>
      <c r="G367" s="115" t="str">
        <f t="shared" si="0"/>
        <v>lokasi</v>
      </c>
      <c r="H367" s="112">
        <v>595</v>
      </c>
      <c r="I367" s="26"/>
      <c r="J367" s="113">
        <v>1</v>
      </c>
      <c r="K367" s="124"/>
      <c r="L367" s="26"/>
      <c r="M367" s="26"/>
      <c r="N367" s="26"/>
      <c r="O367" s="26"/>
      <c r="P367" s="26"/>
      <c r="Q367" s="26"/>
      <c r="R367" s="26"/>
      <c r="S367" s="124"/>
      <c r="T367" s="26"/>
      <c r="U367" s="26"/>
      <c r="V367" s="26"/>
      <c r="W367" s="26"/>
      <c r="X367" s="26"/>
      <c r="Y367" s="25"/>
    </row>
    <row r="368" spans="1:25" ht="14.4">
      <c r="A368" s="117">
        <v>1</v>
      </c>
      <c r="B368" s="118" t="s">
        <v>2617</v>
      </c>
      <c r="C368" s="22">
        <v>368</v>
      </c>
      <c r="D368" s="119">
        <v>3</v>
      </c>
      <c r="E368" s="119" t="s">
        <v>2616</v>
      </c>
      <c r="F368" s="121" t="str">
        <f>HYPERLINK("https://news.okezone.com/read/2019/08/16/519/2092964/motif-ari-jajakan-istrinya-threesome-untuk-biaya-persalinan ","sumber")</f>
        <v>sumber</v>
      </c>
      <c r="G368" s="121" t="str">
        <f t="shared" si="0"/>
        <v>lokasi</v>
      </c>
      <c r="H368" s="118">
        <v>252</v>
      </c>
      <c r="I368" s="22">
        <v>1</v>
      </c>
      <c r="J368" s="119">
        <v>1</v>
      </c>
      <c r="K368" s="123" t="s">
        <v>2618</v>
      </c>
      <c r="L368" s="22">
        <v>0</v>
      </c>
      <c r="M368" s="22">
        <v>1</v>
      </c>
      <c r="N368" s="125">
        <v>0</v>
      </c>
      <c r="O368" s="22">
        <v>0</v>
      </c>
      <c r="P368" s="22">
        <v>-1</v>
      </c>
      <c r="Q368" s="22" t="s">
        <v>29</v>
      </c>
      <c r="R368" s="22" t="s">
        <v>30</v>
      </c>
      <c r="S368" s="134"/>
      <c r="T368" s="22">
        <v>0</v>
      </c>
      <c r="U368" s="22">
        <v>0</v>
      </c>
      <c r="V368" s="22">
        <v>0</v>
      </c>
      <c r="W368" s="23"/>
      <c r="X368" s="23"/>
      <c r="Y368" s="23"/>
    </row>
    <row r="369" spans="1:25" ht="14.4">
      <c r="A369" s="135">
        <v>1</v>
      </c>
      <c r="B369" s="155" t="s">
        <v>2619</v>
      </c>
      <c r="C369" s="137">
        <v>369</v>
      </c>
      <c r="D369" s="138">
        <v>9</v>
      </c>
      <c r="E369" s="154">
        <v>43652</v>
      </c>
      <c r="F369" s="139" t="str">
        <f>HYPERLINK("https://senggang.republika.co.id/berita/senggang/blitz/psph04414/r-kelly-sangkal-seluruh-tuduhan-pelecehan-seksual ","sumber")</f>
        <v>sumber</v>
      </c>
      <c r="G369" s="139" t="str">
        <f t="shared" si="0"/>
        <v>lokasi</v>
      </c>
      <c r="H369" s="136">
        <v>296</v>
      </c>
      <c r="I369" s="137">
        <v>1</v>
      </c>
      <c r="J369" s="138">
        <v>1</v>
      </c>
      <c r="K369" s="140" t="s">
        <v>2620</v>
      </c>
      <c r="L369" s="137">
        <v>0</v>
      </c>
      <c r="M369" s="137">
        <v>-1</v>
      </c>
      <c r="N369" s="141">
        <v>0</v>
      </c>
      <c r="O369" s="137">
        <v>0</v>
      </c>
      <c r="P369" s="137">
        <v>0</v>
      </c>
      <c r="Q369" s="137">
        <v>0</v>
      </c>
      <c r="R369" s="137">
        <v>0</v>
      </c>
      <c r="S369" s="142"/>
      <c r="T369" s="137">
        <v>0</v>
      </c>
      <c r="U369" s="137">
        <v>0</v>
      </c>
      <c r="V369" s="137">
        <v>0</v>
      </c>
      <c r="W369" s="143"/>
      <c r="X369" s="143"/>
      <c r="Y369" s="143"/>
    </row>
    <row r="370" spans="1:25" ht="14.4">
      <c r="A370" s="117">
        <v>1</v>
      </c>
      <c r="B370" s="118" t="s">
        <v>2621</v>
      </c>
      <c r="C370" s="22">
        <v>370</v>
      </c>
      <c r="D370" s="119">
        <v>10</v>
      </c>
      <c r="E370" s="119" t="s">
        <v>2622</v>
      </c>
      <c r="F370" s="121" t="str">
        <f>HYPERLINK("https://dunia.tempo.co/read/1238854/terpidana-360-tahun-penjara-dibebaskan-jubir-duterte-dicurigai ","sumber")</f>
        <v>sumber</v>
      </c>
      <c r="G370" s="121" t="str">
        <f t="shared" si="0"/>
        <v>lokasi</v>
      </c>
      <c r="H370" s="118">
        <v>221</v>
      </c>
      <c r="I370" s="22">
        <v>1</v>
      </c>
      <c r="J370" s="119">
        <v>1</v>
      </c>
      <c r="K370" s="123" t="s">
        <v>2623</v>
      </c>
      <c r="L370" s="22">
        <v>0</v>
      </c>
      <c r="M370" s="22">
        <v>1</v>
      </c>
      <c r="N370" s="125">
        <v>0</v>
      </c>
      <c r="O370" s="22">
        <v>0</v>
      </c>
      <c r="P370" s="22">
        <v>0</v>
      </c>
      <c r="Q370" s="22">
        <v>0</v>
      </c>
      <c r="R370" s="22">
        <v>0</v>
      </c>
      <c r="S370" s="134"/>
      <c r="T370" s="22">
        <v>0</v>
      </c>
      <c r="U370" s="22">
        <v>0</v>
      </c>
      <c r="V370" s="22">
        <v>0</v>
      </c>
      <c r="W370" s="23"/>
      <c r="X370" s="23"/>
      <c r="Y370" s="23"/>
    </row>
    <row r="371" spans="1:25" ht="14.4">
      <c r="A371" s="117">
        <v>1</v>
      </c>
      <c r="B371" s="118" t="s">
        <v>2624</v>
      </c>
      <c r="C371" s="22">
        <v>371</v>
      </c>
      <c r="D371" s="119">
        <v>6</v>
      </c>
      <c r="E371" s="119" t="s">
        <v>274</v>
      </c>
      <c r="F371" s="121" t="str">
        <f>HYPERLINK("https://regional.kompas.com/read/2019/08/25/21300591/pemerkosa-9-anak-dapat-hukuman-kebiri-kimia-dan-baru-pertama-di-mojokerto ","sumber")</f>
        <v>sumber</v>
      </c>
      <c r="G371" s="121" t="str">
        <f t="shared" si="0"/>
        <v>lokasi</v>
      </c>
      <c r="H371" s="118">
        <v>203</v>
      </c>
      <c r="I371" s="22">
        <v>1</v>
      </c>
      <c r="J371" s="119">
        <v>1</v>
      </c>
      <c r="K371" s="123" t="s">
        <v>2625</v>
      </c>
      <c r="L371" s="22">
        <v>0</v>
      </c>
      <c r="M371" s="22">
        <v>1</v>
      </c>
      <c r="N371" s="125">
        <v>0</v>
      </c>
      <c r="O371" s="22">
        <v>0</v>
      </c>
      <c r="P371" s="22">
        <v>0</v>
      </c>
      <c r="Q371" s="22">
        <v>0</v>
      </c>
      <c r="R371" s="22">
        <v>0</v>
      </c>
      <c r="S371" s="134"/>
      <c r="T371" s="22">
        <v>0</v>
      </c>
      <c r="U371" s="22">
        <v>0</v>
      </c>
      <c r="V371" s="22">
        <v>0</v>
      </c>
      <c r="W371" s="23"/>
      <c r="X371" s="23"/>
      <c r="Y371" s="23"/>
    </row>
    <row r="372" spans="1:25" ht="14.4">
      <c r="A372" s="117">
        <v>1</v>
      </c>
      <c r="B372" s="118" t="s">
        <v>2626</v>
      </c>
      <c r="C372" s="22">
        <v>372</v>
      </c>
      <c r="D372" s="119">
        <v>3</v>
      </c>
      <c r="E372" s="119" t="s">
        <v>278</v>
      </c>
      <c r="F372" s="121" t="str">
        <f>HYPERLINK("https://news.okezone.com/read/2019/08/26/340/2096884/diduga-lecehkan-wanita-muda-wakil-ketua-dprd-sulut-dipolisikan ","sumber")</f>
        <v>sumber</v>
      </c>
      <c r="G372" s="121" t="str">
        <f t="shared" si="0"/>
        <v>lokasi</v>
      </c>
      <c r="H372" s="118">
        <v>511</v>
      </c>
      <c r="I372" s="22">
        <v>1</v>
      </c>
      <c r="J372" s="119">
        <v>1</v>
      </c>
      <c r="K372" s="123" t="s">
        <v>2627</v>
      </c>
      <c r="L372" s="22">
        <v>0</v>
      </c>
      <c r="M372" s="22">
        <v>1</v>
      </c>
      <c r="N372" s="125">
        <v>0</v>
      </c>
      <c r="O372" s="22">
        <v>0</v>
      </c>
      <c r="P372" s="22">
        <v>0</v>
      </c>
      <c r="Q372" s="22" t="s">
        <v>29</v>
      </c>
      <c r="R372" s="22" t="s">
        <v>53</v>
      </c>
      <c r="S372" s="134"/>
      <c r="T372" s="22">
        <v>0</v>
      </c>
      <c r="U372" s="22">
        <v>0</v>
      </c>
      <c r="V372" s="22">
        <v>0</v>
      </c>
      <c r="W372" s="23"/>
      <c r="X372" s="23"/>
      <c r="Y372" s="23"/>
    </row>
    <row r="373" spans="1:25" ht="14.4">
      <c r="A373" s="117">
        <v>1</v>
      </c>
      <c r="B373" s="118" t="s">
        <v>2628</v>
      </c>
      <c r="C373" s="22">
        <v>373</v>
      </c>
      <c r="D373" s="119">
        <v>10</v>
      </c>
      <c r="E373" s="119" t="s">
        <v>2444</v>
      </c>
      <c r="F373" s="121" t="str">
        <f>HYPERLINK("https://dunia.tempo.co/read/1241335/30-penyintas-bersaksi-atas-kejahatan-seks-miliarder-as-epstein ","sumber")</f>
        <v>sumber</v>
      </c>
      <c r="G373" s="121" t="str">
        <f t="shared" si="0"/>
        <v>lokasi</v>
      </c>
      <c r="H373" s="118">
        <v>261</v>
      </c>
      <c r="I373" s="22">
        <v>1</v>
      </c>
      <c r="J373" s="119">
        <v>1</v>
      </c>
      <c r="K373" s="123"/>
      <c r="L373" s="22">
        <v>0</v>
      </c>
      <c r="M373" s="147">
        <v>0</v>
      </c>
      <c r="N373" s="125">
        <v>0</v>
      </c>
      <c r="O373" s="22">
        <v>0</v>
      </c>
      <c r="P373" s="22">
        <v>0</v>
      </c>
      <c r="Q373" s="22"/>
      <c r="R373" s="22"/>
      <c r="S373" s="134"/>
      <c r="T373" s="22">
        <v>0</v>
      </c>
      <c r="U373" s="22">
        <v>0</v>
      </c>
      <c r="V373" s="22">
        <v>0</v>
      </c>
      <c r="W373" s="23"/>
      <c r="X373" s="23"/>
      <c r="Y373" s="23"/>
    </row>
    <row r="374" spans="1:25" ht="14.4">
      <c r="A374" s="117">
        <v>1</v>
      </c>
      <c r="B374" s="118" t="s">
        <v>2629</v>
      </c>
      <c r="C374" s="22">
        <v>374</v>
      </c>
      <c r="D374" s="119">
        <v>4</v>
      </c>
      <c r="E374" s="119" t="s">
        <v>2630</v>
      </c>
      <c r="F374" s="121" t="str">
        <f>HYPERLINK("https://www.liputan6.com/bola/read/4050607/ancam-tembak-mantan-pacar-bintang-nba-berurusan-dengan-polisi ","sumber")</f>
        <v>sumber</v>
      </c>
      <c r="G374" s="121" t="str">
        <f t="shared" si="0"/>
        <v>lokasi</v>
      </c>
      <c r="H374" s="118">
        <v>192</v>
      </c>
      <c r="I374" s="22">
        <v>1</v>
      </c>
      <c r="J374" s="119">
        <v>1</v>
      </c>
      <c r="K374" s="123"/>
      <c r="L374" s="22">
        <v>0</v>
      </c>
      <c r="M374" s="147">
        <v>0</v>
      </c>
      <c r="N374" s="125">
        <v>0</v>
      </c>
      <c r="O374" s="22">
        <v>0</v>
      </c>
      <c r="P374" s="22">
        <v>0</v>
      </c>
      <c r="Q374" s="22"/>
      <c r="R374" s="22"/>
      <c r="S374" s="134"/>
      <c r="T374" s="22">
        <v>0</v>
      </c>
      <c r="U374" s="22">
        <v>0</v>
      </c>
      <c r="V374" s="22">
        <v>0</v>
      </c>
      <c r="W374" s="23"/>
      <c r="X374" s="23"/>
      <c r="Y374" s="23"/>
    </row>
    <row r="375" spans="1:25" ht="14.4">
      <c r="A375" s="117">
        <v>1</v>
      </c>
      <c r="B375" s="118" t="s">
        <v>2631</v>
      </c>
      <c r="C375" s="22">
        <v>375</v>
      </c>
      <c r="D375" s="119">
        <v>6</v>
      </c>
      <c r="E375" s="119" t="s">
        <v>2060</v>
      </c>
      <c r="F375" s="121" t="str">
        <f>HYPERLINK("https://regional.kompas.com/read/2019/08/31/19253721/polisi-minta-video-bocah-10-tahun-korban-pencabulan-di-bogor-tidak ","sumber")</f>
        <v>sumber</v>
      </c>
      <c r="G375" s="121" t="str">
        <f t="shared" si="0"/>
        <v>lokasi</v>
      </c>
      <c r="H375" s="118">
        <v>261</v>
      </c>
      <c r="I375" s="22">
        <v>1</v>
      </c>
      <c r="J375" s="119">
        <v>1</v>
      </c>
      <c r="K375" s="123" t="s">
        <v>2632</v>
      </c>
      <c r="L375" s="22">
        <v>0</v>
      </c>
      <c r="M375" s="22">
        <v>-1</v>
      </c>
      <c r="N375" s="125">
        <v>0</v>
      </c>
      <c r="O375" s="22">
        <v>-1</v>
      </c>
      <c r="P375" s="22">
        <v>0</v>
      </c>
      <c r="Q375" s="22">
        <v>0</v>
      </c>
      <c r="R375" s="22">
        <v>0</v>
      </c>
      <c r="S375" s="134"/>
      <c r="T375" s="22">
        <v>0</v>
      </c>
      <c r="U375" s="22">
        <v>0</v>
      </c>
      <c r="V375" s="22">
        <v>0</v>
      </c>
      <c r="W375" s="23"/>
      <c r="X375" s="23"/>
      <c r="Y375" s="23"/>
    </row>
    <row r="376" spans="1:25" ht="14.4">
      <c r="A376" s="117">
        <v>1</v>
      </c>
      <c r="B376" s="118" t="s">
        <v>2633</v>
      </c>
      <c r="C376" s="22">
        <v>376</v>
      </c>
      <c r="D376" s="119">
        <v>6</v>
      </c>
      <c r="E376" s="120">
        <v>43505</v>
      </c>
      <c r="F376" s="121" t="str">
        <f>HYPERLINK("https://nasional.kompas.com/read/2019/09/02/17133371/menteri-pppa-desak-dpr-sahkan-ruu-pks-bulan-ini ","sumber")</f>
        <v>sumber</v>
      </c>
      <c r="G376" s="121" t="str">
        <f t="shared" si="0"/>
        <v>lokasi</v>
      </c>
      <c r="H376" s="118">
        <v>281</v>
      </c>
      <c r="I376" s="22">
        <v>4</v>
      </c>
      <c r="J376" s="119">
        <v>1</v>
      </c>
      <c r="K376" s="123" t="s">
        <v>2634</v>
      </c>
      <c r="L376" s="22">
        <v>0</v>
      </c>
      <c r="M376" s="22">
        <v>0</v>
      </c>
      <c r="N376" s="125">
        <v>0</v>
      </c>
      <c r="O376" s="22">
        <v>0</v>
      </c>
      <c r="P376" s="22">
        <v>0</v>
      </c>
      <c r="Q376" s="22">
        <v>0</v>
      </c>
      <c r="R376" s="22">
        <v>1</v>
      </c>
      <c r="S376" s="134"/>
      <c r="T376" s="22">
        <v>0</v>
      </c>
      <c r="U376" s="22">
        <v>0</v>
      </c>
      <c r="V376" s="22">
        <v>1</v>
      </c>
      <c r="W376" s="23"/>
      <c r="X376" s="23"/>
      <c r="Y376" s="23"/>
    </row>
    <row r="377" spans="1:25" ht="14.4">
      <c r="A377" s="117">
        <v>1</v>
      </c>
      <c r="B377" s="118" t="s">
        <v>2635</v>
      </c>
      <c r="C377" s="22">
        <v>377</v>
      </c>
      <c r="D377" s="119">
        <v>5</v>
      </c>
      <c r="E377" s="120">
        <v>43505</v>
      </c>
      <c r="F377" s="121" t="str">
        <f>HYPERLINK("https://tirto.id/pembahasan-ruu-pks-ditunda-lagi-dpr-dinilai-tak-serius-ehoc ","sumber")</f>
        <v>sumber</v>
      </c>
      <c r="G377" s="121" t="str">
        <f t="shared" si="0"/>
        <v>lokasi</v>
      </c>
      <c r="H377" s="118">
        <v>420</v>
      </c>
      <c r="I377" s="22">
        <v>4</v>
      </c>
      <c r="J377" s="119">
        <v>1</v>
      </c>
      <c r="K377" s="123" t="s">
        <v>2636</v>
      </c>
      <c r="L377" s="22">
        <v>0</v>
      </c>
      <c r="M377" s="22">
        <v>0</v>
      </c>
      <c r="N377" s="125">
        <v>0</v>
      </c>
      <c r="O377" s="22">
        <v>0</v>
      </c>
      <c r="P377" s="22">
        <v>0</v>
      </c>
      <c r="Q377" s="22" t="s">
        <v>68</v>
      </c>
      <c r="R377" s="22" t="s">
        <v>68</v>
      </c>
      <c r="S377" s="134"/>
      <c r="T377" s="22">
        <v>0</v>
      </c>
      <c r="U377" s="22">
        <v>0</v>
      </c>
      <c r="V377" s="22">
        <v>1</v>
      </c>
      <c r="W377" s="23"/>
      <c r="X377" s="23"/>
      <c r="Y377" s="23"/>
    </row>
    <row r="378" spans="1:25" ht="14.4">
      <c r="A378" s="117">
        <v>1</v>
      </c>
      <c r="B378" s="118" t="s">
        <v>2637</v>
      </c>
      <c r="C378" s="22">
        <v>378</v>
      </c>
      <c r="D378" s="119">
        <v>6</v>
      </c>
      <c r="E378" s="120">
        <v>43533</v>
      </c>
      <c r="F378" s="121" t="str">
        <f>HYPERLINK("https://nasional.kompas.com/read/2019/09/03/20541931/korban-pelecehan-berencana-laporakan-lagi-mantan-anggota-dewas-bpjs-tk-ke ","sumber")</f>
        <v>sumber</v>
      </c>
      <c r="G378" s="121" t="str">
        <f t="shared" si="0"/>
        <v>lokasi</v>
      </c>
      <c r="H378" s="118">
        <v>204</v>
      </c>
      <c r="I378" s="22">
        <v>1</v>
      </c>
      <c r="J378" s="119">
        <v>1</v>
      </c>
      <c r="K378" s="123" t="s">
        <v>2638</v>
      </c>
      <c r="L378" s="22">
        <v>0</v>
      </c>
      <c r="M378" s="22">
        <v>1</v>
      </c>
      <c r="N378" s="125">
        <v>0</v>
      </c>
      <c r="O378" s="22">
        <v>1</v>
      </c>
      <c r="P378" s="22">
        <v>0</v>
      </c>
      <c r="Q378" s="22">
        <v>0</v>
      </c>
      <c r="R378" s="22">
        <v>1</v>
      </c>
      <c r="S378" s="134"/>
      <c r="T378" s="22">
        <v>0</v>
      </c>
      <c r="U378" s="22">
        <v>0</v>
      </c>
      <c r="V378" s="22">
        <v>0</v>
      </c>
      <c r="W378" s="23"/>
      <c r="X378" s="23"/>
      <c r="Y378" s="23"/>
    </row>
    <row r="379" spans="1:25" ht="14.4">
      <c r="A379" s="111">
        <v>2</v>
      </c>
      <c r="B379" s="112" t="s">
        <v>2639</v>
      </c>
      <c r="C379" s="25">
        <v>379</v>
      </c>
      <c r="D379" s="113">
        <v>8</v>
      </c>
      <c r="E379" s="114">
        <v>43533</v>
      </c>
      <c r="F379" s="115" t="str">
        <f>HYPERLINK("https://jatim.suara.com/read/2019/09/03/163622/syamsul-minta-maaf-tapi-tetap-tuduh-mahasiswa-papua-buang-bendera ","sumber")</f>
        <v>sumber</v>
      </c>
      <c r="G379" s="115" t="str">
        <f t="shared" si="0"/>
        <v>lokasi</v>
      </c>
      <c r="H379" s="112">
        <v>285</v>
      </c>
      <c r="I379" s="26"/>
      <c r="J379" s="113">
        <v>1</v>
      </c>
      <c r="K379" s="124"/>
      <c r="L379" s="26"/>
      <c r="M379" s="26"/>
      <c r="N379" s="26"/>
      <c r="O379" s="26"/>
      <c r="P379" s="26"/>
      <c r="Q379" s="26"/>
      <c r="R379" s="26"/>
      <c r="S379" s="124"/>
      <c r="T379" s="26"/>
      <c r="U379" s="26"/>
      <c r="V379" s="26"/>
      <c r="W379" s="26"/>
      <c r="X379" s="26"/>
      <c r="Y379" s="26"/>
    </row>
    <row r="380" spans="1:25" ht="14.4">
      <c r="A380" s="117">
        <v>1</v>
      </c>
      <c r="B380" s="118" t="s">
        <v>2640</v>
      </c>
      <c r="C380" s="22">
        <v>380</v>
      </c>
      <c r="D380" s="119">
        <v>4</v>
      </c>
      <c r="E380" s="120">
        <v>43564</v>
      </c>
      <c r="F380" s="121" t="str">
        <f>HYPERLINK("https://www.liputan6.com/news/read/4054299/prostitusi-online-yang-sediakan-jasa-threesome-di-serang-terkuak ","sumber")</f>
        <v>sumber</v>
      </c>
      <c r="G380" s="121" t="str">
        <f t="shared" si="0"/>
        <v>lokasi</v>
      </c>
      <c r="H380" s="118">
        <v>299</v>
      </c>
      <c r="I380" s="22">
        <v>1</v>
      </c>
      <c r="J380" s="119">
        <v>1</v>
      </c>
      <c r="K380" s="123" t="s">
        <v>2641</v>
      </c>
      <c r="L380" s="22">
        <v>0</v>
      </c>
      <c r="M380" s="22">
        <v>-1</v>
      </c>
      <c r="N380" s="125">
        <v>0</v>
      </c>
      <c r="O380" s="22">
        <v>0</v>
      </c>
      <c r="P380" s="22">
        <v>-1</v>
      </c>
      <c r="Q380" s="22" t="s">
        <v>29</v>
      </c>
      <c r="R380" s="22" t="s">
        <v>53</v>
      </c>
      <c r="S380" s="134"/>
      <c r="T380" s="22">
        <v>0</v>
      </c>
      <c r="U380" s="22">
        <v>0</v>
      </c>
      <c r="V380" s="22">
        <v>0</v>
      </c>
      <c r="W380" s="23"/>
      <c r="X380" s="23"/>
      <c r="Y380" s="23"/>
    </row>
    <row r="381" spans="1:25" ht="14.4">
      <c r="A381" s="135">
        <v>1</v>
      </c>
      <c r="B381" s="155" t="s">
        <v>2642</v>
      </c>
      <c r="C381" s="137">
        <v>381</v>
      </c>
      <c r="D381" s="138">
        <v>10</v>
      </c>
      <c r="E381" s="154">
        <v>43564</v>
      </c>
      <c r="F381" s="139" t="str">
        <f>HYPERLINK("https://metro.tempo.co/read/1243578/polisi-tangkap-pelaku-pemerkosaan-siswi-sd-di-gunungputri ","sumber")</f>
        <v>sumber</v>
      </c>
      <c r="G381" s="139" t="str">
        <f t="shared" si="0"/>
        <v>lokasi</v>
      </c>
      <c r="H381" s="136">
        <v>271</v>
      </c>
      <c r="I381" s="137">
        <v>1</v>
      </c>
      <c r="J381" s="138">
        <v>1</v>
      </c>
      <c r="K381" s="140" t="s">
        <v>2643</v>
      </c>
      <c r="L381" s="137">
        <v>0</v>
      </c>
      <c r="M381" s="137">
        <v>-1</v>
      </c>
      <c r="N381" s="141">
        <v>0</v>
      </c>
      <c r="O381" s="137">
        <v>0</v>
      </c>
      <c r="P381" s="137">
        <v>0</v>
      </c>
      <c r="Q381" s="137">
        <v>0</v>
      </c>
      <c r="R381" s="137">
        <v>0</v>
      </c>
      <c r="S381" s="142"/>
      <c r="T381" s="137">
        <v>0</v>
      </c>
      <c r="U381" s="137">
        <v>0</v>
      </c>
      <c r="V381" s="137">
        <v>0</v>
      </c>
      <c r="W381" s="143"/>
      <c r="X381" s="143"/>
      <c r="Y381" s="143"/>
    </row>
    <row r="382" spans="1:25" ht="14.4">
      <c r="A382" s="117">
        <v>1</v>
      </c>
      <c r="B382" s="118" t="s">
        <v>2644</v>
      </c>
      <c r="C382" s="22">
        <v>382</v>
      </c>
      <c r="D382" s="119">
        <v>7</v>
      </c>
      <c r="E382" s="120">
        <v>43564</v>
      </c>
      <c r="F382" s="121" t="str">
        <f>HYPERLINK("https://www.tribunnews.com/regional/2019/09/04/duh-mucikari-jadikan-gadis-ini-atm-sehari-layani-5-lelaki-hidung-belang-dengan-tarif-rp-200-ribu ","sumber")</f>
        <v>sumber</v>
      </c>
      <c r="G382" s="121" t="str">
        <f t="shared" si="0"/>
        <v>lokasi</v>
      </c>
      <c r="H382" s="118">
        <v>257</v>
      </c>
      <c r="I382" s="22">
        <v>1</v>
      </c>
      <c r="J382" s="119">
        <v>1</v>
      </c>
      <c r="K382" s="123" t="s">
        <v>2645</v>
      </c>
      <c r="L382" s="22">
        <v>0</v>
      </c>
      <c r="M382" s="22">
        <v>-1</v>
      </c>
      <c r="N382" s="125">
        <v>0</v>
      </c>
      <c r="O382" s="22">
        <v>-1</v>
      </c>
      <c r="P382" s="22">
        <v>-1</v>
      </c>
      <c r="Q382" s="22" t="s">
        <v>29</v>
      </c>
      <c r="R382" s="22" t="s">
        <v>29</v>
      </c>
      <c r="S382" s="123" t="s">
        <v>2646</v>
      </c>
      <c r="T382" s="22">
        <v>3</v>
      </c>
      <c r="U382" s="22">
        <v>-1</v>
      </c>
      <c r="V382" s="22">
        <v>0</v>
      </c>
      <c r="W382" s="23"/>
      <c r="X382" s="23"/>
      <c r="Y382" s="23"/>
    </row>
    <row r="383" spans="1:25" ht="14.4">
      <c r="A383" s="135">
        <v>1</v>
      </c>
      <c r="B383" s="155" t="s">
        <v>2647</v>
      </c>
      <c r="C383" s="137">
        <v>383</v>
      </c>
      <c r="D383" s="138">
        <v>8</v>
      </c>
      <c r="E383" s="154">
        <v>43505</v>
      </c>
      <c r="F383" s="139" t="str">
        <f>HYPERLINK("https://banten.suara.com/read/2019/09/02/201542/hasil-forensik-gadis-baduy-dokter-ada-bekas-kekerasan-tumpul-pada-kelamin ","sumber")</f>
        <v>sumber</v>
      </c>
      <c r="G383" s="139" t="str">
        <f t="shared" si="0"/>
        <v>lokasi</v>
      </c>
      <c r="H383" s="136">
        <v>173</v>
      </c>
      <c r="I383" s="137">
        <v>1</v>
      </c>
      <c r="J383" s="138">
        <v>1</v>
      </c>
      <c r="K383" s="140" t="s">
        <v>2648</v>
      </c>
      <c r="L383" s="137">
        <v>0</v>
      </c>
      <c r="M383" s="137">
        <v>1</v>
      </c>
      <c r="N383" s="141">
        <v>0</v>
      </c>
      <c r="O383" s="137">
        <v>0</v>
      </c>
      <c r="P383" s="137">
        <v>0</v>
      </c>
      <c r="Q383" s="137" t="s">
        <v>29</v>
      </c>
      <c r="R383" s="137" t="s">
        <v>29</v>
      </c>
      <c r="S383" s="142"/>
      <c r="T383" s="137">
        <v>0</v>
      </c>
      <c r="U383" s="137">
        <v>-1</v>
      </c>
      <c r="V383" s="137">
        <v>0</v>
      </c>
      <c r="W383" s="143"/>
      <c r="X383" s="143"/>
      <c r="Y383" s="137"/>
    </row>
    <row r="384" spans="1:25" ht="14.4">
      <c r="A384" s="117">
        <v>1</v>
      </c>
      <c r="B384" s="118" t="s">
        <v>2649</v>
      </c>
      <c r="C384" s="22">
        <v>384</v>
      </c>
      <c r="D384" s="119">
        <v>8</v>
      </c>
      <c r="E384" s="119" t="s">
        <v>2650</v>
      </c>
      <c r="F384" s="121" t="str">
        <f>HYPERLINK("https://jabar.suara.com/read/2019/09/25/130931/geruduk-dprd-jabar-massa-lintas-iman-sebut-fpi-ormas-anti-ruu-pks ","sumber")</f>
        <v>sumber</v>
      </c>
      <c r="G384" s="121" t="str">
        <f t="shared" si="0"/>
        <v>lokasi</v>
      </c>
      <c r="H384" s="118">
        <v>522</v>
      </c>
      <c r="I384" s="22">
        <v>4</v>
      </c>
      <c r="J384" s="119">
        <v>1</v>
      </c>
      <c r="K384" s="123" t="s">
        <v>2651</v>
      </c>
      <c r="L384" s="22">
        <v>0</v>
      </c>
      <c r="M384" s="22">
        <v>0</v>
      </c>
      <c r="N384" s="125">
        <v>0</v>
      </c>
      <c r="O384" s="22">
        <v>0</v>
      </c>
      <c r="P384" s="22">
        <v>0</v>
      </c>
      <c r="Q384" s="22">
        <v>0</v>
      </c>
      <c r="R384" s="22">
        <v>1</v>
      </c>
      <c r="S384" s="134"/>
      <c r="T384" s="22">
        <v>0</v>
      </c>
      <c r="U384" s="22">
        <v>0</v>
      </c>
      <c r="V384" s="22">
        <v>1</v>
      </c>
      <c r="W384" s="23"/>
      <c r="X384" s="23"/>
      <c r="Y384" s="23"/>
    </row>
    <row r="385" spans="1:25" ht="14.4">
      <c r="A385" s="117">
        <v>1</v>
      </c>
      <c r="B385" s="118" t="s">
        <v>2652</v>
      </c>
      <c r="C385" s="22">
        <v>385</v>
      </c>
      <c r="D385" s="119">
        <v>7</v>
      </c>
      <c r="E385" s="119" t="s">
        <v>305</v>
      </c>
      <c r="F385" s="121" t="str">
        <f>HYPERLINK("https://www.tribunnews.com/nasional/2019/09/26/ketua-dpr-pastikan-pengesahan-ruu-pks-ditunda ","sumber")</f>
        <v>sumber</v>
      </c>
      <c r="G385" s="121" t="str">
        <f t="shared" si="0"/>
        <v>lokasi</v>
      </c>
      <c r="H385" s="118">
        <v>201</v>
      </c>
      <c r="I385" s="22">
        <v>4</v>
      </c>
      <c r="J385" s="119">
        <v>1</v>
      </c>
      <c r="K385" s="123" t="s">
        <v>348</v>
      </c>
      <c r="L385" s="22">
        <v>0</v>
      </c>
      <c r="M385" s="22">
        <v>0</v>
      </c>
      <c r="N385" s="125">
        <v>0</v>
      </c>
      <c r="O385" s="22">
        <v>0</v>
      </c>
      <c r="P385" s="22">
        <v>0</v>
      </c>
      <c r="Q385" s="22">
        <v>0</v>
      </c>
      <c r="R385" s="22">
        <v>0</v>
      </c>
      <c r="S385" s="134"/>
      <c r="T385" s="22">
        <v>0</v>
      </c>
      <c r="U385" s="22">
        <v>0</v>
      </c>
      <c r="V385" s="22">
        <v>1</v>
      </c>
      <c r="W385" s="23"/>
      <c r="X385" s="23"/>
      <c r="Y385" s="23"/>
    </row>
    <row r="386" spans="1:25" ht="14.4">
      <c r="A386" s="117">
        <v>1</v>
      </c>
      <c r="B386" s="118" t="s">
        <v>2653</v>
      </c>
      <c r="C386" s="22">
        <v>386</v>
      </c>
      <c r="D386" s="119">
        <v>1</v>
      </c>
      <c r="E386" s="119" t="s">
        <v>649</v>
      </c>
      <c r="F386" s="121" t="str">
        <f>HYPERLINK("https://news.detik.com/berita-jawa-timur/d-4725549/mahasiswinya-buat-laporan-palsu-ngaku-diperkosa-ini-sikap-ub ","sumber")</f>
        <v>sumber</v>
      </c>
      <c r="G386" s="121" t="str">
        <f t="shared" si="0"/>
        <v>lokasi</v>
      </c>
      <c r="H386" s="118">
        <v>235</v>
      </c>
      <c r="I386" s="22">
        <v>1</v>
      </c>
      <c r="J386" s="119">
        <v>1</v>
      </c>
      <c r="K386" s="123" t="s">
        <v>2654</v>
      </c>
      <c r="L386" s="22">
        <v>0</v>
      </c>
      <c r="M386" s="22">
        <v>1</v>
      </c>
      <c r="N386" s="125">
        <v>0</v>
      </c>
      <c r="O386" s="22">
        <v>0</v>
      </c>
      <c r="P386" s="22">
        <v>-1</v>
      </c>
      <c r="Q386" s="22" t="s">
        <v>29</v>
      </c>
      <c r="R386" s="22" t="s">
        <v>29</v>
      </c>
      <c r="S386" s="134"/>
      <c r="T386" s="22">
        <v>0</v>
      </c>
      <c r="U386" s="22">
        <v>0</v>
      </c>
      <c r="V386" s="22">
        <v>0</v>
      </c>
      <c r="W386" s="23"/>
      <c r="X386" s="23"/>
      <c r="Y386" s="23"/>
    </row>
    <row r="387" spans="1:25" ht="14.4">
      <c r="A387" s="111">
        <v>2</v>
      </c>
      <c r="B387" s="112" t="s">
        <v>2655</v>
      </c>
      <c r="C387" s="25">
        <v>387</v>
      </c>
      <c r="D387" s="113">
        <v>5</v>
      </c>
      <c r="E387" s="113" t="s">
        <v>2656</v>
      </c>
      <c r="F387" s="115" t="str">
        <f>HYPERLINK("https://tirto.id/kontras-demo-mujahid-212-dengan-aksi-mahasiswa-eiUo ","sumber")</f>
        <v>sumber</v>
      </c>
      <c r="G387" s="115" t="str">
        <f t="shared" si="0"/>
        <v>lokasi</v>
      </c>
      <c r="H387" s="112">
        <v>631</v>
      </c>
      <c r="I387" s="26"/>
      <c r="J387" s="113">
        <v>1</v>
      </c>
      <c r="K387" s="124"/>
      <c r="L387" s="26"/>
      <c r="M387" s="26"/>
      <c r="N387" s="26"/>
      <c r="O387" s="26"/>
      <c r="P387" s="26"/>
      <c r="Q387" s="26"/>
      <c r="R387" s="26"/>
      <c r="S387" s="124"/>
      <c r="T387" s="26"/>
      <c r="U387" s="26"/>
      <c r="V387" s="26"/>
      <c r="W387" s="26"/>
      <c r="X387" s="26"/>
      <c r="Y387" s="25"/>
    </row>
    <row r="388" spans="1:25" ht="14.4">
      <c r="A388" s="135">
        <v>1</v>
      </c>
      <c r="B388" s="136" t="s">
        <v>0</v>
      </c>
      <c r="C388" s="137">
        <v>388</v>
      </c>
      <c r="D388" s="173" t="s">
        <v>2657</v>
      </c>
      <c r="E388" s="174">
        <v>43900</v>
      </c>
      <c r="F388" s="175" t="str">
        <f>HYPERLINK("https://www.liputan6.com/regional/read/3865651/lbh-bandung-protes-pembubaran-acara-peluncuran-buku-jemaah-ahmadiyah","Sumber")</f>
        <v>Sumber</v>
      </c>
      <c r="G388" s="175" t="str">
        <f>HYPERLINK("https://drive.google.com/open?id=19U5mXMQvRwIAI8Qxot8jJ9wF8f1zgeq-","Lokasi")</f>
        <v>Lokasi</v>
      </c>
      <c r="H388" s="138">
        <v>293</v>
      </c>
      <c r="I388" s="144">
        <v>1</v>
      </c>
      <c r="J388" s="144">
        <v>4</v>
      </c>
      <c r="K388" s="176" t="s">
        <v>2658</v>
      </c>
      <c r="L388" s="144">
        <v>0</v>
      </c>
      <c r="M388" s="144">
        <v>0</v>
      </c>
      <c r="N388" s="177">
        <v>0</v>
      </c>
      <c r="O388" s="144">
        <v>0</v>
      </c>
      <c r="P388" s="144">
        <v>0</v>
      </c>
      <c r="Q388" s="144">
        <v>0</v>
      </c>
      <c r="R388" s="144">
        <v>1</v>
      </c>
      <c r="S388" s="178"/>
      <c r="T388" s="144">
        <v>0</v>
      </c>
      <c r="U388" s="144">
        <v>0</v>
      </c>
      <c r="V388" s="144">
        <v>1</v>
      </c>
      <c r="W388" s="145"/>
      <c r="X388" s="145"/>
      <c r="Y388" s="145"/>
    </row>
    <row r="389" spans="1:25" ht="13.2">
      <c r="A389" s="179">
        <v>2</v>
      </c>
      <c r="B389" s="180" t="s">
        <v>2659</v>
      </c>
      <c r="C389" s="25">
        <v>389</v>
      </c>
      <c r="D389" s="180" t="s">
        <v>2660</v>
      </c>
      <c r="E389" s="181">
        <v>43626</v>
      </c>
      <c r="F389" s="182" t="str">
        <f>HYPERLINK("https://www.cnnindonesia.com/internasional/20191006031847-120-437121/hari-kelima-demonstrasi-di-irak-total-94-orang-tewas ","Sumber")</f>
        <v>Sumber</v>
      </c>
      <c r="G389" s="21" t="s">
        <v>2661</v>
      </c>
      <c r="H389" s="180">
        <v>455</v>
      </c>
      <c r="I389" s="29"/>
      <c r="J389" s="29"/>
      <c r="K389" s="183"/>
      <c r="L389" s="29"/>
      <c r="M389" s="29"/>
      <c r="N389" s="29"/>
      <c r="O389" s="29"/>
      <c r="P389" s="29"/>
      <c r="Q389" s="29"/>
      <c r="R389" s="29"/>
      <c r="S389" s="183"/>
      <c r="T389" s="29"/>
      <c r="U389" s="29"/>
      <c r="V389" s="29"/>
      <c r="W389" s="29"/>
      <c r="X389" s="29"/>
      <c r="Y389" s="29"/>
    </row>
    <row r="390" spans="1:25" ht="13.8">
      <c r="A390" s="184">
        <v>1</v>
      </c>
      <c r="B390" s="185" t="s">
        <v>2662</v>
      </c>
      <c r="C390" s="22">
        <v>390</v>
      </c>
      <c r="D390" s="185" t="s">
        <v>2663</v>
      </c>
      <c r="E390" s="185" t="s">
        <v>2664</v>
      </c>
      <c r="F390" s="186" t="str">
        <f>HYPERLINK("https://jogja.suara.com/read/2019/11/13/205748/polda-diy-jelaskan-polemik-ritual-piodalan-peringati-wafatnya-ki-mangir ","Sumber")</f>
        <v>Sumber</v>
      </c>
      <c r="G390" s="186" t="str">
        <f>HYPERLINK("https://drive.google.com/open?id=1Re7U8G5aa2LYdfaD3fB4S98bKjHu5l2u","Lokasi")</f>
        <v>Lokasi</v>
      </c>
      <c r="H390" s="185">
        <v>220</v>
      </c>
      <c r="I390" s="30">
        <v>1</v>
      </c>
      <c r="J390" s="30">
        <v>4</v>
      </c>
      <c r="K390" s="187" t="s">
        <v>2665</v>
      </c>
      <c r="L390" s="30">
        <v>0</v>
      </c>
      <c r="M390" s="30">
        <v>-1</v>
      </c>
      <c r="N390" s="188">
        <v>0</v>
      </c>
      <c r="O390" s="30">
        <v>0</v>
      </c>
      <c r="P390" s="30">
        <v>0</v>
      </c>
      <c r="Q390" s="30">
        <v>0</v>
      </c>
      <c r="R390" s="30">
        <v>0</v>
      </c>
      <c r="S390" s="189"/>
      <c r="T390" s="30">
        <v>0</v>
      </c>
      <c r="U390" s="30">
        <v>0</v>
      </c>
      <c r="V390" s="30">
        <v>0</v>
      </c>
      <c r="W390" s="1"/>
      <c r="X390" s="1"/>
      <c r="Y390" s="1"/>
    </row>
    <row r="391" spans="1:25" ht="13.2">
      <c r="A391" s="179">
        <v>2</v>
      </c>
      <c r="B391" s="180" t="s">
        <v>2666</v>
      </c>
      <c r="C391" s="25">
        <v>391</v>
      </c>
      <c r="D391" s="180" t="s">
        <v>2667</v>
      </c>
      <c r="E391" s="180" t="s">
        <v>852</v>
      </c>
      <c r="F391" s="182" t="str">
        <f>HYPERLINK("https://kolom.tempo.co/read/1275144/keniscayaan-demokrasi-iran ","Sumber")</f>
        <v>Sumber</v>
      </c>
      <c r="G391" s="21" t="s">
        <v>2661</v>
      </c>
      <c r="H391" s="180">
        <v>637</v>
      </c>
      <c r="I391" s="29"/>
      <c r="J391" s="29"/>
      <c r="K391" s="183"/>
      <c r="L391" s="29"/>
      <c r="M391" s="29"/>
      <c r="N391" s="29"/>
      <c r="O391" s="29"/>
      <c r="P391" s="29"/>
      <c r="Q391" s="29"/>
      <c r="R391" s="29"/>
      <c r="S391" s="183"/>
      <c r="T391" s="29"/>
      <c r="U391" s="29"/>
      <c r="V391" s="29"/>
      <c r="W391" s="29"/>
      <c r="X391" s="29"/>
      <c r="Y391" s="29"/>
    </row>
    <row r="392" spans="1:25" ht="13.2">
      <c r="A392" s="179">
        <v>2</v>
      </c>
      <c r="B392" s="180" t="s">
        <v>2668</v>
      </c>
      <c r="C392" s="25">
        <v>392</v>
      </c>
      <c r="D392" s="180" t="s">
        <v>2669</v>
      </c>
      <c r="E392" s="180" t="s">
        <v>2670</v>
      </c>
      <c r="F392" s="182" t="str">
        <f>HYPERLINK("https://tirto.id/20-calon-anggota-komnas-perempuan-lolos-dari-tahap-wawancara-emaB ","Sumber")</f>
        <v>Sumber</v>
      </c>
      <c r="G392" s="21" t="s">
        <v>2661</v>
      </c>
      <c r="H392" s="180">
        <v>278</v>
      </c>
      <c r="I392" s="29"/>
      <c r="J392" s="29"/>
      <c r="K392" s="183"/>
      <c r="L392" s="29"/>
      <c r="M392" s="29"/>
      <c r="N392" s="29"/>
      <c r="O392" s="29"/>
      <c r="P392" s="29"/>
      <c r="Q392" s="29"/>
      <c r="R392" s="29"/>
      <c r="S392" s="183"/>
      <c r="T392" s="29"/>
      <c r="U392" s="29"/>
      <c r="V392" s="29"/>
      <c r="W392" s="29"/>
      <c r="X392" s="29"/>
      <c r="Y392" s="29"/>
    </row>
    <row r="393" spans="1:25" ht="13.2">
      <c r="A393" s="179">
        <v>2</v>
      </c>
      <c r="B393" s="180" t="s">
        <v>2671</v>
      </c>
      <c r="C393" s="25">
        <v>393</v>
      </c>
      <c r="D393" s="180" t="s">
        <v>2672</v>
      </c>
      <c r="E393" s="181">
        <v>43792</v>
      </c>
      <c r="F393" s="182" t="str">
        <f>HYPERLINK("https://republika.co.id/berita/q1f6fa423/bri-persiapkan-kaum-milenial-jadi-wirausaha ","Sumber")</f>
        <v>Sumber</v>
      </c>
      <c r="G393" s="21" t="s">
        <v>2661</v>
      </c>
      <c r="H393" s="180">
        <v>276</v>
      </c>
      <c r="I393" s="29"/>
      <c r="J393" s="29"/>
      <c r="K393" s="183"/>
      <c r="L393" s="29"/>
      <c r="M393" s="29"/>
      <c r="N393" s="29"/>
      <c r="O393" s="29"/>
      <c r="P393" s="29"/>
      <c r="Q393" s="29"/>
      <c r="R393" s="29"/>
      <c r="S393" s="183"/>
      <c r="T393" s="29"/>
      <c r="U393" s="29"/>
      <c r="V393" s="29"/>
      <c r="W393" s="29"/>
      <c r="X393" s="29"/>
      <c r="Y393" s="29"/>
    </row>
    <row r="394" spans="1:25" ht="13.2">
      <c r="A394" s="179">
        <v>2</v>
      </c>
      <c r="B394" s="180" t="s">
        <v>2673</v>
      </c>
      <c r="C394" s="25">
        <v>394</v>
      </c>
      <c r="D394" s="180" t="s">
        <v>2674</v>
      </c>
      <c r="E394" s="190">
        <v>43794</v>
      </c>
      <c r="F394" s="191" t="str">
        <f>HYPERLINK("https://news.okezone.com/read/2019/11/24/65/2133755/5-fakta-perguruan-tinggi-di-ri-dengan-penelitian-terbaik ","Sumber")</f>
        <v>Sumber</v>
      </c>
      <c r="G394" s="21" t="s">
        <v>2661</v>
      </c>
      <c r="H394" s="180">
        <v>388</v>
      </c>
      <c r="I394" s="29"/>
      <c r="J394" s="29"/>
      <c r="K394" s="183"/>
      <c r="L394" s="29"/>
      <c r="M394" s="29"/>
      <c r="N394" s="29"/>
      <c r="O394" s="29"/>
      <c r="P394" s="29"/>
      <c r="Q394" s="29"/>
      <c r="R394" s="29"/>
      <c r="S394" s="183"/>
      <c r="T394" s="29"/>
      <c r="U394" s="29"/>
      <c r="V394" s="29"/>
      <c r="W394" s="29"/>
      <c r="X394" s="29"/>
      <c r="Y394" s="29"/>
    </row>
    <row r="395" spans="1:25" ht="13.2">
      <c r="A395" s="179">
        <v>2</v>
      </c>
      <c r="B395" s="180" t="s">
        <v>2675</v>
      </c>
      <c r="C395" s="25">
        <v>395</v>
      </c>
      <c r="D395" s="180" t="s">
        <v>2667</v>
      </c>
      <c r="E395" s="190">
        <v>43795</v>
      </c>
      <c r="F395" s="192" t="str">
        <f>HYPERLINK("https://nasional.tempo.co/read/1276837/2-siswa-di-batam-dikeluarkan-karena-tak-mau-hormat-bendera","sumber")</f>
        <v>sumber</v>
      </c>
      <c r="G395" s="21" t="s">
        <v>2661</v>
      </c>
      <c r="H395" s="180">
        <v>297</v>
      </c>
      <c r="I395" s="29"/>
      <c r="J395" s="29"/>
      <c r="K395" s="183"/>
      <c r="L395" s="29"/>
      <c r="M395" s="29"/>
      <c r="N395" s="29"/>
      <c r="O395" s="29"/>
      <c r="P395" s="29"/>
      <c r="Q395" s="29"/>
      <c r="R395" s="29"/>
      <c r="S395" s="183"/>
      <c r="T395" s="29"/>
      <c r="U395" s="29"/>
      <c r="V395" s="29"/>
      <c r="W395" s="29"/>
      <c r="X395" s="29"/>
      <c r="Y395" s="29"/>
    </row>
    <row r="396" spans="1:25" ht="13.2">
      <c r="A396" s="179">
        <v>2</v>
      </c>
      <c r="B396" s="180" t="s">
        <v>2676</v>
      </c>
      <c r="C396" s="25">
        <v>396</v>
      </c>
      <c r="D396" s="180" t="s">
        <v>2657</v>
      </c>
      <c r="E396" s="190">
        <v>43811</v>
      </c>
      <c r="F396" s="191" t="str">
        <f>HYPERLINK("https://www.liputan6.com/global/read/4131834/china-bersikeras-akan-terus-lanjutkan-pelatihan-di-xinjiang","Sumber")</f>
        <v>Sumber</v>
      </c>
      <c r="G396" s="21" t="s">
        <v>2661</v>
      </c>
      <c r="H396" s="180">
        <v>404</v>
      </c>
      <c r="I396" s="29"/>
      <c r="J396" s="29"/>
      <c r="K396" s="183"/>
      <c r="L396" s="29"/>
      <c r="M396" s="29"/>
      <c r="N396" s="29"/>
      <c r="O396" s="29"/>
      <c r="P396" s="29"/>
      <c r="Q396" s="29"/>
      <c r="R396" s="29"/>
      <c r="S396" s="183"/>
      <c r="T396" s="29"/>
      <c r="U396" s="29"/>
      <c r="V396" s="29"/>
      <c r="W396" s="29"/>
      <c r="X396" s="29"/>
      <c r="Y396" s="29"/>
    </row>
    <row r="397" spans="1:25" ht="13.2">
      <c r="A397" s="179">
        <v>2</v>
      </c>
      <c r="B397" s="180" t="s">
        <v>2677</v>
      </c>
      <c r="C397" s="25">
        <v>397</v>
      </c>
      <c r="D397" s="180" t="s">
        <v>2669</v>
      </c>
      <c r="E397" s="190">
        <v>43821</v>
      </c>
      <c r="F397" s="191" t="str">
        <f>HYPERLINK("https://tirto.id/polri-tindak-tegas-aksi-razia-ormas-saat-natal-kok-baru-sekarang-eoie","Sumber")</f>
        <v>Sumber</v>
      </c>
      <c r="G397" s="21" t="s">
        <v>2661</v>
      </c>
      <c r="H397" s="180">
        <v>370</v>
      </c>
      <c r="I397" s="29"/>
      <c r="J397" s="29"/>
      <c r="K397" s="183"/>
      <c r="L397" s="29"/>
      <c r="M397" s="29"/>
      <c r="N397" s="29"/>
      <c r="O397" s="29"/>
      <c r="P397" s="29"/>
      <c r="Q397" s="29"/>
      <c r="R397" s="29"/>
      <c r="S397" s="183"/>
      <c r="T397" s="29"/>
      <c r="U397" s="29"/>
      <c r="V397" s="29"/>
      <c r="W397" s="29"/>
      <c r="X397" s="29"/>
      <c r="Y397" s="29"/>
    </row>
    <row r="398" spans="1:25" ht="13.8">
      <c r="A398" s="179">
        <v>2</v>
      </c>
      <c r="B398" s="180" t="s">
        <v>2678</v>
      </c>
      <c r="C398" s="25">
        <v>398</v>
      </c>
      <c r="D398" s="180" t="s">
        <v>2674</v>
      </c>
      <c r="E398" s="190">
        <v>43822</v>
      </c>
      <c r="F398" s="191" t="str">
        <f>HYPERLINK("https://news.okezone.com/read/2019/12/23/18/2145122/profesor-di-pakistan-divonis-mati-atas-tuduhan-menghina-nabi-muhammad","Sumber")</f>
        <v>Sumber</v>
      </c>
      <c r="G398" s="182" t="str">
        <f>HYPERLINK("https://drive.google.com/open?id=1TDY7LJXm132B6KYMEWxrh1o3DUYe9KMH","Lokasi")</f>
        <v>Lokasi</v>
      </c>
      <c r="H398" s="180">
        <v>362</v>
      </c>
      <c r="I398" s="21"/>
      <c r="J398" s="21"/>
      <c r="K398" s="193"/>
      <c r="L398" s="21"/>
      <c r="M398" s="21"/>
      <c r="N398" s="21"/>
      <c r="O398" s="21"/>
      <c r="P398" s="21"/>
      <c r="Q398" s="21"/>
      <c r="R398" s="21"/>
      <c r="S398" s="183"/>
      <c r="T398" s="21"/>
      <c r="U398" s="21"/>
      <c r="V398" s="21"/>
      <c r="W398" s="29"/>
      <c r="X398" s="29"/>
      <c r="Y398" s="29"/>
    </row>
    <row r="399" spans="1:25" ht="13.2">
      <c r="A399" s="179">
        <v>2</v>
      </c>
      <c r="B399" s="180" t="s">
        <v>2679</v>
      </c>
      <c r="C399" s="25">
        <v>399</v>
      </c>
      <c r="D399" s="180" t="s">
        <v>2663</v>
      </c>
      <c r="E399" s="190">
        <v>43822</v>
      </c>
      <c r="F399" s="191" t="str">
        <f>HYPERLINK("https://jatim.suara.com/read/2019/12/23/111905/maruf-amin-boleh-ucapkan-natal-lawan-mui-jatim-jangan-jadi-calo-tuhan","Sumber")</f>
        <v>Sumber</v>
      </c>
      <c r="G399" s="21" t="s">
        <v>2661</v>
      </c>
      <c r="H399" s="180">
        <v>418</v>
      </c>
      <c r="I399" s="29"/>
      <c r="J399" s="29"/>
      <c r="K399" s="183"/>
      <c r="L399" s="29"/>
      <c r="M399" s="29"/>
      <c r="N399" s="29"/>
      <c r="O399" s="29"/>
      <c r="P399" s="29"/>
      <c r="Q399" s="29"/>
      <c r="R399" s="29"/>
      <c r="S399" s="183"/>
      <c r="T399" s="29"/>
      <c r="U399" s="29"/>
      <c r="V399" s="29"/>
      <c r="W399" s="29"/>
      <c r="X399" s="29"/>
      <c r="Y399" s="29"/>
    </row>
    <row r="400" spans="1:25" ht="13.2">
      <c r="A400" s="179">
        <v>2</v>
      </c>
      <c r="B400" s="180" t="s">
        <v>1962</v>
      </c>
      <c r="C400" s="25">
        <v>400</v>
      </c>
      <c r="D400" s="180" t="s">
        <v>2680</v>
      </c>
      <c r="E400" s="190">
        <v>43822</v>
      </c>
      <c r="F400" s="191" t="str">
        <f>HYPERLINK("https://www.tribunnews.com/regional/2019/12/23/fakta-fakta-mahasiswi-di-aceh-gantung-diri-awal-ditemukan-hingga-ditemukannya-surat-wasiat","Sumber")</f>
        <v>Sumber</v>
      </c>
      <c r="G400" s="21" t="s">
        <v>2661</v>
      </c>
      <c r="H400" s="180">
        <v>197</v>
      </c>
      <c r="I400" s="29"/>
      <c r="J400" s="29"/>
      <c r="K400" s="183"/>
      <c r="L400" s="29"/>
      <c r="M400" s="29"/>
      <c r="N400" s="21"/>
      <c r="O400" s="21"/>
      <c r="P400" s="21"/>
      <c r="Q400" s="29"/>
      <c r="R400" s="29"/>
      <c r="S400" s="183"/>
      <c r="T400" s="29"/>
      <c r="U400" s="29"/>
      <c r="V400" s="29"/>
      <c r="W400" s="29"/>
      <c r="X400" s="29"/>
      <c r="Y400" s="29"/>
    </row>
    <row r="401" spans="1:25" ht="14.4">
      <c r="A401" s="135">
        <v>1</v>
      </c>
      <c r="B401" s="194" t="s">
        <v>2681</v>
      </c>
      <c r="C401" s="137">
        <v>401</v>
      </c>
      <c r="D401" s="173" t="s">
        <v>2660</v>
      </c>
      <c r="E401" s="195">
        <v>43826</v>
      </c>
      <c r="F401" s="196" t="str">
        <f>HYPERLINK("https://www.cnnindonesia.com/internasional/20191213131933-113-456691/demo-tolak-ruu-kewarganegaraan-di-india-telan-korban-jiwa","Sumber")</f>
        <v>Sumber</v>
      </c>
      <c r="G401" s="175" t="str">
        <f>HYPERLINK("https://drive.google.com/open?id=1KtzFn3_hlrYSHL2NE8pqPTfMBZrrcUOW","Lokasi")</f>
        <v>Lokasi</v>
      </c>
      <c r="H401" s="197">
        <v>318</v>
      </c>
      <c r="I401" s="144">
        <v>1</v>
      </c>
      <c r="J401" s="144">
        <v>4</v>
      </c>
      <c r="K401" s="198" t="s">
        <v>2682</v>
      </c>
      <c r="L401" s="144">
        <v>0</v>
      </c>
      <c r="M401" s="144">
        <v>-1</v>
      </c>
      <c r="N401" s="177">
        <v>0</v>
      </c>
      <c r="O401" s="144">
        <v>0</v>
      </c>
      <c r="P401" s="144">
        <v>0</v>
      </c>
      <c r="Q401" s="144" t="s">
        <v>29</v>
      </c>
      <c r="R401" s="144" t="s">
        <v>68</v>
      </c>
      <c r="S401" s="178"/>
      <c r="T401" s="144">
        <v>0</v>
      </c>
      <c r="U401" s="144">
        <v>0</v>
      </c>
      <c r="V401" s="144">
        <v>1</v>
      </c>
      <c r="W401" s="145"/>
      <c r="X401" s="145"/>
      <c r="Y401" s="145"/>
    </row>
    <row r="402" spans="1:25" ht="13.2">
      <c r="A402" s="179">
        <v>2</v>
      </c>
      <c r="B402" s="180" t="s">
        <v>2683</v>
      </c>
      <c r="C402" s="25">
        <v>403</v>
      </c>
      <c r="D402" s="180" t="s">
        <v>2660</v>
      </c>
      <c r="E402" s="190">
        <v>43830</v>
      </c>
      <c r="F402" s="191" t="str">
        <f>HYPERLINK("https://www.cnnindonesia.com/internasional/20191231143833-120-461338/kecam-serangan-udara-irak-akan-panggil-dubes-as","Sumber")</f>
        <v>Sumber</v>
      </c>
      <c r="G402" s="21" t="s">
        <v>2661</v>
      </c>
      <c r="H402" s="180">
        <v>340</v>
      </c>
      <c r="I402" s="29"/>
      <c r="J402" s="29"/>
      <c r="K402" s="183"/>
      <c r="L402" s="29"/>
      <c r="M402" s="29"/>
      <c r="N402" s="29"/>
      <c r="O402" s="29"/>
      <c r="P402" s="29"/>
      <c r="Q402" s="29"/>
      <c r="R402" s="29"/>
      <c r="S402" s="183"/>
      <c r="T402" s="29"/>
      <c r="U402" s="29"/>
      <c r="V402" s="29"/>
      <c r="W402" s="29"/>
      <c r="X402" s="29"/>
      <c r="Y402" s="29"/>
    </row>
    <row r="403" spans="1:25" ht="13.2">
      <c r="A403" s="184">
        <v>1</v>
      </c>
      <c r="B403" s="185" t="s">
        <v>2684</v>
      </c>
      <c r="C403" s="22">
        <v>404</v>
      </c>
      <c r="D403" s="185" t="s">
        <v>2667</v>
      </c>
      <c r="E403" s="199">
        <v>43741</v>
      </c>
      <c r="F403" s="200" t="str">
        <f>HYPERLINK("https://gaya.tempo.co/read/1255304/karakter-joker-mengidap-skizofrenia-waspadai-gejalanya","Sumber")</f>
        <v>Sumber</v>
      </c>
      <c r="G403" s="186" t="str">
        <f>HYPERLINK("https://drive.google.com/open?id=17cYqpst6WO7d952_Uo7sPYa12f5XRric","Lokasi")</f>
        <v>Lokasi</v>
      </c>
      <c r="H403" s="185">
        <v>211</v>
      </c>
      <c r="I403" s="30">
        <v>5</v>
      </c>
      <c r="J403" s="30">
        <v>2</v>
      </c>
      <c r="K403" s="201"/>
      <c r="L403" s="30">
        <v>0</v>
      </c>
      <c r="M403" s="30">
        <v>0</v>
      </c>
      <c r="N403" s="188">
        <v>0</v>
      </c>
      <c r="O403" s="30">
        <v>0</v>
      </c>
      <c r="P403" s="30">
        <v>0</v>
      </c>
      <c r="Q403" s="30"/>
      <c r="R403" s="30"/>
      <c r="S403" s="189"/>
      <c r="T403" s="30">
        <v>0</v>
      </c>
      <c r="U403" s="30">
        <v>0</v>
      </c>
      <c r="V403" s="30">
        <v>1</v>
      </c>
      <c r="W403" s="1"/>
      <c r="X403" s="1"/>
      <c r="Y403" s="1"/>
    </row>
    <row r="404" spans="1:25" ht="14.4">
      <c r="A404" s="148">
        <v>1</v>
      </c>
      <c r="B404" s="202" t="s">
        <v>2685</v>
      </c>
      <c r="C404" s="33">
        <v>405</v>
      </c>
      <c r="D404" s="203" t="s">
        <v>2657</v>
      </c>
      <c r="E404" s="204">
        <v>43744</v>
      </c>
      <c r="F404" s="205" t="str">
        <f>HYPERLINK("https://www.liputan6.com/citizen6/read/4079263/fakta-fakta-tiyo-bocah-disabilitas-asal-ciamis-pemilik-iq-tinggi","Sumber")</f>
        <v>Sumber</v>
      </c>
      <c r="G404" s="206" t="str">
        <f>HYPERLINK("https://drive.google.com/open?id=1H5PJJJ1_bGKO4fqXeB4GAzE5pqX59QRe","Lokasi")</f>
        <v>Lokasi</v>
      </c>
      <c r="H404" s="207">
        <v>227</v>
      </c>
      <c r="I404" s="8">
        <v>2</v>
      </c>
      <c r="J404" s="8">
        <v>2</v>
      </c>
      <c r="K404" s="208"/>
      <c r="L404" s="8">
        <v>0</v>
      </c>
      <c r="M404" s="8">
        <v>0</v>
      </c>
      <c r="N404" s="209">
        <v>0</v>
      </c>
      <c r="O404" s="8">
        <v>0</v>
      </c>
      <c r="P404" s="8">
        <v>0</v>
      </c>
      <c r="Q404" s="8"/>
      <c r="R404" s="8"/>
      <c r="S404" s="208" t="s">
        <v>2686</v>
      </c>
      <c r="T404" s="8">
        <v>4</v>
      </c>
      <c r="U404" s="8">
        <v>0</v>
      </c>
      <c r="V404" s="8">
        <v>0</v>
      </c>
      <c r="W404" s="9"/>
      <c r="X404" s="9"/>
      <c r="Y404" s="9"/>
    </row>
    <row r="405" spans="1:25" ht="13.2">
      <c r="A405" s="184">
        <v>1</v>
      </c>
      <c r="B405" s="185" t="s">
        <v>1799</v>
      </c>
      <c r="C405" s="22">
        <v>406</v>
      </c>
      <c r="D405" s="185" t="s">
        <v>2663</v>
      </c>
      <c r="E405" s="199">
        <v>43745</v>
      </c>
      <c r="F405" s="210" t="str">
        <f>HYPERLINK("https://www.suara.com/health/2019/10/07/201000/dokter-jiwa-usul-percobaan-bunuh-diri-ditanggung-bpjs-ini-alasannya","Sumber")</f>
        <v>Sumber</v>
      </c>
      <c r="G405" s="186" t="str">
        <f>HYPERLINK("https://drive.google.com/open?id=13ZSHDQtmIkJDf6MzD9rSF8sFzSC6ribO","Lokasi")</f>
        <v>Lokasi</v>
      </c>
      <c r="H405" s="185">
        <v>312</v>
      </c>
      <c r="I405" s="30">
        <v>4</v>
      </c>
      <c r="J405" s="30">
        <v>2</v>
      </c>
      <c r="K405" s="201" t="s">
        <v>2687</v>
      </c>
      <c r="L405" s="30">
        <v>0</v>
      </c>
      <c r="M405" s="30">
        <v>0</v>
      </c>
      <c r="N405" s="188">
        <v>0</v>
      </c>
      <c r="O405" s="30">
        <v>0</v>
      </c>
      <c r="P405" s="30">
        <v>0</v>
      </c>
      <c r="Q405" s="30">
        <v>0</v>
      </c>
      <c r="R405" s="30">
        <v>1</v>
      </c>
      <c r="S405" s="189"/>
      <c r="T405" s="30">
        <v>0</v>
      </c>
      <c r="U405" s="30">
        <v>0</v>
      </c>
      <c r="V405" s="30">
        <v>1</v>
      </c>
      <c r="W405" s="1"/>
      <c r="X405" s="1"/>
      <c r="Y405" s="1"/>
    </row>
    <row r="406" spans="1:25" ht="14.4">
      <c r="A406" s="211">
        <v>1</v>
      </c>
      <c r="B406" s="46" t="s">
        <v>2688</v>
      </c>
      <c r="C406" s="33">
        <v>407</v>
      </c>
      <c r="D406" s="203" t="s">
        <v>2689</v>
      </c>
      <c r="E406" s="204">
        <v>43746</v>
      </c>
      <c r="F406" s="205" t="str">
        <f>HYPERLINK("https://regional.kompas.com/read/2019/10/04/20181531/bocah-12-tahun-yang-dikurung-di-bekas-kandang-ayam-pernah-dikubur-separuh ","Sumber")</f>
        <v>Sumber</v>
      </c>
      <c r="G406" s="206" t="str">
        <f>HYPERLINK("https://drive.google.com/open?id=1vIg2jrvGbU26bfVo8LzkPzNznlAnLJb7","Lokasi")</f>
        <v>Lokasi</v>
      </c>
      <c r="H406" s="203">
        <v>230</v>
      </c>
      <c r="I406" s="8">
        <v>2</v>
      </c>
      <c r="J406" s="8">
        <v>2</v>
      </c>
      <c r="K406" s="208" t="s">
        <v>2690</v>
      </c>
      <c r="L406" s="8">
        <v>0</v>
      </c>
      <c r="M406" s="8">
        <v>0</v>
      </c>
      <c r="N406" s="209">
        <v>0</v>
      </c>
      <c r="O406" s="8">
        <v>0</v>
      </c>
      <c r="P406" s="8">
        <v>0</v>
      </c>
      <c r="Q406" s="8" t="s">
        <v>29</v>
      </c>
      <c r="R406" s="8" t="s">
        <v>29</v>
      </c>
      <c r="S406" s="208" t="s">
        <v>2691</v>
      </c>
      <c r="T406" s="8">
        <v>1</v>
      </c>
      <c r="U406" s="8">
        <v>0</v>
      </c>
      <c r="V406" s="8">
        <v>0</v>
      </c>
      <c r="W406" s="9"/>
      <c r="X406" s="9"/>
      <c r="Y406" s="9"/>
    </row>
    <row r="407" spans="1:25" ht="13.2">
      <c r="A407" s="179">
        <v>2</v>
      </c>
      <c r="B407" s="180" t="s">
        <v>2692</v>
      </c>
      <c r="C407" s="25">
        <v>409</v>
      </c>
      <c r="D407" s="180" t="s">
        <v>2674</v>
      </c>
      <c r="E407" s="190">
        <v>43746</v>
      </c>
      <c r="F407" s="191" t="str">
        <f>HYPERLINK("https://lifestyle.okezone.com/read/2019/10/08/481/2114410/4-teknologi-terbaru-bayi-tabung-yang-tingkatkan-peluang-keberhasilan","Sumber")</f>
        <v>Sumber</v>
      </c>
      <c r="G407" s="21" t="s">
        <v>2661</v>
      </c>
      <c r="H407" s="180">
        <v>654</v>
      </c>
      <c r="I407" s="29"/>
      <c r="J407" s="29"/>
      <c r="K407" s="183"/>
      <c r="L407" s="29"/>
      <c r="M407" s="29"/>
      <c r="N407" s="29"/>
      <c r="O407" s="29"/>
      <c r="P407" s="29"/>
      <c r="Q407" s="29"/>
      <c r="R407" s="29"/>
      <c r="S407" s="183"/>
      <c r="T407" s="29"/>
      <c r="U407" s="29"/>
      <c r="V407" s="29"/>
      <c r="W407" s="29"/>
      <c r="X407" s="29"/>
      <c r="Y407" s="29"/>
    </row>
    <row r="408" spans="1:25" ht="14.4">
      <c r="A408" s="148">
        <v>1</v>
      </c>
      <c r="B408" s="202" t="s">
        <v>2693</v>
      </c>
      <c r="C408" s="33">
        <v>410</v>
      </c>
      <c r="D408" s="203" t="s">
        <v>2667</v>
      </c>
      <c r="E408" s="204">
        <v>43746</v>
      </c>
      <c r="F408" s="205" t="str">
        <f>HYPERLINK("https://gaya.tempo.co/read/1257370/katarak-penyebab-tertinggi-kebutaan-di-indonesia","Sumber")</f>
        <v>Sumber</v>
      </c>
      <c r="G408" s="206" t="str">
        <f>HYPERLINK("https://drive.google.com/open?id=1gMUx-CVmvHfpQf5FqKLMSfVAP--Imrqp","Lokasi")</f>
        <v>Lokasi</v>
      </c>
      <c r="H408" s="207">
        <v>319</v>
      </c>
      <c r="I408" s="8">
        <v>4</v>
      </c>
      <c r="J408" s="8">
        <v>2</v>
      </c>
      <c r="K408" s="208" t="s">
        <v>2694</v>
      </c>
      <c r="L408" s="8">
        <v>0</v>
      </c>
      <c r="M408" s="8">
        <v>0</v>
      </c>
      <c r="N408" s="209">
        <v>0</v>
      </c>
      <c r="O408" s="8">
        <v>0</v>
      </c>
      <c r="P408" s="8">
        <v>0</v>
      </c>
      <c r="Q408" s="8">
        <v>0</v>
      </c>
      <c r="R408" s="8">
        <v>0</v>
      </c>
      <c r="S408" s="212"/>
      <c r="T408" s="8">
        <v>0</v>
      </c>
      <c r="U408" s="8">
        <v>0</v>
      </c>
      <c r="V408" s="8">
        <v>1</v>
      </c>
      <c r="W408" s="9"/>
      <c r="X408" s="9"/>
      <c r="Y408" s="9"/>
    </row>
    <row r="409" spans="1:25" ht="13.2">
      <c r="A409" s="179">
        <v>2</v>
      </c>
      <c r="B409" s="180" t="s">
        <v>2695</v>
      </c>
      <c r="C409" s="25">
        <v>411</v>
      </c>
      <c r="D409" s="180" t="s">
        <v>2669</v>
      </c>
      <c r="E409" s="190">
        <v>43746</v>
      </c>
      <c r="F409" s="191" t="str">
        <f>HYPERLINK("https://tirto.id/polisi-klaim-surya-anta-sudah-ditangani-dokter-belum-perlu-ke-rs-ejqf","Sumber")</f>
        <v>Sumber</v>
      </c>
      <c r="G409" s="21" t="s">
        <v>2661</v>
      </c>
      <c r="H409" s="180">
        <v>524</v>
      </c>
      <c r="I409" s="29"/>
      <c r="J409" s="29"/>
      <c r="K409" s="183"/>
      <c r="L409" s="29"/>
      <c r="M409" s="29"/>
      <c r="N409" s="29"/>
      <c r="O409" s="29"/>
      <c r="P409" s="29"/>
      <c r="Q409" s="29"/>
      <c r="R409" s="29"/>
      <c r="S409" s="183"/>
      <c r="T409" s="29"/>
      <c r="U409" s="29"/>
      <c r="V409" s="29"/>
      <c r="W409" s="29"/>
      <c r="X409" s="29"/>
      <c r="Y409" s="29"/>
    </row>
    <row r="410" spans="1:25" ht="13.2">
      <c r="A410" s="179">
        <v>2</v>
      </c>
      <c r="B410" s="180" t="s">
        <v>2696</v>
      </c>
      <c r="C410" s="25">
        <v>412</v>
      </c>
      <c r="D410" s="180" t="s">
        <v>2680</v>
      </c>
      <c r="E410" s="190">
        <v>43747</v>
      </c>
      <c r="F410" s="191" t="str">
        <f>HYPERLINK("https://www.tribunnews.com/internasional/2019/10/09/viral-remaja-pengidap-sakit-jantung-putus-sekolah-untuk-rawat-6-adiknya-sudah-jadi-yatim-piatu","Sumber")</f>
        <v>Sumber</v>
      </c>
      <c r="G410" s="21" t="s">
        <v>2661</v>
      </c>
      <c r="H410" s="180">
        <v>179</v>
      </c>
      <c r="I410" s="29"/>
      <c r="J410" s="29"/>
      <c r="K410" s="183"/>
      <c r="L410" s="29"/>
      <c r="M410" s="29"/>
      <c r="N410" s="29"/>
      <c r="O410" s="29"/>
      <c r="P410" s="29"/>
      <c r="Q410" s="29"/>
      <c r="R410" s="29"/>
      <c r="S410" s="183"/>
      <c r="T410" s="29"/>
      <c r="U410" s="29"/>
      <c r="V410" s="29"/>
      <c r="W410" s="29"/>
      <c r="X410" s="29"/>
      <c r="Y410" s="29"/>
    </row>
    <row r="411" spans="1:25" ht="13.2">
      <c r="A411" s="184">
        <v>1</v>
      </c>
      <c r="B411" s="185" t="s">
        <v>2697</v>
      </c>
      <c r="C411" s="22">
        <v>413</v>
      </c>
      <c r="D411" s="185" t="s">
        <v>2663</v>
      </c>
      <c r="E411" s="199">
        <v>43788</v>
      </c>
      <c r="F411" s="210" t="str">
        <f>HYPERLINK("https://jateng.suara.com/read/2019/11/19/143138/sosok-ibu-remaja-yang-mayatnya-dibungkus-plastik-dikenal-jago-bahasa-asing","Sumber")</f>
        <v>Sumber</v>
      </c>
      <c r="G411" s="186" t="str">
        <f>HYPERLINK("https://drive.google.com/open?id=17Ax5tEE4PtmYxgfEeeBt8esMDZXsAATx","Lokasi")</f>
        <v>Lokasi</v>
      </c>
      <c r="H411" s="185">
        <v>407</v>
      </c>
      <c r="I411" s="30">
        <v>1</v>
      </c>
      <c r="J411" s="30">
        <v>2</v>
      </c>
      <c r="K411" s="201" t="s">
        <v>2698</v>
      </c>
      <c r="L411" s="30">
        <v>0</v>
      </c>
      <c r="M411" s="30">
        <v>0</v>
      </c>
      <c r="N411" s="188">
        <v>0</v>
      </c>
      <c r="O411" s="30">
        <v>0</v>
      </c>
      <c r="P411" s="30">
        <v>0</v>
      </c>
      <c r="Q411" s="30" t="s">
        <v>29</v>
      </c>
      <c r="R411" s="30" t="s">
        <v>29</v>
      </c>
      <c r="S411" s="189"/>
      <c r="T411" s="30">
        <v>0</v>
      </c>
      <c r="U411" s="30">
        <v>0</v>
      </c>
      <c r="V411" s="30">
        <v>0</v>
      </c>
      <c r="W411" s="1"/>
      <c r="X411" s="1"/>
      <c r="Y411" s="1"/>
    </row>
    <row r="412" spans="1:25" ht="14.4">
      <c r="A412" s="148">
        <v>1</v>
      </c>
      <c r="B412" s="202" t="s">
        <v>2699</v>
      </c>
      <c r="C412" s="33">
        <v>414</v>
      </c>
      <c r="D412" s="203" t="s">
        <v>2680</v>
      </c>
      <c r="E412" s="204">
        <v>43788</v>
      </c>
      <c r="F412" s="205" t="str">
        <f>HYPERLINK("https://www.tribunnews.com/nasional/2019/11/26/simak-ini-rincian-tugas-pada-jabatan-pelamar-kategori-disabilitas-untuk-formasi-bkn-cpns-2019","Sumber")</f>
        <v>Sumber</v>
      </c>
      <c r="G412" s="206" t="str">
        <f>HYPERLINK("https://drive.google.com/open?id=1QSpct3NRJ4iZ-wKWOqABqAVlhrONBp-p","Lokasi")</f>
        <v>Lokasi</v>
      </c>
      <c r="H412" s="207">
        <v>207</v>
      </c>
      <c r="I412" s="8">
        <v>4</v>
      </c>
      <c r="J412" s="8">
        <v>2</v>
      </c>
      <c r="K412" s="208"/>
      <c r="L412" s="8">
        <v>0</v>
      </c>
      <c r="M412" s="8">
        <v>0</v>
      </c>
      <c r="N412" s="209">
        <v>0</v>
      </c>
      <c r="O412" s="8">
        <v>0</v>
      </c>
      <c r="P412" s="8">
        <v>0</v>
      </c>
      <c r="Q412" s="8"/>
      <c r="R412" s="8"/>
      <c r="S412" s="212"/>
      <c r="T412" s="8">
        <v>0</v>
      </c>
      <c r="U412" s="8">
        <v>0</v>
      </c>
      <c r="V412" s="8">
        <v>1</v>
      </c>
      <c r="W412" s="9"/>
      <c r="X412" s="9"/>
      <c r="Y412" s="9"/>
    </row>
    <row r="413" spans="1:25" ht="13.2">
      <c r="A413" s="179">
        <v>2</v>
      </c>
      <c r="B413" s="180" t="s">
        <v>2700</v>
      </c>
      <c r="C413" s="25">
        <v>415</v>
      </c>
      <c r="D413" s="180" t="s">
        <v>2689</v>
      </c>
      <c r="E413" s="190">
        <v>43789</v>
      </c>
      <c r="F413" s="191" t="str">
        <f>HYPERLINK("https://megapolitan.kompas.com/read/2019/11/20/15070011/pengemudi-ojek-hingga-tukang-pijat-9-orang-ini-buktikan-siapa-saja-bisa","Sumber")</f>
        <v>Sumber</v>
      </c>
      <c r="G413" s="21" t="s">
        <v>2661</v>
      </c>
      <c r="H413" s="180">
        <v>1631</v>
      </c>
      <c r="I413" s="29"/>
      <c r="J413" s="29"/>
      <c r="K413" s="183"/>
      <c r="L413" s="29"/>
      <c r="M413" s="29"/>
      <c r="N413" s="29"/>
      <c r="O413" s="29"/>
      <c r="P413" s="29"/>
      <c r="Q413" s="29"/>
      <c r="R413" s="29"/>
      <c r="S413" s="183"/>
      <c r="T413" s="29"/>
      <c r="U413" s="29"/>
      <c r="V413" s="29"/>
      <c r="W413" s="29"/>
      <c r="X413" s="29"/>
      <c r="Y413" s="29"/>
    </row>
    <row r="414" spans="1:25" ht="14.4">
      <c r="A414" s="148">
        <v>1</v>
      </c>
      <c r="B414" s="202" t="s">
        <v>2701</v>
      </c>
      <c r="C414" s="33">
        <v>416</v>
      </c>
      <c r="D414" s="203" t="s">
        <v>2660</v>
      </c>
      <c r="E414" s="204">
        <v>43790</v>
      </c>
      <c r="F414" s="205" t="str">
        <f>HYPERLINK("https://www.cnnindonesia.com/nasional/20191121183103-20-450423/angkie-yudistia-penulis-tunarungu-yang-jadi-stafsus-jokowi","Sumber")</f>
        <v>Sumber</v>
      </c>
      <c r="G414" s="206" t="str">
        <f>HYPERLINK("https://drive.google.com/open?id=13W2N0f7834YAX3QoyssadCNvXujkqoan","Lokasi")</f>
        <v>Lokasi</v>
      </c>
      <c r="H414" s="207">
        <v>453</v>
      </c>
      <c r="I414" s="8">
        <v>2</v>
      </c>
      <c r="J414" s="8">
        <v>2</v>
      </c>
      <c r="K414" s="208" t="s">
        <v>2702</v>
      </c>
      <c r="L414" s="8">
        <v>0</v>
      </c>
      <c r="M414" s="8">
        <v>0</v>
      </c>
      <c r="N414" s="209">
        <v>0</v>
      </c>
      <c r="O414" s="8">
        <v>0</v>
      </c>
      <c r="P414" s="8">
        <v>0</v>
      </c>
      <c r="Q414" s="8">
        <v>2</v>
      </c>
      <c r="R414" s="8">
        <v>1</v>
      </c>
      <c r="S414" s="213"/>
      <c r="T414" s="8">
        <v>0</v>
      </c>
      <c r="U414" s="8">
        <v>0</v>
      </c>
      <c r="V414" s="8">
        <v>0</v>
      </c>
      <c r="W414" s="9"/>
      <c r="X414" s="9"/>
      <c r="Y414" s="9"/>
    </row>
    <row r="415" spans="1:25" ht="14.4">
      <c r="A415" s="148">
        <v>1</v>
      </c>
      <c r="B415" s="202" t="s">
        <v>2703</v>
      </c>
      <c r="C415" s="33">
        <v>417</v>
      </c>
      <c r="D415" s="203" t="s">
        <v>2672</v>
      </c>
      <c r="E415" s="204">
        <v>43790</v>
      </c>
      <c r="F415" s="205" t="str">
        <f>HYPERLINK("https://nasional.republika.co.id/berita/q1bi2q328/angkie-yudistia-staf-khusus-presiden-disabilitas-pertama","Sumber")</f>
        <v>Sumber</v>
      </c>
      <c r="G415" s="206" t="str">
        <f>HYPERLINK("https://drive.google.com/open?id=1jrK4HsoKQenCIhTSIRO9CHIFQIe61INR","Lokasi")</f>
        <v>Lokasi</v>
      </c>
      <c r="H415" s="207">
        <v>218</v>
      </c>
      <c r="I415" s="8">
        <v>2</v>
      </c>
      <c r="J415" s="8">
        <v>2</v>
      </c>
      <c r="K415" s="208" t="s">
        <v>2702</v>
      </c>
      <c r="L415" s="8">
        <v>0</v>
      </c>
      <c r="M415" s="8">
        <v>0</v>
      </c>
      <c r="N415" s="209">
        <v>0</v>
      </c>
      <c r="O415" s="8">
        <v>0</v>
      </c>
      <c r="P415" s="8">
        <v>0</v>
      </c>
      <c r="Q415" s="8">
        <v>2</v>
      </c>
      <c r="R415" s="8">
        <v>1</v>
      </c>
      <c r="S415" s="212"/>
      <c r="T415" s="8">
        <v>0</v>
      </c>
      <c r="U415" s="8">
        <v>0</v>
      </c>
      <c r="V415" s="8">
        <v>0</v>
      </c>
      <c r="W415" s="9"/>
      <c r="X415" s="9"/>
      <c r="Y415" s="9"/>
    </row>
    <row r="416" spans="1:25" ht="13.2">
      <c r="A416" s="184">
        <v>1</v>
      </c>
      <c r="B416" s="185" t="s">
        <v>2704</v>
      </c>
      <c r="C416" s="22">
        <v>418</v>
      </c>
      <c r="D416" s="185" t="s">
        <v>2705</v>
      </c>
      <c r="E416" s="199">
        <v>43791</v>
      </c>
      <c r="F416" s="210" t="str">
        <f>HYPERLINK("https://health.detik.com/berita-detikhealth/d-4794030/viral-cucu-tendangi-kakeknya-marah-tak-terkendali-tanda-gangguan-jiwa","Sumber")</f>
        <v>Sumber</v>
      </c>
      <c r="G416" s="186" t="str">
        <f>HYPERLINK("https://drive.google.com/open?id=1r8tAuMg6Wz3-dleEYWP58aMXOSsNRNpL","Lokasi")</f>
        <v>Lokasi</v>
      </c>
      <c r="H416" s="185">
        <v>293</v>
      </c>
      <c r="I416" s="30">
        <v>1</v>
      </c>
      <c r="J416" s="30">
        <v>2</v>
      </c>
      <c r="K416" s="201" t="s">
        <v>2706</v>
      </c>
      <c r="L416" s="30">
        <v>0</v>
      </c>
      <c r="M416" s="30">
        <v>1</v>
      </c>
      <c r="N416" s="188">
        <v>0</v>
      </c>
      <c r="O416" s="30">
        <v>0</v>
      </c>
      <c r="P416" s="30">
        <v>0</v>
      </c>
      <c r="Q416" s="30" t="s">
        <v>29</v>
      </c>
      <c r="R416" s="30" t="s">
        <v>29</v>
      </c>
      <c r="S416" s="189"/>
      <c r="T416" s="30">
        <v>0</v>
      </c>
      <c r="U416" s="30">
        <v>-1</v>
      </c>
      <c r="V416" s="30">
        <v>0</v>
      </c>
      <c r="W416" s="1"/>
      <c r="X416" s="1"/>
      <c r="Y416" s="1"/>
    </row>
    <row r="417" spans="1:25" ht="13.2">
      <c r="A417" s="184">
        <v>1</v>
      </c>
      <c r="B417" s="185" t="s">
        <v>2707</v>
      </c>
      <c r="C417" s="22">
        <v>419</v>
      </c>
      <c r="D417" s="185" t="s">
        <v>2674</v>
      </c>
      <c r="E417" s="199">
        <v>43791</v>
      </c>
      <c r="F417" s="210" t="str">
        <f>HYPERLINK("https://nasional.okezone.com/read/2019/11/22/337/2133364/siswa-tusuk-guru-karena-cinta-dpr-dampak-gagalnya-pendidikan-karakter","Sumber")</f>
        <v>Sumber</v>
      </c>
      <c r="G417" s="186" t="str">
        <f t="shared" ref="G417:G418" si="1">HYPERLINK("https://drive.google.com/open?id=1wUQbfDrxqWWSg7D1x-Q4LBZ4J_5dtMoI","Lokasi")</f>
        <v>Lokasi</v>
      </c>
      <c r="H417" s="185">
        <v>387</v>
      </c>
      <c r="I417" s="30">
        <v>1</v>
      </c>
      <c r="J417" s="30">
        <v>2</v>
      </c>
      <c r="K417" s="201" t="s">
        <v>2708</v>
      </c>
      <c r="L417" s="30">
        <v>0</v>
      </c>
      <c r="M417" s="30">
        <v>-1</v>
      </c>
      <c r="N417" s="188">
        <v>0</v>
      </c>
      <c r="O417" s="30">
        <v>0</v>
      </c>
      <c r="P417" s="30">
        <v>0</v>
      </c>
      <c r="Q417" s="30">
        <v>0</v>
      </c>
      <c r="R417" s="30">
        <v>-1</v>
      </c>
      <c r="S417" s="189"/>
      <c r="T417" s="30">
        <v>0</v>
      </c>
      <c r="U417" s="30">
        <v>-1</v>
      </c>
      <c r="V417" s="30">
        <v>0</v>
      </c>
      <c r="W417" s="1"/>
      <c r="X417" s="1"/>
      <c r="Y417" s="1"/>
    </row>
    <row r="418" spans="1:25" ht="13.2">
      <c r="A418" s="184">
        <v>1</v>
      </c>
      <c r="B418" s="185" t="s">
        <v>1818</v>
      </c>
      <c r="C418" s="22">
        <v>420</v>
      </c>
      <c r="D418" s="185" t="s">
        <v>2689</v>
      </c>
      <c r="E418" s="199">
        <v>43792</v>
      </c>
      <c r="F418" s="210" t="str">
        <f>HYPERLINK("https://regional.kompas.com/read/2019/11/23/14140031/-cinta-ditolak-siswa-smk-tusuk-guru-sejarah-polisi--diduga-gangguan-jiwa","Sumber")</f>
        <v>Sumber</v>
      </c>
      <c r="G418" s="186" t="str">
        <f t="shared" si="1"/>
        <v>Lokasi</v>
      </c>
      <c r="H418" s="185">
        <v>176</v>
      </c>
      <c r="I418" s="30">
        <v>1</v>
      </c>
      <c r="J418" s="30">
        <v>2</v>
      </c>
      <c r="K418" s="201" t="s">
        <v>2709</v>
      </c>
      <c r="L418" s="30">
        <v>0</v>
      </c>
      <c r="M418" s="30">
        <v>-1</v>
      </c>
      <c r="N418" s="188">
        <v>0</v>
      </c>
      <c r="O418" s="30">
        <v>0</v>
      </c>
      <c r="P418" s="30">
        <v>0</v>
      </c>
      <c r="Q418" s="30" t="s">
        <v>21</v>
      </c>
      <c r="R418" s="30" t="s">
        <v>21</v>
      </c>
      <c r="S418" s="189"/>
      <c r="T418" s="30">
        <v>0</v>
      </c>
      <c r="U418" s="30">
        <v>-1</v>
      </c>
      <c r="V418" s="30">
        <v>0</v>
      </c>
      <c r="W418" s="1"/>
      <c r="X418" s="1"/>
      <c r="Y418" s="1"/>
    </row>
    <row r="419" spans="1:25" ht="13.2">
      <c r="A419" s="179">
        <v>2</v>
      </c>
      <c r="B419" s="180" t="s">
        <v>2710</v>
      </c>
      <c r="C419" s="25">
        <v>421</v>
      </c>
      <c r="D419" s="180" t="s">
        <v>2674</v>
      </c>
      <c r="E419" s="190">
        <v>43792</v>
      </c>
      <c r="F419" s="191" t="str">
        <f>HYPERLINK("https://lifestyle.okezone.com/read/2019/11/23/196/2133441/kisah-nyata-tara-merebut-lelaki-yang-sudah-bertunangan-ending-nya-bikin-iba","Sumber")</f>
        <v>Sumber</v>
      </c>
      <c r="G419" s="21" t="s">
        <v>2661</v>
      </c>
      <c r="H419" s="180">
        <v>907</v>
      </c>
      <c r="I419" s="29"/>
      <c r="J419" s="29"/>
      <c r="K419" s="183"/>
      <c r="L419" s="29"/>
      <c r="M419" s="29"/>
      <c r="N419" s="29"/>
      <c r="O419" s="29"/>
      <c r="P419" s="29"/>
      <c r="Q419" s="29"/>
      <c r="R419" s="29"/>
      <c r="S419" s="183"/>
      <c r="T419" s="29"/>
      <c r="U419" s="29"/>
      <c r="V419" s="29"/>
      <c r="W419" s="29"/>
      <c r="X419" s="29"/>
      <c r="Y419" s="29"/>
    </row>
    <row r="420" spans="1:25" ht="14.4">
      <c r="A420" s="148">
        <v>1</v>
      </c>
      <c r="B420" s="202" t="s">
        <v>2711</v>
      </c>
      <c r="C420" s="33">
        <v>422</v>
      </c>
      <c r="D420" s="203" t="s">
        <v>2667</v>
      </c>
      <c r="E420" s="204">
        <v>43792</v>
      </c>
      <c r="F420" s="205" t="str">
        <f>HYPERLINK("https://cantik.tempo.co/read/1275775/cerita-angkie-yudistia-tunarungu-yang-jadi-staf-khusus-presiden","Sumber")</f>
        <v>Sumber</v>
      </c>
      <c r="G420" s="206" t="str">
        <f>HYPERLINK("https://drive.google.com/open?id=1gvgl749_Ynwa9XP58EYKH9exFZJ_PJXc","Lokasi")</f>
        <v>Lokasi</v>
      </c>
      <c r="H420" s="207">
        <v>788</v>
      </c>
      <c r="I420" s="8">
        <v>2</v>
      </c>
      <c r="J420" s="8">
        <v>2</v>
      </c>
      <c r="K420" s="208" t="s">
        <v>2702</v>
      </c>
      <c r="L420" s="8">
        <v>0</v>
      </c>
      <c r="M420" s="8">
        <v>0</v>
      </c>
      <c r="N420" s="209">
        <v>0</v>
      </c>
      <c r="O420" s="8">
        <v>0</v>
      </c>
      <c r="P420" s="8">
        <v>0</v>
      </c>
      <c r="Q420" s="8">
        <v>2</v>
      </c>
      <c r="R420" s="8">
        <v>1</v>
      </c>
      <c r="S420" s="212"/>
      <c r="T420" s="8">
        <v>0</v>
      </c>
      <c r="U420" s="8">
        <v>0</v>
      </c>
      <c r="V420" s="8">
        <v>0</v>
      </c>
      <c r="W420" s="9"/>
      <c r="X420" s="9"/>
      <c r="Y420" s="9"/>
    </row>
    <row r="421" spans="1:25" ht="13.2">
      <c r="A421" s="179">
        <v>2</v>
      </c>
      <c r="B421" s="180" t="s">
        <v>2712</v>
      </c>
      <c r="C421" s="25">
        <v>423</v>
      </c>
      <c r="D421" s="180" t="s">
        <v>2689</v>
      </c>
      <c r="E421" s="190">
        <v>43793</v>
      </c>
      <c r="F421" s="191" t="str">
        <f>HYPERLINK("https://www.kompas.com/tren/read/2019/11/24/071723365/update-link-formasi-dan-tanggal-penutupan-cpns-2019-di-32-kementerian","Sumber")</f>
        <v>Sumber</v>
      </c>
      <c r="G421" s="21" t="s">
        <v>2661</v>
      </c>
      <c r="H421" s="180">
        <v>196</v>
      </c>
      <c r="I421" s="29"/>
      <c r="J421" s="29"/>
      <c r="K421" s="183"/>
      <c r="L421" s="29"/>
      <c r="M421" s="29"/>
      <c r="N421" s="29"/>
      <c r="O421" s="29"/>
      <c r="P421" s="29"/>
      <c r="Q421" s="29"/>
      <c r="R421" s="29"/>
      <c r="S421" s="183"/>
      <c r="T421" s="29"/>
      <c r="U421" s="29"/>
      <c r="V421" s="29"/>
      <c r="W421" s="29"/>
      <c r="X421" s="29"/>
      <c r="Y421" s="29"/>
    </row>
    <row r="422" spans="1:25" ht="13.2">
      <c r="A422" s="184">
        <v>1</v>
      </c>
      <c r="B422" s="185" t="s">
        <v>1822</v>
      </c>
      <c r="C422" s="22">
        <v>424</v>
      </c>
      <c r="D422" s="185" t="s">
        <v>2667</v>
      </c>
      <c r="E422" s="199">
        <v>43793</v>
      </c>
      <c r="F422" s="210" t="str">
        <f>HYPERLINK("https://seleb.tempo.co/read/1275924/angkie-yudistia-takut-salah-paham-saat-diminta-jadi-staf-khusus-jokowi","Sumber")</f>
        <v>Sumber</v>
      </c>
      <c r="G422" s="186" t="str">
        <f>HYPERLINK("https://drive.google.com/open?id=1cd5hW_JGNnLsc_v54HdbSzAyP5E2KNnr","Lokasi")</f>
        <v>Lokasi</v>
      </c>
      <c r="H422" s="185">
        <v>527</v>
      </c>
      <c r="I422" s="30">
        <v>2</v>
      </c>
      <c r="J422" s="30">
        <v>2</v>
      </c>
      <c r="K422" s="201" t="s">
        <v>2713</v>
      </c>
      <c r="L422" s="30">
        <v>0</v>
      </c>
      <c r="M422" s="30">
        <v>0</v>
      </c>
      <c r="N422" s="188">
        <v>0</v>
      </c>
      <c r="O422" s="30">
        <v>0</v>
      </c>
      <c r="P422" s="30">
        <v>0</v>
      </c>
      <c r="Q422" s="30">
        <v>2</v>
      </c>
      <c r="R422" s="30">
        <v>1</v>
      </c>
      <c r="S422" s="189"/>
      <c r="T422" s="30">
        <v>0</v>
      </c>
      <c r="U422" s="30">
        <v>0</v>
      </c>
      <c r="V422" s="30">
        <v>0</v>
      </c>
      <c r="W422" s="1"/>
      <c r="X422" s="1"/>
      <c r="Y422" s="1"/>
    </row>
    <row r="423" spans="1:25" ht="13.2">
      <c r="A423" s="179">
        <v>2</v>
      </c>
      <c r="B423" s="180" t="s">
        <v>2714</v>
      </c>
      <c r="C423" s="25">
        <v>425</v>
      </c>
      <c r="D423" s="180" t="s">
        <v>2657</v>
      </c>
      <c r="E423" s="190">
        <v>43794</v>
      </c>
      <c r="F423" s="191" t="str">
        <f>HYPERLINK("https://www.liputan6.com/news/read/4118568/top-3-news-pengendara-bmw-berpelat-nomor-jepang-ditilang","Sumber")</f>
        <v>Sumber</v>
      </c>
      <c r="G423" s="21" t="s">
        <v>2661</v>
      </c>
      <c r="H423" s="180">
        <v>562</v>
      </c>
      <c r="I423" s="29"/>
      <c r="J423" s="29"/>
      <c r="K423" s="183"/>
      <c r="L423" s="29"/>
      <c r="M423" s="29"/>
      <c r="N423" s="29"/>
      <c r="O423" s="29"/>
      <c r="P423" s="29"/>
      <c r="Q423" s="29"/>
      <c r="R423" s="29"/>
      <c r="S423" s="183"/>
      <c r="T423" s="29"/>
      <c r="U423" s="29"/>
      <c r="V423" s="29"/>
      <c r="W423" s="29"/>
      <c r="X423" s="29"/>
      <c r="Y423" s="29"/>
    </row>
    <row r="424" spans="1:25" ht="14.4">
      <c r="A424" s="148">
        <v>1</v>
      </c>
      <c r="B424" s="202" t="s">
        <v>2715</v>
      </c>
      <c r="C424" s="33">
        <v>426</v>
      </c>
      <c r="D424" s="203" t="s">
        <v>2672</v>
      </c>
      <c r="E424" s="204">
        <v>43795</v>
      </c>
      <c r="F424" s="205" t="str">
        <f>HYPERLINK("https://republika.co.id/berita/q16xsq349/mahasiswa-ub-ciptakan-alat-deteksi-penyakit-skizofrenia","Sumber")</f>
        <v>Sumber</v>
      </c>
      <c r="G424" s="206" t="str">
        <f>HYPERLINK("https://drive.google.com/open?id=1gdY_6ouHYoaW_zHtX0mxZhVNmgAMpUfq","Lokasi")</f>
        <v>Lokasi</v>
      </c>
      <c r="H424" s="207">
        <v>433</v>
      </c>
      <c r="I424" s="8">
        <v>5</v>
      </c>
      <c r="J424" s="8">
        <v>2</v>
      </c>
      <c r="K424" s="208" t="s">
        <v>2716</v>
      </c>
      <c r="L424" s="8">
        <v>0</v>
      </c>
      <c r="M424" s="8">
        <v>0</v>
      </c>
      <c r="N424" s="209">
        <v>0</v>
      </c>
      <c r="O424" s="8">
        <v>0</v>
      </c>
      <c r="P424" s="8">
        <v>0</v>
      </c>
      <c r="Q424" s="8">
        <v>0</v>
      </c>
      <c r="R424" s="8">
        <v>0</v>
      </c>
      <c r="S424" s="212"/>
      <c r="T424" s="8">
        <v>0</v>
      </c>
      <c r="U424" s="8">
        <v>0</v>
      </c>
      <c r="V424" s="8">
        <v>1</v>
      </c>
      <c r="W424" s="9"/>
      <c r="X424" s="9"/>
      <c r="Y424" s="9"/>
    </row>
    <row r="425" spans="1:25" ht="13.2">
      <c r="A425" s="179">
        <v>2</v>
      </c>
      <c r="B425" s="180" t="s">
        <v>2717</v>
      </c>
      <c r="C425" s="25">
        <v>427</v>
      </c>
      <c r="D425" s="180" t="s">
        <v>2669</v>
      </c>
      <c r="E425" s="190">
        <v>43810</v>
      </c>
      <c r="F425" s="191" t="str">
        <f>HYPERLINK("https://tirto.id/tak-ada-yang-gila-di-kota-ini-masuk-sundance-film-festival-2020-enfg","Sumber")</f>
        <v>Sumber</v>
      </c>
      <c r="G425" s="21" t="s">
        <v>2661</v>
      </c>
      <c r="H425" s="180">
        <v>724</v>
      </c>
      <c r="I425" s="29"/>
      <c r="J425" s="29"/>
      <c r="K425" s="183"/>
      <c r="L425" s="29"/>
      <c r="M425" s="29"/>
      <c r="N425" s="29"/>
      <c r="O425" s="29"/>
      <c r="P425" s="29"/>
      <c r="Q425" s="29"/>
      <c r="R425" s="29"/>
      <c r="S425" s="183"/>
      <c r="T425" s="29"/>
      <c r="U425" s="29"/>
      <c r="V425" s="29"/>
      <c r="W425" s="29"/>
      <c r="X425" s="29"/>
      <c r="Y425" s="29"/>
    </row>
    <row r="426" spans="1:25" ht="13.2">
      <c r="A426" s="179">
        <v>2</v>
      </c>
      <c r="B426" s="180" t="s">
        <v>2718</v>
      </c>
      <c r="C426" s="25">
        <v>428</v>
      </c>
      <c r="D426" s="180" t="s">
        <v>2680</v>
      </c>
      <c r="E426" s="190">
        <v>43811</v>
      </c>
      <c r="F426" s="191" t="str">
        <f>HYPERLINK("https://www.tribunnews.com/superskor/2019/12/12/jika-tak-ada-kelainan-serius-evan-dimas-diperkirakan-dapat-kembali-bermain-tiga-minggu-lagi","Sumber")</f>
        <v>Sumber</v>
      </c>
      <c r="G426" s="21" t="s">
        <v>2661</v>
      </c>
      <c r="H426" s="180">
        <v>205</v>
      </c>
      <c r="I426" s="29"/>
      <c r="J426" s="29"/>
      <c r="K426" s="183"/>
      <c r="L426" s="29"/>
      <c r="M426" s="29"/>
      <c r="N426" s="29"/>
      <c r="O426" s="29"/>
      <c r="P426" s="29"/>
      <c r="Q426" s="29"/>
      <c r="R426" s="29"/>
      <c r="S426" s="183"/>
      <c r="T426" s="29"/>
      <c r="U426" s="29"/>
      <c r="V426" s="29"/>
      <c r="W426" s="29"/>
      <c r="X426" s="29"/>
      <c r="Y426" s="29"/>
    </row>
    <row r="427" spans="1:25" ht="13.2">
      <c r="A427" s="179">
        <v>2</v>
      </c>
      <c r="B427" s="180" t="s">
        <v>2719</v>
      </c>
      <c r="C427" s="25">
        <v>429</v>
      </c>
      <c r="D427" s="180" t="s">
        <v>2660</v>
      </c>
      <c r="E427" s="190">
        <v>43814</v>
      </c>
      <c r="F427" s="191" t="str">
        <f>HYPERLINK("https://www.cnnindonesia.com/hiburan/20191213112405-227-456651/tumpah-ruah-guilty-pleasure-dalam-wadah-karaoke-massal","Sumber")</f>
        <v>Sumber</v>
      </c>
      <c r="G427" s="21" t="s">
        <v>2661</v>
      </c>
      <c r="H427" s="180">
        <v>834</v>
      </c>
      <c r="I427" s="29"/>
      <c r="J427" s="29"/>
      <c r="K427" s="183"/>
      <c r="L427" s="29"/>
      <c r="M427" s="29"/>
      <c r="N427" s="29"/>
      <c r="O427" s="29"/>
      <c r="P427" s="29"/>
      <c r="Q427" s="29"/>
      <c r="R427" s="29"/>
      <c r="S427" s="183"/>
      <c r="T427" s="29"/>
      <c r="U427" s="29"/>
      <c r="V427" s="29"/>
      <c r="W427" s="29"/>
      <c r="X427" s="29"/>
      <c r="Y427" s="29"/>
    </row>
    <row r="428" spans="1:25" ht="13.2">
      <c r="A428" s="179">
        <v>2</v>
      </c>
      <c r="B428" s="180" t="s">
        <v>2720</v>
      </c>
      <c r="C428" s="25">
        <v>430</v>
      </c>
      <c r="D428" s="180" t="s">
        <v>2663</v>
      </c>
      <c r="E428" s="190">
        <v>43814</v>
      </c>
      <c r="F428" s="191" t="str">
        <f>HYPERLINK("https://www.suara.com/entertainment/2019/12/15/192248/bawakan-lagu-cinta-gila-ungu-buka-konsert-hut-transmedia-hari-kedua","Sumber")</f>
        <v>Sumber</v>
      </c>
      <c r="G428" s="21" t="s">
        <v>2661</v>
      </c>
      <c r="H428" s="180">
        <v>175</v>
      </c>
      <c r="I428" s="29"/>
      <c r="J428" s="29"/>
      <c r="K428" s="183"/>
      <c r="L428" s="29"/>
      <c r="M428" s="29"/>
      <c r="N428" s="29"/>
      <c r="O428" s="29"/>
      <c r="P428" s="29"/>
      <c r="Q428" s="29"/>
      <c r="R428" s="29"/>
      <c r="S428" s="183"/>
      <c r="T428" s="29"/>
      <c r="U428" s="29"/>
      <c r="V428" s="29"/>
      <c r="W428" s="29"/>
      <c r="X428" s="29"/>
      <c r="Y428" s="29"/>
    </row>
    <row r="429" spans="1:25" ht="13.2">
      <c r="A429" s="179">
        <v>2</v>
      </c>
      <c r="B429" s="180" t="s">
        <v>2721</v>
      </c>
      <c r="C429" s="25">
        <v>431</v>
      </c>
      <c r="D429" s="180" t="s">
        <v>2669</v>
      </c>
      <c r="E429" s="190">
        <v>43815</v>
      </c>
      <c r="F429" s="191" t="str">
        <f>HYPERLINK("https://tirto.id/preview-drakor-black-dog-ep-1-di-tvn-motivasi-go-ha-neul-jadi-guru-envP","Sumber")</f>
        <v>Sumber</v>
      </c>
      <c r="G429" s="21" t="s">
        <v>2661</v>
      </c>
      <c r="H429" s="180">
        <v>480</v>
      </c>
      <c r="I429" s="29"/>
      <c r="J429" s="29"/>
      <c r="K429" s="183"/>
      <c r="L429" s="29"/>
      <c r="M429" s="29"/>
      <c r="N429" s="29"/>
      <c r="O429" s="29"/>
      <c r="P429" s="29"/>
      <c r="Q429" s="29"/>
      <c r="R429" s="29"/>
      <c r="S429" s="183"/>
      <c r="T429" s="29"/>
      <c r="U429" s="29"/>
      <c r="V429" s="29"/>
      <c r="W429" s="29"/>
      <c r="X429" s="29"/>
      <c r="Y429" s="29"/>
    </row>
    <row r="430" spans="1:25" ht="14.4">
      <c r="A430" s="148">
        <v>1</v>
      </c>
      <c r="B430" s="202" t="s">
        <v>2722</v>
      </c>
      <c r="C430" s="33">
        <v>432</v>
      </c>
      <c r="D430" s="203" t="s">
        <v>2667</v>
      </c>
      <c r="E430" s="204">
        <v>43817</v>
      </c>
      <c r="F430" s="205" t="str">
        <f>HYPERLINK("https://difabel.tempo.co/read/1284930/30-orang-menjadi-mata-bagi-sesama-di-sekolah-luar-biasa","Sumber")</f>
        <v>Sumber</v>
      </c>
      <c r="G430" s="206" t="str">
        <f>HYPERLINK("https://drive.google.com/open?id=1uSvgLAYHYMW0iqMDPZsuTuNzBdpzm_TE","Lokasi")</f>
        <v>Lokasi</v>
      </c>
      <c r="H430" s="203">
        <v>224</v>
      </c>
      <c r="I430" s="8">
        <v>5</v>
      </c>
      <c r="J430" s="8">
        <v>2</v>
      </c>
      <c r="K430" s="208" t="s">
        <v>2723</v>
      </c>
      <c r="L430" s="8">
        <v>0</v>
      </c>
      <c r="M430" s="8">
        <v>0</v>
      </c>
      <c r="N430" s="209">
        <v>0</v>
      </c>
      <c r="O430" s="8">
        <v>0</v>
      </c>
      <c r="P430" s="8">
        <v>0</v>
      </c>
      <c r="Q430" s="8">
        <v>0</v>
      </c>
      <c r="R430" s="8">
        <v>1</v>
      </c>
      <c r="S430" s="212"/>
      <c r="T430" s="8">
        <v>0</v>
      </c>
      <c r="U430" s="8">
        <v>0</v>
      </c>
      <c r="V430" s="8">
        <v>1</v>
      </c>
      <c r="W430" s="9"/>
      <c r="X430" s="9"/>
      <c r="Y430" s="9"/>
    </row>
    <row r="431" spans="1:25" ht="13.2">
      <c r="A431" s="214">
        <v>1</v>
      </c>
      <c r="B431" s="185" t="s">
        <v>2724</v>
      </c>
      <c r="C431" s="22">
        <v>433</v>
      </c>
      <c r="D431" s="185" t="s">
        <v>2672</v>
      </c>
      <c r="E431" s="199">
        <v>43819</v>
      </c>
      <c r="F431" s="210" t="str">
        <f>HYPERLINK("https://nasional.republika.co.id/berita/q2taox409/perusak-quran-jadi-tersangka-didiagnosis-idap-skizofrenia","Sumber")</f>
        <v>Sumber</v>
      </c>
      <c r="G431" s="186" t="str">
        <f>HYPERLINK("https://drive.google.com/open?id=1tojRBeiNprmXJHmuIwJFjFTB3hl1u73T","Lokasi")</f>
        <v>Lokasi</v>
      </c>
      <c r="H431" s="185">
        <v>9</v>
      </c>
      <c r="I431" s="30">
        <v>1</v>
      </c>
      <c r="J431" s="30">
        <v>2</v>
      </c>
      <c r="K431" s="201" t="s">
        <v>2725</v>
      </c>
      <c r="L431" s="30">
        <v>0</v>
      </c>
      <c r="M431" s="30">
        <v>-1</v>
      </c>
      <c r="N431" s="188">
        <v>0</v>
      </c>
      <c r="O431" s="30">
        <v>0</v>
      </c>
      <c r="P431" s="30">
        <v>0</v>
      </c>
      <c r="Q431" s="30" t="s">
        <v>170</v>
      </c>
      <c r="R431" s="30" t="s">
        <v>2726</v>
      </c>
      <c r="S431" s="189"/>
      <c r="T431" s="30">
        <v>0</v>
      </c>
      <c r="U431" s="30">
        <v>-1</v>
      </c>
      <c r="V431" s="30">
        <v>0</v>
      </c>
      <c r="W431" s="1"/>
      <c r="X431" s="1"/>
      <c r="Y431" s="1"/>
    </row>
    <row r="432" spans="1:25" ht="13.2">
      <c r="A432" s="184">
        <v>1</v>
      </c>
      <c r="B432" s="185" t="s">
        <v>1831</v>
      </c>
      <c r="C432" s="22">
        <v>434</v>
      </c>
      <c r="D432" s="185" t="s">
        <v>2680</v>
      </c>
      <c r="E432" s="199">
        <v>43819</v>
      </c>
      <c r="F432" s="210" t="str">
        <f>HYPERLINK("https://www.tribunnews.com/kesehatan/2019/12/20/katarak-dapat-menurunkan-produktivitas-penderita-mau-bikin-ini-itu-susah","Sumber")</f>
        <v>Sumber</v>
      </c>
      <c r="G432" s="186" t="str">
        <f>HYPERLINK("https://drive.google.com/open?id=1W8Y1WtFq9tpizMwZT81OuOrbA49KZ8Y2","Lokasi")</f>
        <v>Lokasi</v>
      </c>
      <c r="H432" s="185">
        <v>689</v>
      </c>
      <c r="I432" s="30">
        <v>5</v>
      </c>
      <c r="J432" s="30">
        <v>2</v>
      </c>
      <c r="K432" s="201" t="s">
        <v>2727</v>
      </c>
      <c r="L432" s="30">
        <v>0</v>
      </c>
      <c r="M432" s="30">
        <v>0</v>
      </c>
      <c r="N432" s="188">
        <v>0</v>
      </c>
      <c r="O432" s="30">
        <v>0</v>
      </c>
      <c r="P432" s="30">
        <v>0</v>
      </c>
      <c r="Q432" s="30" t="s">
        <v>245</v>
      </c>
      <c r="R432" s="30" t="s">
        <v>57</v>
      </c>
      <c r="S432" s="189"/>
      <c r="T432" s="30">
        <v>0</v>
      </c>
      <c r="U432" s="30">
        <v>0</v>
      </c>
      <c r="V432" s="30">
        <v>1</v>
      </c>
      <c r="W432" s="1"/>
      <c r="X432" s="1"/>
      <c r="Y432" s="1"/>
    </row>
    <row r="433" spans="1:25" ht="13.2">
      <c r="A433" s="179">
        <v>2</v>
      </c>
      <c r="B433" s="180" t="s">
        <v>2728</v>
      </c>
      <c r="C433" s="25">
        <v>435</v>
      </c>
      <c r="D433" s="180" t="s">
        <v>2663</v>
      </c>
      <c r="E433" s="190">
        <v>43820</v>
      </c>
      <c r="F433" s="191" t="str">
        <f>HYPERLINK("https://www.suara.com/news/2019/12/21/105705/cowok-tusuk-cowok-karena-lirik-lirikan-di-warkop-jatinegara","Sumber")</f>
        <v>Sumber</v>
      </c>
      <c r="G433" s="21" t="s">
        <v>2661</v>
      </c>
      <c r="H433" s="180">
        <v>256</v>
      </c>
      <c r="I433" s="29"/>
      <c r="J433" s="29"/>
      <c r="K433" s="183"/>
      <c r="L433" s="29"/>
      <c r="M433" s="29"/>
      <c r="N433" s="29"/>
      <c r="O433" s="29"/>
      <c r="P433" s="29"/>
      <c r="Q433" s="29"/>
      <c r="R433" s="29"/>
      <c r="S433" s="183"/>
      <c r="T433" s="29"/>
      <c r="U433" s="29"/>
      <c r="V433" s="29"/>
      <c r="W433" s="29"/>
      <c r="X433" s="29"/>
      <c r="Y433" s="29"/>
    </row>
    <row r="434" spans="1:25" ht="13.2">
      <c r="A434" s="179">
        <v>2</v>
      </c>
      <c r="B434" s="180" t="s">
        <v>2729</v>
      </c>
      <c r="C434" s="25">
        <v>436</v>
      </c>
      <c r="D434" s="180" t="s">
        <v>2660</v>
      </c>
      <c r="E434" s="190">
        <v>43824</v>
      </c>
      <c r="F434" s="191" t="str">
        <f>HYPERLINK("https://www.cnnindonesia.com/olahraga/20191224193637-142-459719/mbappe-tersanjung-diperhatikan-messi","Sumber")</f>
        <v>Sumber</v>
      </c>
      <c r="G434" s="21" t="s">
        <v>2661</v>
      </c>
      <c r="H434" s="180">
        <v>230</v>
      </c>
      <c r="I434" s="29"/>
      <c r="J434" s="29"/>
      <c r="K434" s="183"/>
      <c r="L434" s="29"/>
      <c r="M434" s="29"/>
      <c r="N434" s="29"/>
      <c r="O434" s="29"/>
      <c r="P434" s="29"/>
      <c r="Q434" s="29"/>
      <c r="R434" s="29"/>
      <c r="S434" s="183"/>
      <c r="T434" s="29"/>
      <c r="U434" s="29"/>
      <c r="V434" s="29"/>
      <c r="W434" s="29"/>
      <c r="X434" s="29"/>
      <c r="Y434" s="29"/>
    </row>
    <row r="435" spans="1:25" ht="14.4">
      <c r="A435" s="135">
        <v>1</v>
      </c>
      <c r="B435" s="194" t="s">
        <v>2730</v>
      </c>
      <c r="C435" s="137">
        <v>437</v>
      </c>
      <c r="D435" s="173" t="s">
        <v>2667</v>
      </c>
      <c r="E435" s="195">
        <v>43825</v>
      </c>
      <c r="F435" s="196" t="str">
        <f>HYPERLINK("https://metro.tempo.co/read/1285331/polisi-suami-korban-kdrt-jalani-rawat-jalan","Sumber")</f>
        <v>Sumber</v>
      </c>
      <c r="G435" s="175" t="str">
        <f>HYPERLINK("https://drive.google.com/open?id=15OXokyEDA-_M_1rHyayA1a6HTQDQngo8","Lokasi")</f>
        <v>Lokasi</v>
      </c>
      <c r="H435" s="197">
        <v>266</v>
      </c>
      <c r="I435" s="144">
        <v>1</v>
      </c>
      <c r="J435" s="144">
        <v>2</v>
      </c>
      <c r="K435" s="176" t="s">
        <v>2731</v>
      </c>
      <c r="L435" s="144">
        <v>0</v>
      </c>
      <c r="M435" s="144">
        <v>-1</v>
      </c>
      <c r="N435" s="144">
        <v>0</v>
      </c>
      <c r="O435" s="144">
        <v>0</v>
      </c>
      <c r="P435" s="144">
        <v>0</v>
      </c>
      <c r="Q435" s="144">
        <v>0</v>
      </c>
      <c r="R435" s="144">
        <v>-1</v>
      </c>
      <c r="S435" s="176" t="s">
        <v>2732</v>
      </c>
      <c r="T435" s="144">
        <v>2</v>
      </c>
      <c r="U435" s="144">
        <v>0</v>
      </c>
      <c r="V435" s="144">
        <v>0</v>
      </c>
      <c r="W435" s="145"/>
      <c r="X435" s="145"/>
      <c r="Y435" s="145"/>
    </row>
    <row r="436" spans="1:25" ht="13.2">
      <c r="A436" s="179">
        <v>2</v>
      </c>
      <c r="B436" s="180" t="s">
        <v>2733</v>
      </c>
      <c r="C436" s="25">
        <v>438</v>
      </c>
      <c r="D436" s="180" t="s">
        <v>2669</v>
      </c>
      <c r="E436" s="190">
        <v>43825</v>
      </c>
      <c r="F436" s="191" t="str">
        <f>HYPERLINK("https://tirto.id/mahfud-md-klaim-akan-serius-selesaikan-kasus-ham-berat-masa-lalu-eo6h","Sumber")</f>
        <v>Sumber</v>
      </c>
      <c r="G436" s="21" t="s">
        <v>2661</v>
      </c>
      <c r="H436" s="180">
        <v>414</v>
      </c>
      <c r="I436" s="29"/>
      <c r="J436" s="29"/>
      <c r="K436" s="183"/>
      <c r="L436" s="29"/>
      <c r="M436" s="29"/>
      <c r="N436" s="29"/>
      <c r="O436" s="29"/>
      <c r="P436" s="29"/>
      <c r="Q436" s="29"/>
      <c r="R436" s="29"/>
      <c r="S436" s="183"/>
      <c r="T436" s="29"/>
      <c r="U436" s="29"/>
      <c r="V436" s="29"/>
      <c r="W436" s="29"/>
      <c r="X436" s="29"/>
      <c r="Y436" s="29"/>
    </row>
    <row r="437" spans="1:25" ht="13.2">
      <c r="A437" s="184">
        <v>1</v>
      </c>
      <c r="B437" s="185" t="s">
        <v>2734</v>
      </c>
      <c r="C437" s="22">
        <v>439</v>
      </c>
      <c r="D437" s="185" t="s">
        <v>2674</v>
      </c>
      <c r="E437" s="199">
        <v>43829</v>
      </c>
      <c r="F437" s="210" t="str">
        <f>HYPERLINK("https://news.okezone.com/read/2019/12/30/512/2147443/pembunuh-ibu-kandung-di-banjarnegara-punya-riwayat-sakit-jiwa","Sumber")</f>
        <v>Sumber</v>
      </c>
      <c r="G437" s="186" t="str">
        <f>HYPERLINK("https://drive.google.com/open?id=1-IPK1eGdb9vpForhhJovgc_1fyOQLkus","Lokasi")</f>
        <v>Lokasi</v>
      </c>
      <c r="H437" s="185">
        <v>193</v>
      </c>
      <c r="I437" s="30">
        <v>1</v>
      </c>
      <c r="J437" s="30">
        <v>2</v>
      </c>
      <c r="K437" s="201" t="s">
        <v>2735</v>
      </c>
      <c r="L437" s="30">
        <v>0</v>
      </c>
      <c r="M437" s="30">
        <v>-1</v>
      </c>
      <c r="N437" s="30">
        <v>-1</v>
      </c>
      <c r="O437" s="30">
        <v>0</v>
      </c>
      <c r="P437" s="30">
        <v>0</v>
      </c>
      <c r="Q437" s="30">
        <v>0</v>
      </c>
      <c r="R437" s="30">
        <v>-1</v>
      </c>
      <c r="S437" s="189"/>
      <c r="T437" s="30">
        <v>0</v>
      </c>
      <c r="U437" s="30">
        <v>-1</v>
      </c>
      <c r="V437" s="30">
        <v>0</v>
      </c>
      <c r="W437" s="1"/>
      <c r="X437" s="1"/>
      <c r="Y437" s="1"/>
    </row>
    <row r="438" spans="1:25" ht="13.2">
      <c r="A438" s="179">
        <v>2</v>
      </c>
      <c r="B438" s="180" t="s">
        <v>2736</v>
      </c>
      <c r="C438" s="25">
        <v>440</v>
      </c>
      <c r="D438" s="180" t="s">
        <v>2657</v>
      </c>
      <c r="E438" s="190">
        <v>43830</v>
      </c>
      <c r="F438" s="191" t="str">
        <f>HYPERLINK("https://www.liputan6.com/news/read/4145094/malam-tahun-baru-di-ancol-ini-skema-sentral-parkir-yang-akan-diberlakukan","Sumber")</f>
        <v>Sumber</v>
      </c>
      <c r="G438" s="21" t="s">
        <v>2661</v>
      </c>
      <c r="H438" s="180">
        <v>341</v>
      </c>
      <c r="I438" s="29"/>
      <c r="J438" s="29"/>
      <c r="K438" s="183"/>
      <c r="L438" s="29"/>
      <c r="M438" s="29"/>
      <c r="N438" s="29"/>
      <c r="O438" s="29"/>
      <c r="P438" s="29"/>
      <c r="Q438" s="29"/>
      <c r="R438" s="29"/>
      <c r="S438" s="183"/>
      <c r="T438" s="29"/>
      <c r="U438" s="29"/>
      <c r="V438" s="29"/>
      <c r="W438" s="29"/>
      <c r="X438" s="29"/>
      <c r="Y438" s="29"/>
    </row>
    <row r="439" spans="1:25" ht="13.2">
      <c r="A439" s="179">
        <v>2</v>
      </c>
      <c r="B439" s="180" t="s">
        <v>2737</v>
      </c>
      <c r="C439" s="25">
        <v>441</v>
      </c>
      <c r="D439" s="180" t="s">
        <v>2674</v>
      </c>
      <c r="E439" s="190">
        <v>43830</v>
      </c>
      <c r="F439" s="191" t="str">
        <f>HYPERLINK("https://megapolitan.okezone.com/read/2019/12/31/338/2147911/jari-palsu-wartawan-putus-saat-liput-ahmad-dhani-bebas","Sumber")</f>
        <v>Sumber</v>
      </c>
      <c r="G439" s="21" t="s">
        <v>2661</v>
      </c>
      <c r="H439" s="180">
        <v>389</v>
      </c>
      <c r="I439" s="29"/>
      <c r="J439" s="29"/>
      <c r="K439" s="183"/>
      <c r="L439" s="29"/>
      <c r="M439" s="29"/>
      <c r="N439" s="29"/>
      <c r="O439" s="29"/>
      <c r="P439" s="29"/>
      <c r="Q439" s="29"/>
      <c r="R439" s="29"/>
      <c r="S439" s="183"/>
      <c r="T439" s="29"/>
      <c r="U439" s="29"/>
      <c r="V439" s="29"/>
      <c r="W439" s="29"/>
      <c r="X439" s="29"/>
      <c r="Y439" s="29"/>
    </row>
    <row r="440" spans="1:25" ht="14.4">
      <c r="A440" s="148">
        <v>1</v>
      </c>
      <c r="B440" s="202" t="s">
        <v>2738</v>
      </c>
      <c r="C440" s="33">
        <v>442</v>
      </c>
      <c r="D440" s="203" t="s">
        <v>2660</v>
      </c>
      <c r="E440" s="204">
        <v>43741</v>
      </c>
      <c r="F440" s="205" t="str">
        <f>HYPERLINK("https://www.cnnindonesia.com/nasional/20191121071618-20-450177/diskriminasi-di-cpns-wanita-hamil-dan-lgbt-tak-bisa-daftar","Sumber")</f>
        <v>Sumber</v>
      </c>
      <c r="G440" s="206" t="str">
        <f>HYPERLINK("https://drive.google.com/open?id=1aqfXhkES98mF1kAtQj8pLLXKQB0BHUiC","Lokasi")</f>
        <v>Lokasi</v>
      </c>
      <c r="H440" s="207">
        <v>514</v>
      </c>
      <c r="I440" s="8">
        <v>4</v>
      </c>
      <c r="J440" s="8">
        <v>3</v>
      </c>
      <c r="K440" s="208" t="s">
        <v>2739</v>
      </c>
      <c r="L440" s="8">
        <v>0</v>
      </c>
      <c r="M440" s="8">
        <v>0</v>
      </c>
      <c r="N440" s="209">
        <v>0</v>
      </c>
      <c r="O440" s="8">
        <v>0</v>
      </c>
      <c r="P440" s="8">
        <v>0</v>
      </c>
      <c r="Q440" s="8">
        <v>0</v>
      </c>
      <c r="R440" s="8">
        <v>1</v>
      </c>
      <c r="S440" s="212"/>
      <c r="T440" s="8">
        <v>0</v>
      </c>
      <c r="U440" s="8">
        <v>0</v>
      </c>
      <c r="V440" s="8">
        <v>1</v>
      </c>
      <c r="W440" s="9"/>
      <c r="X440" s="9"/>
      <c r="Y440" s="9"/>
    </row>
    <row r="441" spans="1:25" ht="14.4">
      <c r="A441" s="135">
        <v>1</v>
      </c>
      <c r="B441" s="194" t="s">
        <v>1853</v>
      </c>
      <c r="C441" s="137">
        <v>443</v>
      </c>
      <c r="D441" s="173" t="s">
        <v>2680</v>
      </c>
      <c r="E441" s="195">
        <v>43741</v>
      </c>
      <c r="F441" s="196" t="str">
        <f>HYPERLINK("https://www.tribunnews.com/regional/2019/10/03/7-fakta-kasus-bocah-tewas-disiksa-pelaku-lgbt-kecurigaan-kronologi-ancaman-pelaku-hingga-bukti","Sumber")</f>
        <v>Sumber</v>
      </c>
      <c r="G441" s="175" t="str">
        <f>HYPERLINK("https://drive.google.com/open?id=1pTVT2Faep4rNxatvmtj8YGh4x4ihuojL","Lokasi")</f>
        <v>Lokasi</v>
      </c>
      <c r="H441" s="197">
        <v>170</v>
      </c>
      <c r="I441" s="144">
        <v>1</v>
      </c>
      <c r="J441" s="144">
        <v>3</v>
      </c>
      <c r="K441" s="176" t="s">
        <v>2740</v>
      </c>
      <c r="L441" s="144">
        <v>0</v>
      </c>
      <c r="M441" s="144">
        <v>-1</v>
      </c>
      <c r="N441" s="177">
        <v>0</v>
      </c>
      <c r="O441" s="144">
        <v>0</v>
      </c>
      <c r="P441" s="144">
        <v>0</v>
      </c>
      <c r="Q441" s="144" t="s">
        <v>87</v>
      </c>
      <c r="R441" s="144" t="s">
        <v>29</v>
      </c>
      <c r="S441" s="176" t="s">
        <v>731</v>
      </c>
      <c r="T441" s="144">
        <v>1</v>
      </c>
      <c r="U441" s="144">
        <v>-1</v>
      </c>
      <c r="V441" s="144">
        <v>0</v>
      </c>
      <c r="W441" s="145"/>
      <c r="X441" s="145"/>
      <c r="Y441" s="145"/>
    </row>
    <row r="442" spans="1:25" ht="13.2">
      <c r="A442" s="179">
        <v>2</v>
      </c>
      <c r="B442" s="180" t="s">
        <v>2741</v>
      </c>
      <c r="C442" s="25">
        <v>444</v>
      </c>
      <c r="D442" s="180" t="s">
        <v>2660</v>
      </c>
      <c r="E442" s="190">
        <v>43744</v>
      </c>
      <c r="F442" s="191" t="str">
        <f>HYPERLINK("https://www.cnnindonesia.com/internasional/20191005223740-134-437107/pemuda-di-new-york-mengamuk-dan-bunuh-4-gelandangan","Sumber")</f>
        <v>Sumber</v>
      </c>
      <c r="G442" s="21" t="s">
        <v>2661</v>
      </c>
      <c r="H442" s="180">
        <v>288</v>
      </c>
      <c r="I442" s="29"/>
      <c r="J442" s="29"/>
      <c r="K442" s="183"/>
      <c r="L442" s="29"/>
      <c r="M442" s="29"/>
      <c r="N442" s="29"/>
      <c r="O442" s="29"/>
      <c r="P442" s="29"/>
      <c r="Q442" s="29"/>
      <c r="R442" s="29"/>
      <c r="S442" s="183"/>
      <c r="T442" s="29"/>
      <c r="U442" s="29"/>
      <c r="V442" s="29"/>
      <c r="W442" s="29"/>
      <c r="X442" s="29"/>
      <c r="Y442" s="29"/>
    </row>
    <row r="443" spans="1:25" ht="13.2">
      <c r="A443" s="179">
        <v>2</v>
      </c>
      <c r="B443" s="180" t="s">
        <v>2742</v>
      </c>
      <c r="C443" s="25">
        <v>445</v>
      </c>
      <c r="D443" s="180" t="s">
        <v>2663</v>
      </c>
      <c r="E443" s="190">
        <v>43745</v>
      </c>
      <c r="F443" s="191" t="str">
        <f>HYPERLINK("https://www.suara.com/news/2019/10/07/155450/tidak-percaya-aksi-demo-pelajar-denny-siregar-apa-urgensinya","Sumber")</f>
        <v>Sumber</v>
      </c>
      <c r="G443" s="21" t="s">
        <v>2661</v>
      </c>
      <c r="H443" s="180">
        <v>279</v>
      </c>
      <c r="I443" s="29"/>
      <c r="J443" s="29"/>
      <c r="K443" s="183"/>
      <c r="L443" s="29"/>
      <c r="M443" s="29"/>
      <c r="N443" s="29"/>
      <c r="O443" s="29"/>
      <c r="P443" s="29"/>
      <c r="Q443" s="29"/>
      <c r="R443" s="29"/>
      <c r="S443" s="183"/>
      <c r="T443" s="29"/>
      <c r="U443" s="29"/>
      <c r="V443" s="29"/>
      <c r="W443" s="29"/>
      <c r="X443" s="29"/>
      <c r="Y443" s="29"/>
    </row>
    <row r="444" spans="1:25" ht="13.2">
      <c r="A444" s="179">
        <v>2</v>
      </c>
      <c r="B444" s="180" t="s">
        <v>2743</v>
      </c>
      <c r="C444" s="25">
        <v>446</v>
      </c>
      <c r="D444" s="180" t="s">
        <v>2657</v>
      </c>
      <c r="E444" s="190">
        <v>43747</v>
      </c>
      <c r="F444" s="191" t="str">
        <f>HYPERLINK("https://www.liputan6.com/global/read/4082346/5-mitos-perang-dunia-ii-yang-masih-dipercaya-hingga-hari-ini","Sumber")</f>
        <v>Sumber</v>
      </c>
      <c r="G444" s="21" t="s">
        <v>2661</v>
      </c>
      <c r="H444" s="180">
        <v>923</v>
      </c>
      <c r="I444" s="29"/>
      <c r="J444" s="29"/>
      <c r="K444" s="183"/>
      <c r="L444" s="29"/>
      <c r="M444" s="29"/>
      <c r="N444" s="29"/>
      <c r="O444" s="29"/>
      <c r="P444" s="29"/>
      <c r="Q444" s="29"/>
      <c r="R444" s="29"/>
      <c r="S444" s="183"/>
      <c r="T444" s="29"/>
      <c r="U444" s="29"/>
      <c r="V444" s="29"/>
      <c r="W444" s="29"/>
      <c r="X444" s="29"/>
      <c r="Y444" s="29"/>
    </row>
    <row r="445" spans="1:25" ht="14.4">
      <c r="A445" s="148">
        <v>1</v>
      </c>
      <c r="B445" s="202" t="s">
        <v>2744</v>
      </c>
      <c r="C445" s="33">
        <v>447</v>
      </c>
      <c r="D445" s="203" t="s">
        <v>2689</v>
      </c>
      <c r="E445" s="204">
        <v>43788</v>
      </c>
      <c r="F445" s="205" t="str">
        <f>HYPERLINK("https://internasional.kompas.com/read/2019/11/19/07021421/kaitkan-kebakaran-hutan-dengan-legalisasi-pernikahan-sesama-jenis","Sumber")</f>
        <v>Sumber</v>
      </c>
      <c r="G445" s="206" t="str">
        <f>HYPERLINK("https://drive.google.com/open?id=1ROA7UbzHmyCVI2GYa_uSJ0bvuKfdeI52","Lokasi")</f>
        <v>Lokasi</v>
      </c>
      <c r="H445" s="207">
        <v>240</v>
      </c>
      <c r="I445" s="8">
        <v>5</v>
      </c>
      <c r="J445" s="8">
        <v>3</v>
      </c>
      <c r="K445" s="208" t="s">
        <v>2745</v>
      </c>
      <c r="L445" s="8">
        <v>0</v>
      </c>
      <c r="M445" s="8">
        <v>0</v>
      </c>
      <c r="N445" s="209">
        <v>0</v>
      </c>
      <c r="O445" s="8">
        <v>0</v>
      </c>
      <c r="P445" s="8">
        <v>0</v>
      </c>
      <c r="Q445" s="8" t="s">
        <v>29</v>
      </c>
      <c r="R445" s="8" t="s">
        <v>30</v>
      </c>
      <c r="S445" s="212"/>
      <c r="T445" s="8">
        <v>0</v>
      </c>
      <c r="U445" s="8">
        <v>0</v>
      </c>
      <c r="V445" s="8">
        <v>0</v>
      </c>
      <c r="W445" s="9"/>
      <c r="X445" s="9"/>
      <c r="Y445" s="9"/>
    </row>
    <row r="446" spans="1:25" ht="13.2">
      <c r="A446" s="179">
        <v>2</v>
      </c>
      <c r="B446" s="180" t="s">
        <v>2746</v>
      </c>
      <c r="C446" s="25">
        <v>448</v>
      </c>
      <c r="D446" s="180" t="s">
        <v>2660</v>
      </c>
      <c r="E446" s="190">
        <v>43789</v>
      </c>
      <c r="F446" s="191" t="str">
        <f>HYPERLINK("https://www.cnnindonesia.com/teknologi/20191119202647-199-449806/garis-wallacea-leluhur-manusia-modern-di-tanah-sunda","Sumber")</f>
        <v>Sumber</v>
      </c>
      <c r="G446" s="21" t="s">
        <v>2661</v>
      </c>
      <c r="H446" s="180">
        <v>428</v>
      </c>
      <c r="I446" s="29"/>
      <c r="J446" s="29"/>
      <c r="K446" s="183"/>
      <c r="L446" s="29"/>
      <c r="M446" s="29"/>
      <c r="N446" s="29"/>
      <c r="O446" s="29"/>
      <c r="P446" s="29"/>
      <c r="Q446" s="29"/>
      <c r="R446" s="29"/>
      <c r="S446" s="183"/>
      <c r="T446" s="29"/>
      <c r="U446" s="29"/>
      <c r="V446" s="29"/>
      <c r="W446" s="29"/>
      <c r="X446" s="29"/>
      <c r="Y446" s="29"/>
    </row>
    <row r="447" spans="1:25" ht="13.2">
      <c r="A447" s="184">
        <v>1</v>
      </c>
      <c r="B447" s="185" t="s">
        <v>2747</v>
      </c>
      <c r="C447" s="22">
        <v>449</v>
      </c>
      <c r="D447" s="185" t="s">
        <v>2669</v>
      </c>
      <c r="E447" s="199">
        <v>43790</v>
      </c>
      <c r="F447" s="210" t="str">
        <f>HYPERLINK("https://tirto.id/syarat-cpns-diskriminatif-kejaksaan-ingin-pelamar-yang-normal-el5A","Sumber")</f>
        <v>Sumber</v>
      </c>
      <c r="G447" s="186" t="str">
        <f t="shared" ref="G447:G448" si="2">HYPERLINK("https://drive.google.com/open?id=11i05Qlv7F61YSBt50oBVTDRPSkFZ39ea","Lokasi")</f>
        <v>Lokasi</v>
      </c>
      <c r="H447" s="185">
        <v>541</v>
      </c>
      <c r="I447" s="30">
        <v>4</v>
      </c>
      <c r="J447" s="30">
        <v>3</v>
      </c>
      <c r="K447" s="201" t="s">
        <v>2748</v>
      </c>
      <c r="L447" s="30">
        <v>0</v>
      </c>
      <c r="M447" s="30">
        <v>0</v>
      </c>
      <c r="N447" s="188">
        <v>0</v>
      </c>
      <c r="O447" s="30">
        <v>0</v>
      </c>
      <c r="P447" s="30">
        <v>0</v>
      </c>
      <c r="Q447" s="30" t="s">
        <v>106</v>
      </c>
      <c r="R447" s="30" t="s">
        <v>739</v>
      </c>
      <c r="S447" s="189"/>
      <c r="T447" s="30">
        <v>0</v>
      </c>
      <c r="U447" s="30">
        <v>0</v>
      </c>
      <c r="V447" s="30">
        <v>1</v>
      </c>
      <c r="W447" s="1"/>
      <c r="X447" s="1"/>
      <c r="Y447" s="1"/>
    </row>
    <row r="448" spans="1:25" ht="14.4">
      <c r="A448" s="148">
        <v>1</v>
      </c>
      <c r="B448" s="202" t="s">
        <v>2749</v>
      </c>
      <c r="C448" s="33">
        <v>450</v>
      </c>
      <c r="D448" s="203" t="s">
        <v>2680</v>
      </c>
      <c r="E448" s="204">
        <v>43790</v>
      </c>
      <c r="F448" s="205" t="str">
        <f>HYPERLINK("https://www.tribunnews.com/nasional/2019/11/21/tjahjo-sebut-penyandang-disabilitas-hingga-lgbt-boleh-daftar-cpns","Sumber")</f>
        <v>Sumber</v>
      </c>
      <c r="G448" s="206" t="str">
        <f t="shared" si="2"/>
        <v>Lokasi</v>
      </c>
      <c r="H448" s="207">
        <v>324</v>
      </c>
      <c r="I448" s="8">
        <v>4</v>
      </c>
      <c r="J448" s="8">
        <v>3</v>
      </c>
      <c r="K448" s="208" t="s">
        <v>2750</v>
      </c>
      <c r="L448" s="8">
        <v>0</v>
      </c>
      <c r="M448" s="8">
        <v>0</v>
      </c>
      <c r="N448" s="209">
        <v>0</v>
      </c>
      <c r="O448" s="8">
        <v>0</v>
      </c>
      <c r="P448" s="8">
        <v>0</v>
      </c>
      <c r="Q448" s="8" t="s">
        <v>29</v>
      </c>
      <c r="R448" s="8" t="s">
        <v>748</v>
      </c>
      <c r="S448" s="212"/>
      <c r="T448" s="8">
        <v>0</v>
      </c>
      <c r="U448" s="8">
        <v>0</v>
      </c>
      <c r="V448" s="8">
        <v>1</v>
      </c>
      <c r="W448" s="9"/>
      <c r="X448" s="9"/>
      <c r="Y448" s="9"/>
    </row>
    <row r="449" spans="1:25" ht="13.2">
      <c r="A449" s="184">
        <v>1</v>
      </c>
      <c r="B449" s="185" t="s">
        <v>2751</v>
      </c>
      <c r="C449" s="22">
        <v>451</v>
      </c>
      <c r="D449" s="185" t="s">
        <v>2689</v>
      </c>
      <c r="E449" s="199">
        <v>43791</v>
      </c>
      <c r="F449" s="210" t="str">
        <f>HYPERLINK("https://nasional.kompas.com/read/2019/11/22/09453621/lgbt-dilarang-daftar-cpns-kejagung-ini-alasannya","Sumber")</f>
        <v>Sumber</v>
      </c>
      <c r="G449" s="186" t="str">
        <f>HYPERLINK("https://drive.google.com/open?id=1U2dhmKWyv9hru5jOHM_6d25jk0FsCVwz","Lokasi")</f>
        <v>Lokasi</v>
      </c>
      <c r="H449" s="185">
        <v>197</v>
      </c>
      <c r="I449" s="30">
        <v>4</v>
      </c>
      <c r="J449" s="30">
        <v>3</v>
      </c>
      <c r="K449" s="201" t="s">
        <v>2752</v>
      </c>
      <c r="L449" s="30">
        <v>0</v>
      </c>
      <c r="M449" s="30">
        <v>0</v>
      </c>
      <c r="N449" s="188">
        <v>0</v>
      </c>
      <c r="O449" s="30">
        <v>0</v>
      </c>
      <c r="P449" s="30">
        <v>0</v>
      </c>
      <c r="Q449" s="30" t="s">
        <v>29</v>
      </c>
      <c r="R449" s="30" t="s">
        <v>30</v>
      </c>
      <c r="S449" s="189"/>
      <c r="T449" s="30">
        <v>0</v>
      </c>
      <c r="U449" s="30">
        <v>0</v>
      </c>
      <c r="V449" s="30">
        <v>1</v>
      </c>
      <c r="W449" s="1"/>
      <c r="X449" s="1"/>
      <c r="Y449" s="1"/>
    </row>
    <row r="450" spans="1:25" ht="13.2">
      <c r="A450" s="184">
        <v>1</v>
      </c>
      <c r="B450" s="185" t="s">
        <v>2753</v>
      </c>
      <c r="C450" s="22">
        <v>452</v>
      </c>
      <c r="D450" s="185" t="s">
        <v>2672</v>
      </c>
      <c r="E450" s="199">
        <v>43791</v>
      </c>
      <c r="F450" s="210" t="str">
        <f>HYPERLINK("https://nasional.republika.co.id/berita/q1d8c4328/menpan-rb-setuju-larangan-lgbt-daftar-cpns","Sumber")</f>
        <v>Sumber</v>
      </c>
      <c r="G450" s="186" t="str">
        <f>HYPERLINK("https://drive.google.com/open?id=1uAy8GdizkV3GpoSj2T7vAVQt_SChTmCj","Lokasi")</f>
        <v>Lokasi</v>
      </c>
      <c r="H450" s="185">
        <v>222</v>
      </c>
      <c r="I450" s="30">
        <v>4</v>
      </c>
      <c r="J450" s="30">
        <v>3</v>
      </c>
      <c r="K450" s="201" t="s">
        <v>2754</v>
      </c>
      <c r="L450" s="30">
        <v>0</v>
      </c>
      <c r="M450" s="30">
        <v>0</v>
      </c>
      <c r="N450" s="188">
        <v>0</v>
      </c>
      <c r="O450" s="30">
        <v>0</v>
      </c>
      <c r="P450" s="30">
        <v>0</v>
      </c>
      <c r="Q450" s="30">
        <v>0</v>
      </c>
      <c r="R450" s="30">
        <v>-1</v>
      </c>
      <c r="S450" s="201" t="s">
        <v>2755</v>
      </c>
      <c r="T450" s="30">
        <v>1</v>
      </c>
      <c r="U450" s="30">
        <v>0</v>
      </c>
      <c r="V450" s="30">
        <v>1</v>
      </c>
      <c r="W450" s="1"/>
      <c r="X450" s="1"/>
      <c r="Y450" s="1"/>
    </row>
    <row r="451" spans="1:25" ht="13.2">
      <c r="A451" s="184">
        <v>1</v>
      </c>
      <c r="B451" s="185" t="s">
        <v>2756</v>
      </c>
      <c r="C451" s="22">
        <v>453</v>
      </c>
      <c r="D451" s="185" t="s">
        <v>2657</v>
      </c>
      <c r="E451" s="199">
        <v>43792</v>
      </c>
      <c r="F451" s="210" t="str">
        <f>HYPERLINK("https://www.liputan6.com/news/read/4117963/kejagung-tolak-lgbt-jadi-cpns-ini-komentar-pdip","Sumber")</f>
        <v>Sumber</v>
      </c>
      <c r="G451" s="186" t="str">
        <f>HYPERLINK("https://drive.google.com/open?id=14sSf2gECbQYu109ythgeq2Z1yuWK-V1B","Lokasi")</f>
        <v>Lokasi</v>
      </c>
      <c r="H451" s="185">
        <v>243</v>
      </c>
      <c r="I451" s="30">
        <v>4</v>
      </c>
      <c r="J451" s="30">
        <v>3</v>
      </c>
      <c r="K451" s="201" t="s">
        <v>2757</v>
      </c>
      <c r="L451" s="30">
        <v>0</v>
      </c>
      <c r="M451" s="30">
        <v>0</v>
      </c>
      <c r="N451" s="188">
        <v>0</v>
      </c>
      <c r="O451" s="30">
        <v>0</v>
      </c>
      <c r="P451" s="30">
        <v>0</v>
      </c>
      <c r="Q451" s="30">
        <v>0</v>
      </c>
      <c r="R451" s="30">
        <v>1</v>
      </c>
      <c r="S451" s="189"/>
      <c r="T451" s="30">
        <v>0</v>
      </c>
      <c r="U451" s="30">
        <v>0</v>
      </c>
      <c r="V451" s="30">
        <v>1</v>
      </c>
      <c r="W451" s="1"/>
      <c r="X451" s="1"/>
      <c r="Y451" s="1"/>
    </row>
    <row r="452" spans="1:25" ht="13.2">
      <c r="A452" s="179">
        <v>2</v>
      </c>
      <c r="B452" s="180" t="s">
        <v>2758</v>
      </c>
      <c r="C452" s="25">
        <v>454</v>
      </c>
      <c r="D452" s="180" t="s">
        <v>2689</v>
      </c>
      <c r="E452" s="190">
        <v>43793</v>
      </c>
      <c r="F452" s="191" t="str">
        <f>HYPERLINK("https://regional.kompas.com/read/2019/11/24/08353721/pendaftaran-cpns-di-pemprov-kaltim-membludak","Sumber")</f>
        <v>Sumber</v>
      </c>
      <c r="G452" s="21" t="s">
        <v>2661</v>
      </c>
      <c r="H452" s="180">
        <v>208</v>
      </c>
      <c r="I452" s="29"/>
      <c r="J452" s="29"/>
      <c r="K452" s="183"/>
      <c r="L452" s="29"/>
      <c r="M452" s="29"/>
      <c r="N452" s="29"/>
      <c r="O452" s="29"/>
      <c r="P452" s="29"/>
      <c r="Q452" s="29"/>
      <c r="R452" s="29"/>
      <c r="S452" s="183"/>
      <c r="T452" s="29"/>
      <c r="U452" s="29"/>
      <c r="V452" s="29"/>
      <c r="W452" s="29"/>
      <c r="X452" s="29"/>
      <c r="Y452" s="29"/>
    </row>
    <row r="453" spans="1:25" ht="14.4">
      <c r="A453" s="148">
        <v>1</v>
      </c>
      <c r="B453" s="202" t="s">
        <v>2759</v>
      </c>
      <c r="C453" s="33">
        <v>455</v>
      </c>
      <c r="D453" s="203" t="s">
        <v>2663</v>
      </c>
      <c r="E453" s="204">
        <v>43793</v>
      </c>
      <c r="F453" s="205" t="str">
        <f>HYPERLINK("https://www.suara.com/health/2019/11/17/062451/benarkah-jenis-mainan-bisa-memicu-kelainan-orientasi-seksual-anak","Sumber")</f>
        <v>Sumber</v>
      </c>
      <c r="G453" s="206" t="str">
        <f>HYPERLINK("https://drive.google.com/open?id=1NdAGvYtRJFhPLlmCoNiSbue7L-Dk0wwi","Lokasi")</f>
        <v>Lokasi</v>
      </c>
      <c r="H453" s="207">
        <v>309</v>
      </c>
      <c r="I453" s="8">
        <v>5</v>
      </c>
      <c r="J453" s="8">
        <v>3</v>
      </c>
      <c r="K453" s="208" t="s">
        <v>2760</v>
      </c>
      <c r="L453" s="8">
        <v>0</v>
      </c>
      <c r="M453" s="8">
        <v>0</v>
      </c>
      <c r="N453" s="209">
        <v>0</v>
      </c>
      <c r="O453" s="8">
        <v>0</v>
      </c>
      <c r="P453" s="8">
        <v>0</v>
      </c>
      <c r="Q453" s="8">
        <v>0</v>
      </c>
      <c r="R453" s="8">
        <v>1</v>
      </c>
      <c r="S453" s="212"/>
      <c r="T453" s="8">
        <v>0</v>
      </c>
      <c r="U453" s="8">
        <v>0</v>
      </c>
      <c r="V453" s="8">
        <v>1</v>
      </c>
      <c r="W453" s="9"/>
      <c r="X453" s="9"/>
      <c r="Y453" s="9"/>
    </row>
    <row r="454" spans="1:25" ht="14.4">
      <c r="A454" s="148">
        <v>1</v>
      </c>
      <c r="B454" s="202" t="s">
        <v>965</v>
      </c>
      <c r="C454" s="33">
        <v>456</v>
      </c>
      <c r="D454" s="203" t="s">
        <v>2689</v>
      </c>
      <c r="E454" s="204">
        <v>43794</v>
      </c>
      <c r="F454" s="205" t="str">
        <f>HYPERLINK("https://nasional.kompas.com/read/2019/11/25/10103341/amnesty-international-indonesia-syarat-diskriminatif-bagi-pelamar-cpns-2019","Sumber")</f>
        <v>Sumber</v>
      </c>
      <c r="G454" s="206" t="str">
        <f>HYPERLINK("https://drive.google.com/open?id=1VavNUXwzVXreLGp2Bn2KccvVN4Ivwc3m","Lokasi")</f>
        <v>Lokasi</v>
      </c>
      <c r="H454" s="207">
        <v>284</v>
      </c>
      <c r="I454" s="8">
        <v>4</v>
      </c>
      <c r="J454" s="8">
        <v>3</v>
      </c>
      <c r="K454" s="208" t="s">
        <v>2761</v>
      </c>
      <c r="L454" s="8">
        <v>0</v>
      </c>
      <c r="M454" s="8">
        <v>0</v>
      </c>
      <c r="N454" s="209">
        <v>0</v>
      </c>
      <c r="O454" s="8">
        <v>0</v>
      </c>
      <c r="P454" s="8">
        <v>0</v>
      </c>
      <c r="Q454" s="8" t="s">
        <v>29</v>
      </c>
      <c r="R454" s="8" t="s">
        <v>68</v>
      </c>
      <c r="S454" s="212"/>
      <c r="T454" s="8">
        <v>0</v>
      </c>
      <c r="U454" s="8">
        <v>0</v>
      </c>
      <c r="V454" s="8">
        <v>1</v>
      </c>
      <c r="W454" s="9"/>
      <c r="X454" s="9"/>
      <c r="Y454" s="9"/>
    </row>
    <row r="455" spans="1:25" ht="14.4">
      <c r="A455" s="148">
        <v>1</v>
      </c>
      <c r="B455" s="202" t="s">
        <v>2762</v>
      </c>
      <c r="C455" s="33">
        <v>457</v>
      </c>
      <c r="D455" s="203" t="s">
        <v>2680</v>
      </c>
      <c r="E455" s="204">
        <v>43794</v>
      </c>
      <c r="F455" s="205" t="str">
        <f>HYPERLINK("https://www.tribunnews.com/nasional/2019/11/25/komnas-ham-minta-jaksa-agung-klarifikasi-dan-batalkan-syarat-cpns-2019-yang-dinilai-diskriminatif","Sumber")</f>
        <v>Sumber</v>
      </c>
      <c r="G455" s="206" t="str">
        <f>HYPERLINK("https://drive.google.com/open?id=1uYx4EKxa7jvlz9r1OUgs0U3ztaKaRiC-","Lokasi")</f>
        <v>Lokasi</v>
      </c>
      <c r="H455" s="207">
        <v>276</v>
      </c>
      <c r="I455" s="8">
        <v>4</v>
      </c>
      <c r="J455" s="8">
        <v>3</v>
      </c>
      <c r="K455" s="208" t="s">
        <v>2763</v>
      </c>
      <c r="L455" s="8">
        <v>0</v>
      </c>
      <c r="M455" s="8">
        <v>0</v>
      </c>
      <c r="N455" s="209">
        <v>0</v>
      </c>
      <c r="O455" s="8">
        <v>0</v>
      </c>
      <c r="P455" s="8">
        <v>0</v>
      </c>
      <c r="Q455" s="8">
        <v>0</v>
      </c>
      <c r="R455" s="8">
        <v>1</v>
      </c>
      <c r="S455" s="212"/>
      <c r="T455" s="8">
        <v>0</v>
      </c>
      <c r="U455" s="8">
        <v>0</v>
      </c>
      <c r="V455" s="8">
        <v>1</v>
      </c>
      <c r="W455" s="9"/>
      <c r="X455" s="9"/>
      <c r="Y455" s="9"/>
    </row>
    <row r="456" spans="1:25" ht="13.2">
      <c r="A456" s="184">
        <v>1</v>
      </c>
      <c r="B456" s="185" t="s">
        <v>2764</v>
      </c>
      <c r="C456" s="22">
        <v>458</v>
      </c>
      <c r="D456" s="185" t="s">
        <v>2667</v>
      </c>
      <c r="E456" s="199">
        <v>43795</v>
      </c>
      <c r="F456" s="210" t="str">
        <f>HYPERLINK("https://nasional.tempo.co/read/1276810/larangan-lgbt-jadi-cpns-diprotes-kelompok-rentan","Sumber")</f>
        <v>Sumber</v>
      </c>
      <c r="G456" s="186" t="str">
        <f>HYPERLINK("https://drive.google.com/open?id=1b1Dne1ymghvAJbS1rXm3Ogwbk1H6FSg6","Lokasi")</f>
        <v>Lokasi</v>
      </c>
      <c r="H456" s="185">
        <v>339</v>
      </c>
      <c r="I456" s="30">
        <v>4</v>
      </c>
      <c r="J456" s="30">
        <v>3</v>
      </c>
      <c r="K456" s="215" t="s">
        <v>2765</v>
      </c>
      <c r="L456" s="30">
        <v>0</v>
      </c>
      <c r="M456" s="30">
        <v>0</v>
      </c>
      <c r="N456" s="188">
        <v>0</v>
      </c>
      <c r="O456" s="30">
        <v>0</v>
      </c>
      <c r="P456" s="30">
        <v>0</v>
      </c>
      <c r="Q456" s="30" t="s">
        <v>68</v>
      </c>
      <c r="R456" s="30" t="s">
        <v>160</v>
      </c>
      <c r="S456" s="189"/>
      <c r="T456" s="30">
        <v>0</v>
      </c>
      <c r="U456" s="30">
        <v>0</v>
      </c>
      <c r="V456" s="30">
        <v>1</v>
      </c>
      <c r="W456" s="1"/>
      <c r="X456" s="1"/>
      <c r="Y456" s="1"/>
    </row>
    <row r="457" spans="1:25" ht="13.2">
      <c r="A457" s="184">
        <v>1</v>
      </c>
      <c r="B457" s="185" t="s">
        <v>1875</v>
      </c>
      <c r="C457" s="22">
        <v>459</v>
      </c>
      <c r="D457" s="185" t="s">
        <v>2663</v>
      </c>
      <c r="E457" s="199">
        <v>43809</v>
      </c>
      <c r="F457" s="210" t="str">
        <f>HYPERLINK("https://www.suara.com/lifestyle/2019/12/10/073500/berani-blak-blakan-miss-universe-myanmar-2019-mengaku-penyuka-sesama-jenis","Sumber")</f>
        <v>Sumber</v>
      </c>
      <c r="G457" s="186" t="str">
        <f>HYPERLINK("https://drive.google.com/open?id=1JbplP-lvSbf2t8UgJ7ukNguNX2tSfCYF","Lokasi")</f>
        <v>Lokasi</v>
      </c>
      <c r="H457" s="185">
        <v>248</v>
      </c>
      <c r="I457" s="30">
        <v>2</v>
      </c>
      <c r="J457" s="30">
        <v>3</v>
      </c>
      <c r="K457" s="201" t="s">
        <v>2766</v>
      </c>
      <c r="L457" s="30">
        <v>0</v>
      </c>
      <c r="M457" s="30">
        <v>0</v>
      </c>
      <c r="N457" s="30">
        <v>-1</v>
      </c>
      <c r="O457" s="30">
        <v>0</v>
      </c>
      <c r="P457" s="30">
        <v>0</v>
      </c>
      <c r="Q457" s="30">
        <v>2</v>
      </c>
      <c r="R457" s="30">
        <v>1</v>
      </c>
      <c r="S457" s="189"/>
      <c r="T457" s="30">
        <v>0</v>
      </c>
      <c r="U457" s="30">
        <v>0</v>
      </c>
      <c r="V457" s="30">
        <v>0</v>
      </c>
      <c r="W457" s="1"/>
      <c r="X457" s="1"/>
      <c r="Y457" s="1"/>
    </row>
    <row r="458" spans="1:25" ht="13.2">
      <c r="A458" s="184">
        <v>1</v>
      </c>
      <c r="B458" s="185" t="s">
        <v>1882</v>
      </c>
      <c r="C458" s="22">
        <v>460</v>
      </c>
      <c r="D458" s="185" t="s">
        <v>2680</v>
      </c>
      <c r="E458" s="199">
        <v>43817</v>
      </c>
      <c r="F458" s="210" t="str">
        <f>HYPERLINK("https://www.tribunnews.com/seleb/2019/12/18/kebohongan-lucinta-luna-dibongkar-gebby-vesta-terungkap-nama-asli-di-ktp-hingga-bayaran-endorse","Sumber")</f>
        <v>Sumber</v>
      </c>
      <c r="G458" s="186" t="str">
        <f>HYPERLINK("https://drive.google.com/open?id=1xaC779mIOiyDdJoSRU7Rq6-oOne4lJ-j","Lokasi")</f>
        <v>Lokasi</v>
      </c>
      <c r="H458" s="185">
        <v>114</v>
      </c>
      <c r="I458" s="30">
        <v>1</v>
      </c>
      <c r="J458" s="30">
        <v>3</v>
      </c>
      <c r="K458" s="201" t="s">
        <v>2767</v>
      </c>
      <c r="L458" s="30">
        <v>0</v>
      </c>
      <c r="M458" s="30">
        <v>0</v>
      </c>
      <c r="N458" s="30">
        <v>-1</v>
      </c>
      <c r="O458" s="30">
        <v>0</v>
      </c>
      <c r="P458" s="30">
        <v>0</v>
      </c>
      <c r="Q458" s="30" t="s">
        <v>2768</v>
      </c>
      <c r="R458" s="30" t="s">
        <v>21</v>
      </c>
      <c r="S458" s="189"/>
      <c r="T458" s="30">
        <v>0</v>
      </c>
      <c r="U458" s="30">
        <v>0</v>
      </c>
      <c r="V458" s="30">
        <v>0</v>
      </c>
      <c r="W458" s="1"/>
      <c r="X458" s="1"/>
      <c r="Y458" s="1"/>
    </row>
    <row r="459" spans="1:25" ht="13.2">
      <c r="A459" s="179">
        <v>2</v>
      </c>
      <c r="B459" s="180" t="s">
        <v>2769</v>
      </c>
      <c r="C459" s="25">
        <v>461</v>
      </c>
      <c r="D459" s="180" t="s">
        <v>2663</v>
      </c>
      <c r="E459" s="190">
        <v>43818</v>
      </c>
      <c r="F459" s="191" t="str">
        <f>HYPERLINK("https://www.suara.com/tekno/2019/12/19/113139/uwow-gelas-sekali-pakai-berumur-3600-tahun-ditemukan","Sumber")</f>
        <v>Sumber</v>
      </c>
      <c r="G459" s="21" t="s">
        <v>2661</v>
      </c>
      <c r="H459" s="180">
        <v>250</v>
      </c>
      <c r="I459" s="29"/>
      <c r="J459" s="29"/>
      <c r="K459" s="183"/>
      <c r="L459" s="29"/>
      <c r="M459" s="29"/>
      <c r="N459" s="29"/>
      <c r="O459" s="29"/>
      <c r="P459" s="29"/>
      <c r="Q459" s="29"/>
      <c r="R459" s="29"/>
      <c r="S459" s="183"/>
      <c r="T459" s="29"/>
      <c r="U459" s="29"/>
      <c r="V459" s="29"/>
      <c r="W459" s="29"/>
      <c r="X459" s="29"/>
      <c r="Y459" s="29"/>
    </row>
    <row r="460" spans="1:25" ht="13.2">
      <c r="A460" s="184">
        <v>1</v>
      </c>
      <c r="B460" s="185" t="s">
        <v>2770</v>
      </c>
      <c r="C460" s="22">
        <v>462</v>
      </c>
      <c r="D460" s="185" t="s">
        <v>2663</v>
      </c>
      <c r="E460" s="199">
        <v>43819</v>
      </c>
      <c r="F460" s="210" t="str">
        <f>HYPERLINK("https://www.suara.com/lifestyle/2019/12/20/152500/sangat-dekat-apakah-sophia-hutchins-dan-caitlyn-jenner-pacaran","Sumber")</f>
        <v>Sumber</v>
      </c>
      <c r="G460" s="186" t="str">
        <f>HYPERLINK("https://drive.google.com/open?id=1N2Yjc2r4vK_DAxZZWlKDmFgswqwtKKAb","Lokasi")</f>
        <v>Lokasi</v>
      </c>
      <c r="H460" s="185">
        <v>200</v>
      </c>
      <c r="I460" s="30">
        <v>2</v>
      </c>
      <c r="J460" s="30">
        <v>3</v>
      </c>
      <c r="K460" s="201" t="s">
        <v>2771</v>
      </c>
      <c r="L460" s="30">
        <v>0</v>
      </c>
      <c r="M460" s="30">
        <v>0</v>
      </c>
      <c r="N460" s="30">
        <v>-1</v>
      </c>
      <c r="O460" s="30">
        <v>0</v>
      </c>
      <c r="P460" s="30">
        <v>0</v>
      </c>
      <c r="Q460" s="30">
        <v>2</v>
      </c>
      <c r="R460" s="30">
        <v>0</v>
      </c>
      <c r="S460" s="189"/>
      <c r="T460" s="30">
        <v>0</v>
      </c>
      <c r="U460" s="30">
        <v>0</v>
      </c>
      <c r="V460" s="30">
        <v>0</v>
      </c>
      <c r="W460" s="1"/>
      <c r="X460" s="1"/>
      <c r="Y460" s="1"/>
    </row>
    <row r="461" spans="1:25" ht="15" customHeight="1">
      <c r="A461" s="179">
        <v>2</v>
      </c>
      <c r="B461" s="180" t="s">
        <v>2772</v>
      </c>
      <c r="C461" s="25">
        <v>463</v>
      </c>
      <c r="D461" s="180" t="s">
        <v>2663</v>
      </c>
      <c r="E461" s="190">
        <v>43820</v>
      </c>
      <c r="F461" s="191" t="str">
        <f>HYPERLINK("https://www.suara.com/news/2019/12/21/223507/catatan-safenet-di-2019-6895-orang-diselidiki-polisi-karena-uu-ite","Sumber")</f>
        <v>Sumber</v>
      </c>
      <c r="G461" s="21" t="s">
        <v>2661</v>
      </c>
      <c r="H461" s="180">
        <v>385</v>
      </c>
      <c r="I461" s="29"/>
      <c r="J461" s="29"/>
      <c r="K461" s="183"/>
      <c r="L461" s="29"/>
      <c r="M461" s="29"/>
      <c r="N461" s="29"/>
      <c r="O461" s="29"/>
      <c r="P461" s="29"/>
      <c r="Q461" s="29"/>
      <c r="R461" s="29"/>
      <c r="S461" s="183"/>
      <c r="T461" s="29"/>
      <c r="U461" s="29"/>
      <c r="V461" s="29"/>
      <c r="W461" s="29"/>
      <c r="X461" s="29"/>
      <c r="Y461" s="29"/>
    </row>
    <row r="462" spans="1:25" ht="13.2">
      <c r="A462" s="179">
        <v>2</v>
      </c>
      <c r="B462" s="180" t="s">
        <v>684</v>
      </c>
      <c r="C462" s="25">
        <v>464</v>
      </c>
      <c r="D462" s="180" t="s">
        <v>2689</v>
      </c>
      <c r="E462" s="190">
        <v>43828</v>
      </c>
      <c r="F462" s="191" t="str">
        <f>HYPERLINK("https://regional.kompas.com/read/2019/12/29/11225251/5-fakta-polisi-bongkar-praktik-prostitusi-di-kawasan-puncak-cianjur-modus","Sumber")</f>
        <v>Sumber</v>
      </c>
      <c r="G462" s="21" t="s">
        <v>2661</v>
      </c>
      <c r="H462" s="180">
        <v>264</v>
      </c>
      <c r="I462" s="29"/>
      <c r="J462" s="29"/>
      <c r="K462" s="183"/>
      <c r="L462" s="29"/>
      <c r="M462" s="29"/>
      <c r="N462" s="29"/>
      <c r="O462" s="29"/>
      <c r="P462" s="29"/>
      <c r="Q462" s="29"/>
      <c r="R462" s="29"/>
      <c r="S462" s="183"/>
      <c r="T462" s="29"/>
      <c r="U462" s="29"/>
      <c r="V462" s="29"/>
      <c r="W462" s="29"/>
      <c r="X462" s="29"/>
      <c r="Y462" s="29"/>
    </row>
    <row r="463" spans="1:25" ht="13.2">
      <c r="A463" s="179">
        <v>2</v>
      </c>
      <c r="B463" s="180" t="s">
        <v>2773</v>
      </c>
      <c r="C463" s="25">
        <v>465</v>
      </c>
      <c r="D463" s="180" t="s">
        <v>2705</v>
      </c>
      <c r="E463" s="190">
        <v>43829</v>
      </c>
      <c r="F463" s="191" t="str">
        <f>HYPERLINK("https://hot.detik.com/movie/d-4840258/selain-lgbt-marvel-juga-bawa-isu-transgender-di-masa-depan","Sumber")</f>
        <v>Sumber</v>
      </c>
      <c r="G463" s="21" t="s">
        <v>2661</v>
      </c>
      <c r="H463" s="180">
        <v>1971</v>
      </c>
      <c r="I463" s="21"/>
      <c r="J463" s="21"/>
      <c r="K463" s="216"/>
      <c r="L463" s="29"/>
      <c r="M463" s="29"/>
      <c r="N463" s="29"/>
      <c r="O463" s="29"/>
      <c r="P463" s="29"/>
      <c r="Q463" s="29"/>
      <c r="R463" s="29"/>
      <c r="S463" s="183"/>
      <c r="T463" s="29"/>
      <c r="U463" s="29"/>
      <c r="V463" s="29"/>
      <c r="W463" s="29"/>
      <c r="X463" s="29"/>
      <c r="Y463" s="29"/>
    </row>
    <row r="464" spans="1:25" ht="14.4">
      <c r="A464" s="148">
        <v>1</v>
      </c>
      <c r="B464" s="202" t="s">
        <v>2774</v>
      </c>
      <c r="C464" s="33">
        <v>466</v>
      </c>
      <c r="D464" s="203" t="s">
        <v>2663</v>
      </c>
      <c r="E464" s="204">
        <v>43829</v>
      </c>
      <c r="F464" s="205" t="str">
        <f>HYPERLINK("https://www.suara.com/entertainment/2019/12/16/061500/di-ktp-baru-lucinta-luna-masih-pakai-nama-muhammad-fatah","Sumber")</f>
        <v>Sumber</v>
      </c>
      <c r="G464" s="206" t="str">
        <f>HYPERLINK("https://drive.google.com/open?id=19RPGM98Wbq-eaAEsO5N_aqpATA-PYdhP","Lokasi")</f>
        <v>Lokasi</v>
      </c>
      <c r="H464" s="207">
        <v>209</v>
      </c>
      <c r="I464" s="8">
        <v>2</v>
      </c>
      <c r="J464" s="8">
        <v>4</v>
      </c>
      <c r="K464" s="208"/>
      <c r="L464" s="8">
        <v>0</v>
      </c>
      <c r="M464" s="8">
        <v>0</v>
      </c>
      <c r="N464" s="8">
        <v>-1</v>
      </c>
      <c r="O464" s="8">
        <v>0</v>
      </c>
      <c r="P464" s="8">
        <v>0</v>
      </c>
      <c r="Q464" s="8"/>
      <c r="R464" s="8"/>
      <c r="S464" s="212"/>
      <c r="T464" s="8">
        <v>0</v>
      </c>
      <c r="U464" s="8">
        <v>0</v>
      </c>
      <c r="V464" s="8">
        <v>0</v>
      </c>
      <c r="W464" s="9"/>
      <c r="X464" s="9"/>
      <c r="Y464" s="9"/>
    </row>
    <row r="465" spans="1:25" ht="13.2">
      <c r="A465" s="184">
        <v>1</v>
      </c>
      <c r="B465" s="185" t="s">
        <v>2775</v>
      </c>
      <c r="C465" s="22">
        <v>467</v>
      </c>
      <c r="D465" s="185" t="s">
        <v>2663</v>
      </c>
      <c r="E465" s="199">
        <v>43741</v>
      </c>
      <c r="F465" s="210" t="str">
        <f>HYPERLINK("https://www.suara.com/bola/2019/10/03/145000/tampil-seksi-presenter-cantik-italia-disuruh-lepas-baju-di-stadion","Sumber")</f>
        <v>Sumber</v>
      </c>
      <c r="G465" s="186" t="str">
        <f>HYPERLINK("https://drive.google.com/open?id=1rfsnw8DkxoIyGpoaLSn0mLWgKMkI1zTZ","Lokasi")</f>
        <v>Lokasi</v>
      </c>
      <c r="H465" s="185">
        <v>151</v>
      </c>
      <c r="I465" s="30">
        <v>1</v>
      </c>
      <c r="J465" s="30">
        <v>1</v>
      </c>
      <c r="K465" s="201"/>
      <c r="L465" s="30">
        <v>0</v>
      </c>
      <c r="M465" s="30">
        <v>-1</v>
      </c>
      <c r="N465" s="30">
        <v>-1</v>
      </c>
      <c r="O465" s="30">
        <v>-1</v>
      </c>
      <c r="P465" s="30">
        <v>-1</v>
      </c>
      <c r="Q465" s="30"/>
      <c r="R465" s="30"/>
      <c r="S465" s="189"/>
      <c r="T465" s="30">
        <v>0</v>
      </c>
      <c r="U465" s="30">
        <v>0</v>
      </c>
      <c r="V465" s="30">
        <v>0</v>
      </c>
      <c r="W465" s="1"/>
      <c r="X465" s="1"/>
      <c r="Y465" s="1"/>
    </row>
    <row r="466" spans="1:25" ht="14.4">
      <c r="A466" s="135">
        <v>1</v>
      </c>
      <c r="B466" s="194" t="s">
        <v>2776</v>
      </c>
      <c r="C466" s="137">
        <v>468</v>
      </c>
      <c r="D466" s="173" t="s">
        <v>2663</v>
      </c>
      <c r="E466" s="195">
        <v>43742</v>
      </c>
      <c r="F466" s="196" t="str">
        <f>HYPERLINK("https://www.suara.com/health/2019/10/04/171500/alami-kdrt-wanita-ini-cedera-parah-sampai-butuh-transplantasi-wajah","Sumber")</f>
        <v>Sumber</v>
      </c>
      <c r="G466" s="175" t="str">
        <f>HYPERLINK("https://drive.google.com/open?id=1JhEbph2s1Ni6_Zkw1PZKUlN0o9QgJKyY","Lokasi")</f>
        <v>Lokasi</v>
      </c>
      <c r="H466" s="197">
        <v>244</v>
      </c>
      <c r="I466" s="144">
        <v>1</v>
      </c>
      <c r="J466" s="144">
        <v>1</v>
      </c>
      <c r="K466" s="176"/>
      <c r="L466" s="144">
        <v>0</v>
      </c>
      <c r="M466" s="144">
        <v>0</v>
      </c>
      <c r="N466" s="144">
        <v>-1</v>
      </c>
      <c r="O466" s="144">
        <v>0</v>
      </c>
      <c r="P466" s="144">
        <v>0</v>
      </c>
      <c r="Q466" s="144"/>
      <c r="R466" s="144"/>
      <c r="S466" s="178"/>
      <c r="T466" s="144">
        <v>0</v>
      </c>
      <c r="U466" s="144">
        <v>0</v>
      </c>
      <c r="V466" s="144">
        <v>0</v>
      </c>
      <c r="W466" s="145"/>
      <c r="X466" s="145"/>
      <c r="Y466" s="145"/>
    </row>
    <row r="467" spans="1:25" ht="13.2">
      <c r="A467" s="179">
        <v>2</v>
      </c>
      <c r="B467" s="180" t="s">
        <v>998</v>
      </c>
      <c r="C467" s="25">
        <v>469</v>
      </c>
      <c r="D467" s="180" t="s">
        <v>2705</v>
      </c>
      <c r="E467" s="190">
        <v>43743</v>
      </c>
      <c r="F467" s="191" t="str">
        <f>HYPERLINK("https://news.detik.com/berita/d-4734501/tampil-di-media-veronica-koman-diingatkan-soal-beasiswa","Sumber")</f>
        <v>Sumber</v>
      </c>
      <c r="G467" s="21" t="s">
        <v>2661</v>
      </c>
      <c r="H467" s="180">
        <v>202</v>
      </c>
      <c r="I467" s="29"/>
      <c r="J467" s="29"/>
      <c r="K467" s="183"/>
      <c r="L467" s="29"/>
      <c r="M467" s="29"/>
      <c r="N467" s="29"/>
      <c r="O467" s="29"/>
      <c r="P467" s="29"/>
      <c r="Q467" s="29"/>
      <c r="R467" s="29"/>
      <c r="S467" s="183"/>
      <c r="T467" s="29"/>
      <c r="U467" s="29"/>
      <c r="V467" s="29"/>
      <c r="W467" s="29"/>
      <c r="X467" s="29"/>
      <c r="Y467" s="29"/>
    </row>
    <row r="468" spans="1:25" ht="13.2">
      <c r="A468" s="179">
        <v>2</v>
      </c>
      <c r="B468" s="180" t="s">
        <v>2777</v>
      </c>
      <c r="C468" s="25">
        <v>470</v>
      </c>
      <c r="D468" s="180" t="s">
        <v>2674</v>
      </c>
      <c r="E468" s="190">
        <v>43743</v>
      </c>
      <c r="F468" s="191" t="str">
        <f>HYPERLINK("https://celebrity.okezone.com/read/2019/10/05/33/2113130/demi-cinta-jodie-foster-john-hinckley-jr-tembak-ronald-reagan","Sumber")</f>
        <v>Sumber</v>
      </c>
      <c r="G468" s="21" t="s">
        <v>2661</v>
      </c>
      <c r="H468" s="180">
        <v>492</v>
      </c>
      <c r="I468" s="29"/>
      <c r="J468" s="29"/>
      <c r="K468" s="183"/>
      <c r="L468" s="29"/>
      <c r="M468" s="29"/>
      <c r="N468" s="29"/>
      <c r="O468" s="29"/>
      <c r="P468" s="29"/>
      <c r="Q468" s="29"/>
      <c r="R468" s="29"/>
      <c r="S468" s="183"/>
      <c r="T468" s="29"/>
      <c r="U468" s="29"/>
      <c r="V468" s="29"/>
      <c r="W468" s="29"/>
      <c r="X468" s="29"/>
      <c r="Y468" s="29"/>
    </row>
    <row r="469" spans="1:25" ht="13.2">
      <c r="A469" s="179">
        <v>2</v>
      </c>
      <c r="B469" s="180" t="s">
        <v>2778</v>
      </c>
      <c r="C469" s="25">
        <v>471</v>
      </c>
      <c r="D469" s="180" t="s">
        <v>2669</v>
      </c>
      <c r="E469" s="190">
        <v>43744</v>
      </c>
      <c r="F469" s="191" t="str">
        <f>HYPERLINK("https://tirto.id/sarkem-usai-kebakaran-sepi-pengunjung-dan-bau-mayat-ejh7","Sumber")</f>
        <v>Sumber</v>
      </c>
      <c r="G469" s="21" t="s">
        <v>2661</v>
      </c>
      <c r="H469" s="180">
        <v>671</v>
      </c>
      <c r="I469" s="29"/>
      <c r="J469" s="29"/>
      <c r="K469" s="183"/>
      <c r="L469" s="29"/>
      <c r="M469" s="29"/>
      <c r="N469" s="29"/>
      <c r="O469" s="29"/>
      <c r="P469" s="29"/>
      <c r="Q469" s="29"/>
      <c r="R469" s="29"/>
      <c r="S469" s="183"/>
      <c r="T469" s="29"/>
      <c r="U469" s="29"/>
      <c r="V469" s="29"/>
      <c r="W469" s="29"/>
      <c r="X469" s="29"/>
      <c r="Y469" s="29"/>
    </row>
    <row r="470" spans="1:25" ht="14.4">
      <c r="A470" s="135">
        <v>1</v>
      </c>
      <c r="B470" s="194" t="s">
        <v>2779</v>
      </c>
      <c r="C470" s="137">
        <v>472</v>
      </c>
      <c r="D470" s="173" t="s">
        <v>2680</v>
      </c>
      <c r="E470" s="195">
        <v>43744</v>
      </c>
      <c r="F470" s="196" t="str">
        <f>HYPERLINK("https://www.tribunnews.com/regional/2019/10/06/dibekap-dan-akan-diperkosa-oleh-teman-suaminya-ibu-muda-ini-melawan-dan-bikin-pelaku-kecut","Sumber")</f>
        <v>Sumber</v>
      </c>
      <c r="G470" s="175" t="str">
        <f>HYPERLINK("https://drive.google.com/open?id=1_5VoYvLmKKMngcFkTxe8tAxstYD_oMk4","Lokasi")</f>
        <v>Lokasi</v>
      </c>
      <c r="H470" s="197">
        <v>212</v>
      </c>
      <c r="I470" s="144">
        <v>1</v>
      </c>
      <c r="J470" s="144">
        <v>1</v>
      </c>
      <c r="K470" s="176" t="s">
        <v>2780</v>
      </c>
      <c r="L470" s="144">
        <v>0</v>
      </c>
      <c r="M470" s="144">
        <v>-1</v>
      </c>
      <c r="N470" s="177">
        <v>0</v>
      </c>
      <c r="O470" s="144">
        <v>-1</v>
      </c>
      <c r="P470" s="144">
        <v>0</v>
      </c>
      <c r="Q470" s="144" t="s">
        <v>29</v>
      </c>
      <c r="R470" s="144" t="s">
        <v>29</v>
      </c>
      <c r="S470" s="178"/>
      <c r="T470" s="144">
        <v>0</v>
      </c>
      <c r="U470" s="144">
        <v>0</v>
      </c>
      <c r="V470" s="144">
        <v>0</v>
      </c>
      <c r="W470" s="145"/>
      <c r="X470" s="145"/>
      <c r="Y470" s="145"/>
    </row>
    <row r="471" spans="1:25" ht="14.4">
      <c r="A471" s="135">
        <v>1</v>
      </c>
      <c r="B471" s="194" t="s">
        <v>2781</v>
      </c>
      <c r="C471" s="137">
        <v>473</v>
      </c>
      <c r="D471" s="173" t="s">
        <v>2660</v>
      </c>
      <c r="E471" s="195">
        <v>43745</v>
      </c>
      <c r="F471" s="196" t="str">
        <f>HYPERLINK("https://www.cnnindonesia.com/internasional/20191007124448-106-437417/perempuan-wni-dibakar-suami-di-kuwait-alami-cedera-serius","Sumber")</f>
        <v>Sumber</v>
      </c>
      <c r="G471" s="175" t="str">
        <f>HYPERLINK("https://drive.google.com/open?id=1GQN6EOGya2hlORgYVhmGkCPV4PPsxrl-","Lokasi")</f>
        <v>Lokasi</v>
      </c>
      <c r="H471" s="197">
        <v>224</v>
      </c>
      <c r="I471" s="144">
        <v>1</v>
      </c>
      <c r="J471" s="144">
        <v>1</v>
      </c>
      <c r="K471" s="176" t="s">
        <v>2782</v>
      </c>
      <c r="L471" s="144">
        <v>0</v>
      </c>
      <c r="M471" s="144">
        <v>-1</v>
      </c>
      <c r="N471" s="177">
        <v>0</v>
      </c>
      <c r="O471" s="144">
        <v>0</v>
      </c>
      <c r="P471" s="144">
        <v>0</v>
      </c>
      <c r="Q471" s="144">
        <v>0</v>
      </c>
      <c r="R471" s="144">
        <v>0</v>
      </c>
      <c r="S471" s="178"/>
      <c r="T471" s="144">
        <v>0</v>
      </c>
      <c r="U471" s="144">
        <v>0</v>
      </c>
      <c r="V471" s="144">
        <v>0</v>
      </c>
      <c r="W471" s="145"/>
      <c r="X471" s="145"/>
      <c r="Y471" s="145"/>
    </row>
    <row r="472" spans="1:25" ht="14.4">
      <c r="A472" s="135">
        <v>1</v>
      </c>
      <c r="B472" s="194" t="s">
        <v>2783</v>
      </c>
      <c r="C472" s="137">
        <v>474</v>
      </c>
      <c r="D472" s="173" t="s">
        <v>2663</v>
      </c>
      <c r="E472" s="195">
        <v>43745</v>
      </c>
      <c r="F472" s="196" t="str">
        <f>HYPERLINK("https://www.suara.com/news/2019/10/07/173849/perempuan-indonesia-dibakar-hidup-hidup-suaminya-di-kuwait","Sumber")</f>
        <v>Sumber</v>
      </c>
      <c r="G472" s="175" t="str">
        <f>HYPERLINK("https://drive.google.com/open?id=1Rz6ZCxUAPQpdPhe8pETg3E5wMy6Jcc3J","Lokasi")</f>
        <v>Lokasi</v>
      </c>
      <c r="H472" s="197">
        <v>190</v>
      </c>
      <c r="I472" s="144">
        <v>1</v>
      </c>
      <c r="J472" s="144">
        <v>1</v>
      </c>
      <c r="K472" s="176" t="s">
        <v>2784</v>
      </c>
      <c r="L472" s="144">
        <v>0</v>
      </c>
      <c r="M472" s="144">
        <v>-1</v>
      </c>
      <c r="N472" s="177">
        <v>0</v>
      </c>
      <c r="O472" s="144">
        <v>0</v>
      </c>
      <c r="P472" s="144">
        <v>0</v>
      </c>
      <c r="Q472" s="144">
        <v>0</v>
      </c>
      <c r="R472" s="144">
        <v>1</v>
      </c>
      <c r="S472" s="178"/>
      <c r="T472" s="144">
        <v>0</v>
      </c>
      <c r="U472" s="144">
        <v>0</v>
      </c>
      <c r="V472" s="144">
        <v>0</v>
      </c>
      <c r="W472" s="145"/>
      <c r="X472" s="145"/>
      <c r="Y472" s="145"/>
    </row>
    <row r="473" spans="1:25" ht="13.2">
      <c r="A473" s="184">
        <v>1</v>
      </c>
      <c r="B473" s="185" t="s">
        <v>2785</v>
      </c>
      <c r="C473" s="22">
        <v>475</v>
      </c>
      <c r="D473" s="185" t="s">
        <v>2705</v>
      </c>
      <c r="E473" s="199">
        <v>43746</v>
      </c>
      <c r="F473" s="210" t="str">
        <f>HYPERLINK("https://news.detik.com/internasional/d-4737991/ketua-parlemen-nepal-ditangkap-atas-dugaan-pemerkosaan","Sumber")</f>
        <v>Sumber</v>
      </c>
      <c r="G473" s="186" t="str">
        <f>HYPERLINK("https://drive.google.com/open?id=18Ieyx7ZrvoUufNi2DYVlvOikVwvjHOW3","Lokasi")</f>
        <v>Lokasi</v>
      </c>
      <c r="H473" s="185">
        <v>153</v>
      </c>
      <c r="I473" s="30">
        <v>1</v>
      </c>
      <c r="J473" s="30">
        <v>1</v>
      </c>
      <c r="K473" s="201" t="s">
        <v>2786</v>
      </c>
      <c r="L473" s="30">
        <v>0</v>
      </c>
      <c r="M473" s="30">
        <v>-1</v>
      </c>
      <c r="N473" s="188">
        <v>0</v>
      </c>
      <c r="O473" s="30">
        <v>1</v>
      </c>
      <c r="P473" s="30">
        <v>0</v>
      </c>
      <c r="Q473" s="30" t="s">
        <v>87</v>
      </c>
      <c r="R473" s="30" t="s">
        <v>29</v>
      </c>
      <c r="S473" s="189"/>
      <c r="T473" s="30">
        <v>0</v>
      </c>
      <c r="U473" s="30">
        <v>0</v>
      </c>
      <c r="V473" s="30">
        <v>0</v>
      </c>
      <c r="W473" s="1"/>
      <c r="X473" s="1"/>
      <c r="Y473" s="1"/>
    </row>
    <row r="474" spans="1:25" ht="14.4">
      <c r="A474" s="135">
        <v>1</v>
      </c>
      <c r="B474" s="194" t="s">
        <v>2787</v>
      </c>
      <c r="C474" s="137">
        <v>476</v>
      </c>
      <c r="D474" s="173">
        <v>10</v>
      </c>
      <c r="E474" s="195">
        <v>43746</v>
      </c>
      <c r="F474" s="196" t="str">
        <f>HYPERLINK("https://nasional.tempo.co/read/1257319/jaringan-prostitusi-dengan-konsumen-warga-timur-tengah-dibongkar","Sumber")</f>
        <v>Sumber</v>
      </c>
      <c r="G474" s="175" t="str">
        <f>HYPERLINK("https://drive.google.com/open?id=1Rw5Y8mcjzKa-1rzxrWkzsjpfEZocEuAO","Lokasi")</f>
        <v>Lokasi</v>
      </c>
      <c r="H474" s="197">
        <v>359</v>
      </c>
      <c r="I474" s="144">
        <v>1</v>
      </c>
      <c r="J474" s="144">
        <v>1</v>
      </c>
      <c r="K474" s="176" t="s">
        <v>2788</v>
      </c>
      <c r="L474" s="144">
        <v>0</v>
      </c>
      <c r="M474" s="144">
        <v>-1</v>
      </c>
      <c r="N474" s="177">
        <v>0</v>
      </c>
      <c r="O474" s="144">
        <v>0</v>
      </c>
      <c r="P474" s="144">
        <v>0</v>
      </c>
      <c r="Q474" s="144" t="s">
        <v>29</v>
      </c>
      <c r="R474" s="144" t="s">
        <v>53</v>
      </c>
      <c r="S474" s="178"/>
      <c r="T474" s="144">
        <v>0</v>
      </c>
      <c r="U474" s="144">
        <v>0</v>
      </c>
      <c r="V474" s="144">
        <v>0</v>
      </c>
      <c r="W474" s="145"/>
      <c r="X474" s="145"/>
      <c r="Y474" s="145"/>
    </row>
    <row r="475" spans="1:25" ht="13.2">
      <c r="A475" s="184">
        <v>1</v>
      </c>
      <c r="B475" s="185" t="s">
        <v>2789</v>
      </c>
      <c r="C475" s="22">
        <v>477</v>
      </c>
      <c r="D475" s="185">
        <v>10</v>
      </c>
      <c r="E475" s="199">
        <v>43748</v>
      </c>
      <c r="F475" s="210" t="str">
        <f>HYPERLINK("https://bisnis.tempo.co/read/1257907/kementerian-pppa-minta-pt-kai-seret-pelaku-pelecehan-ke-penegak-hukum","Sumber")</f>
        <v>Sumber</v>
      </c>
      <c r="G475" s="186" t="str">
        <f>HYPERLINK("https://drive.google.com/open?id=13S1iCdDGjrw_vj1z1tGNT9IlPMOddWmg","Lokasi")</f>
        <v>Lokasi</v>
      </c>
      <c r="H475" s="185">
        <v>351</v>
      </c>
      <c r="I475" s="30">
        <v>4</v>
      </c>
      <c r="J475" s="30">
        <v>1</v>
      </c>
      <c r="K475" s="201" t="s">
        <v>2790</v>
      </c>
      <c r="L475" s="30">
        <v>0</v>
      </c>
      <c r="M475" s="30">
        <v>0</v>
      </c>
      <c r="N475" s="188">
        <v>0</v>
      </c>
      <c r="O475" s="30">
        <v>0</v>
      </c>
      <c r="P475" s="30">
        <v>0</v>
      </c>
      <c r="Q475" s="146" t="s">
        <v>21</v>
      </c>
      <c r="R475" s="30" t="s">
        <v>360</v>
      </c>
      <c r="S475" s="189"/>
      <c r="T475" s="30">
        <v>0</v>
      </c>
      <c r="U475" s="30">
        <v>0</v>
      </c>
      <c r="V475" s="30">
        <v>0</v>
      </c>
      <c r="W475" s="1"/>
      <c r="X475" s="1"/>
      <c r="Y475" s="1"/>
    </row>
    <row r="476" spans="1:25" ht="13.2">
      <c r="A476" s="179">
        <v>2</v>
      </c>
      <c r="B476" s="180" t="s">
        <v>2791</v>
      </c>
      <c r="C476" s="25">
        <v>478</v>
      </c>
      <c r="D476" s="180" t="s">
        <v>2663</v>
      </c>
      <c r="E476" s="190">
        <v>43785</v>
      </c>
      <c r="F476" s="191" t="str">
        <f>HYPERLINK("https://www.suara.com/news/2019/11/16/133507/bunuh-putranya-ayah-lebih-baik-mati-daripada-punya-anak-gay","Sumber")</f>
        <v>Sumber</v>
      </c>
      <c r="G476" s="21" t="s">
        <v>2661</v>
      </c>
      <c r="H476" s="180">
        <v>226</v>
      </c>
      <c r="I476" s="29"/>
      <c r="J476" s="29"/>
      <c r="K476" s="183"/>
      <c r="L476" s="29"/>
      <c r="M476" s="29"/>
      <c r="N476" s="29"/>
      <c r="O476" s="29"/>
      <c r="P476" s="29"/>
      <c r="Q476" s="29"/>
      <c r="R476" s="29"/>
      <c r="S476" s="183"/>
      <c r="T476" s="29"/>
      <c r="U476" s="29"/>
      <c r="V476" s="29"/>
      <c r="W476" s="29"/>
      <c r="X476" s="29"/>
      <c r="Y476" s="29"/>
    </row>
    <row r="477" spans="1:25" ht="14.4">
      <c r="A477" s="135">
        <v>1</v>
      </c>
      <c r="B477" s="194" t="s">
        <v>2792</v>
      </c>
      <c r="C477" s="137">
        <v>479</v>
      </c>
      <c r="D477" s="173">
        <v>6</v>
      </c>
      <c r="E477" s="195">
        <v>43787</v>
      </c>
      <c r="F477" s="196" t="str">
        <f>HYPERLINK("https://regional.kompas.com/read/2019/11/18/14152231/pelaku-pelemparan-sperma-di-tasikmalaya-ditangkap","Sumber")</f>
        <v>Sumber</v>
      </c>
      <c r="G477" s="175" t="str">
        <f>HYPERLINK("https://drive.google.com/open?id=1f5mzdXWCJSu-pE5BwRu4y1jbyqrZ9NBx","Lokasi")</f>
        <v>Lokasi</v>
      </c>
      <c r="H477" s="197">
        <v>272</v>
      </c>
      <c r="I477" s="144">
        <v>1</v>
      </c>
      <c r="J477" s="144">
        <v>1</v>
      </c>
      <c r="K477" s="176" t="s">
        <v>2793</v>
      </c>
      <c r="L477" s="144">
        <v>0</v>
      </c>
      <c r="M477" s="144">
        <v>-1</v>
      </c>
      <c r="N477" s="177">
        <v>0</v>
      </c>
      <c r="O477" s="144">
        <v>1</v>
      </c>
      <c r="P477" s="144">
        <v>-1</v>
      </c>
      <c r="Q477" s="144" t="s">
        <v>87</v>
      </c>
      <c r="R477" s="144" t="s">
        <v>29</v>
      </c>
      <c r="S477" s="176" t="s">
        <v>2794</v>
      </c>
      <c r="T477" s="144">
        <v>1</v>
      </c>
      <c r="U477" s="144">
        <v>0</v>
      </c>
      <c r="V477" s="144">
        <v>0</v>
      </c>
      <c r="W477" s="145"/>
      <c r="X477" s="145"/>
      <c r="Y477" s="145"/>
    </row>
    <row r="478" spans="1:25" ht="13.2">
      <c r="A478" s="184">
        <v>1</v>
      </c>
      <c r="B478" s="185" t="s">
        <v>2795</v>
      </c>
      <c r="C478" s="22">
        <v>480</v>
      </c>
      <c r="D478" s="185" t="s">
        <v>2663</v>
      </c>
      <c r="E478" s="199">
        <v>43787</v>
      </c>
      <c r="F478" s="210" t="str">
        <f>HYPERLINK("https://www.suara.com/health/2019/11/18/152115/bisakah-gangguan-eksibisionisme-dideteksi-ini-jawaban-seksolog","Sumber")</f>
        <v>Sumber</v>
      </c>
      <c r="G478" s="186" t="str">
        <f>HYPERLINK("https://drive.google.com/open?id=1_gp_HYSFcnomQwJZLmVaQj2Lgt9J3LD6","Lokasi")</f>
        <v>Lokasi</v>
      </c>
      <c r="H478" s="185">
        <v>224</v>
      </c>
      <c r="I478" s="30">
        <v>5</v>
      </c>
      <c r="J478" s="30">
        <v>1</v>
      </c>
      <c r="K478" s="201" t="s">
        <v>2796</v>
      </c>
      <c r="L478" s="30">
        <v>0</v>
      </c>
      <c r="M478" s="30">
        <v>0</v>
      </c>
      <c r="N478" s="188">
        <v>0</v>
      </c>
      <c r="O478" s="30">
        <v>1</v>
      </c>
      <c r="P478" s="30">
        <v>0</v>
      </c>
      <c r="Q478" s="30" t="s">
        <v>29</v>
      </c>
      <c r="R478" s="30" t="s">
        <v>29</v>
      </c>
      <c r="S478" s="201" t="s">
        <v>2797</v>
      </c>
      <c r="T478" s="30">
        <v>2</v>
      </c>
      <c r="U478" s="30">
        <v>0</v>
      </c>
      <c r="V478" s="30">
        <v>1</v>
      </c>
      <c r="W478" s="1"/>
      <c r="X478" s="1"/>
      <c r="Y478" s="1"/>
    </row>
    <row r="479" spans="1:25" ht="14.4">
      <c r="A479" s="135">
        <v>1</v>
      </c>
      <c r="B479" s="194" t="s">
        <v>2798</v>
      </c>
      <c r="C479" s="137">
        <v>481</v>
      </c>
      <c r="D479" s="173" t="s">
        <v>2672</v>
      </c>
      <c r="E479" s="195">
        <v>43788</v>
      </c>
      <c r="F479" s="196" t="str">
        <f>HYPERLINK("https://nasional.republika.co.id/berita/q17eo2335/pelempar-sperma-di-tasikmalaya-jadi-tersangka","Sumber")</f>
        <v>Sumber</v>
      </c>
      <c r="G479" s="175" t="str">
        <f>HYPERLINK("https://drive.google.com/open?id=1P5rZ1gyJWqjzHO-rMftLRNi68FKbxHPx","Lokasi")</f>
        <v>Lokasi</v>
      </c>
      <c r="H479" s="197">
        <v>231</v>
      </c>
      <c r="I479" s="144">
        <v>1</v>
      </c>
      <c r="J479" s="144">
        <v>1</v>
      </c>
      <c r="K479" s="217" t="s">
        <v>2799</v>
      </c>
      <c r="L479" s="144">
        <v>0</v>
      </c>
      <c r="M479" s="144">
        <v>0</v>
      </c>
      <c r="N479" s="177">
        <v>0</v>
      </c>
      <c r="O479" s="144">
        <v>1</v>
      </c>
      <c r="P479" s="144">
        <v>-1</v>
      </c>
      <c r="Q479" s="144">
        <v>0</v>
      </c>
      <c r="R479" s="144">
        <v>0</v>
      </c>
      <c r="S479" s="178"/>
      <c r="T479" s="144">
        <v>0</v>
      </c>
      <c r="U479" s="144">
        <v>0</v>
      </c>
      <c r="V479" s="144">
        <v>0</v>
      </c>
      <c r="W479" s="145"/>
      <c r="X479" s="145"/>
      <c r="Y479" s="145"/>
    </row>
    <row r="480" spans="1:25" ht="14.4">
      <c r="A480" s="135">
        <v>1</v>
      </c>
      <c r="B480" s="194" t="s">
        <v>2800</v>
      </c>
      <c r="C480" s="137">
        <v>482</v>
      </c>
      <c r="D480" s="173" t="s">
        <v>2689</v>
      </c>
      <c r="E480" s="195">
        <v>43790</v>
      </c>
      <c r="F480" s="196" t="str">
        <f>HYPERLINK("https://regional.kompas.com/read/2019/11/21/05230081/akhir-perjalanan-sn-pelaku-pelemparan-sperma-dan-begal-payudara-di","Sumber")</f>
        <v>Sumber</v>
      </c>
      <c r="G480" s="175" t="str">
        <f>HYPERLINK("https://drive.google.com/open?id=1kSHyEG9T-2z-DoMs3CCMwuUPuOC1KOPf","Lokasi")</f>
        <v>Lokasi</v>
      </c>
      <c r="H480" s="197">
        <v>245</v>
      </c>
      <c r="I480" s="144">
        <v>1</v>
      </c>
      <c r="J480" s="144">
        <v>1</v>
      </c>
      <c r="K480" s="176" t="s">
        <v>2801</v>
      </c>
      <c r="L480" s="144">
        <v>0</v>
      </c>
      <c r="M480" s="144">
        <v>0</v>
      </c>
      <c r="N480" s="177">
        <v>0</v>
      </c>
      <c r="O480" s="144">
        <v>1</v>
      </c>
      <c r="P480" s="144">
        <v>-1</v>
      </c>
      <c r="Q480" s="144" t="s">
        <v>21</v>
      </c>
      <c r="R480" s="144" t="s">
        <v>21</v>
      </c>
      <c r="S480" s="176" t="s">
        <v>2802</v>
      </c>
      <c r="T480" s="144">
        <v>8</v>
      </c>
      <c r="U480" s="144">
        <v>0</v>
      </c>
      <c r="V480" s="144">
        <v>0</v>
      </c>
      <c r="W480" s="145"/>
      <c r="X480" s="145"/>
      <c r="Y480" s="145"/>
    </row>
    <row r="481" spans="1:25" ht="13.2">
      <c r="A481" s="184">
        <v>1</v>
      </c>
      <c r="B481" s="185" t="s">
        <v>2803</v>
      </c>
      <c r="C481" s="22">
        <v>483</v>
      </c>
      <c r="D481" s="185" t="s">
        <v>2674</v>
      </c>
      <c r="E481" s="199">
        <v>43790</v>
      </c>
      <c r="F481" s="210" t="str">
        <f>HYPERLINK("https://news.okezone.com/read/2019/11/20/610/2132431/kecanduan-film-porno-remaja-cabuli-keponakan-yang-masih-sd","Sumber")</f>
        <v>Sumber</v>
      </c>
      <c r="G481" s="186" t="str">
        <f>HYPERLINK("https://drive.google.com/open?id=1UlnIFxIvbJSCBL8fX5cqJ2UOI6VFFsDp","Lokasi")</f>
        <v>Lokasi</v>
      </c>
      <c r="H481" s="185">
        <v>231</v>
      </c>
      <c r="I481" s="30">
        <v>1</v>
      </c>
      <c r="J481" s="30">
        <v>1</v>
      </c>
      <c r="K481" s="201" t="s">
        <v>2804</v>
      </c>
      <c r="L481" s="30">
        <v>0</v>
      </c>
      <c r="M481" s="30">
        <v>0</v>
      </c>
      <c r="N481" s="188">
        <v>0</v>
      </c>
      <c r="O481" s="30">
        <v>1</v>
      </c>
      <c r="P481" s="30">
        <v>0</v>
      </c>
      <c r="Q481" s="30" t="s">
        <v>29</v>
      </c>
      <c r="R481" s="30" t="s">
        <v>29</v>
      </c>
      <c r="S481" s="189"/>
      <c r="T481" s="30">
        <v>0</v>
      </c>
      <c r="U481" s="30">
        <v>0</v>
      </c>
      <c r="V481" s="30">
        <v>0</v>
      </c>
      <c r="W481" s="1"/>
      <c r="X481" s="1"/>
      <c r="Y481" s="1"/>
    </row>
    <row r="482" spans="1:25" ht="13.2">
      <c r="A482" s="179">
        <v>2</v>
      </c>
      <c r="B482" s="180" t="s">
        <v>2805</v>
      </c>
      <c r="C482" s="25">
        <v>484</v>
      </c>
      <c r="D482" s="180" t="s">
        <v>2672</v>
      </c>
      <c r="E482" s="190">
        <v>43790</v>
      </c>
      <c r="F482" s="191" t="str">
        <f>HYPERLINK("https://bola.republika.co.id/berita/q1b4a7438/pesepak-bola-belanda-protes-rasisme-dengan-berhenti-bermain","Sumber")</f>
        <v>Sumber</v>
      </c>
      <c r="G482" s="21" t="s">
        <v>2661</v>
      </c>
      <c r="H482" s="180">
        <v>240</v>
      </c>
      <c r="I482" s="29"/>
      <c r="J482" s="29"/>
      <c r="K482" s="183"/>
      <c r="L482" s="29"/>
      <c r="M482" s="29"/>
      <c r="N482" s="29"/>
      <c r="O482" s="29"/>
      <c r="P482" s="29"/>
      <c r="Q482" s="29"/>
      <c r="R482" s="29"/>
      <c r="S482" s="183"/>
      <c r="T482" s="29"/>
      <c r="U482" s="29"/>
      <c r="V482" s="29"/>
      <c r="W482" s="29"/>
      <c r="X482" s="29"/>
      <c r="Y482" s="29"/>
    </row>
    <row r="483" spans="1:25" ht="13.2">
      <c r="A483" s="184">
        <v>1</v>
      </c>
      <c r="B483" s="185" t="s">
        <v>2806</v>
      </c>
      <c r="C483" s="22">
        <v>485</v>
      </c>
      <c r="D483" s="185">
        <v>6</v>
      </c>
      <c r="E483" s="199">
        <v>43791</v>
      </c>
      <c r="F483" s="210" t="str">
        <f>HYPERLINK("https://megapolitan.kompas.com/read/2019/11/22/11301031/lpsk-akan-dorong-polisi-tangkap-pelaku-pemerkosaan-anak-oleh-ayah-tiri","Sumber")</f>
        <v>Sumber</v>
      </c>
      <c r="G483" s="186" t="str">
        <f>HYPERLINK("https://drive.google.com/open?id=1MHlM-gCpKqw0ZWLWIzw_Ut_tXIlRv3pm","Lokasi")</f>
        <v>Lokasi</v>
      </c>
      <c r="H483" s="185">
        <v>291</v>
      </c>
      <c r="I483" s="30">
        <v>1</v>
      </c>
      <c r="J483" s="30">
        <v>1</v>
      </c>
      <c r="K483" s="201" t="s">
        <v>2807</v>
      </c>
      <c r="L483" s="30">
        <v>0</v>
      </c>
      <c r="M483" s="30">
        <v>-1</v>
      </c>
      <c r="N483" s="188">
        <v>0</v>
      </c>
      <c r="O483" s="30">
        <v>1</v>
      </c>
      <c r="P483" s="30">
        <v>0</v>
      </c>
      <c r="Q483" s="30">
        <v>0</v>
      </c>
      <c r="R483" s="30">
        <v>0</v>
      </c>
      <c r="S483" s="189"/>
      <c r="T483" s="30">
        <v>0</v>
      </c>
      <c r="U483" s="30">
        <v>0</v>
      </c>
      <c r="V483" s="30">
        <v>0</v>
      </c>
      <c r="W483" s="1"/>
      <c r="X483" s="1"/>
      <c r="Y483" s="1"/>
    </row>
    <row r="484" spans="1:25" ht="14.4">
      <c r="A484" s="135">
        <v>1</v>
      </c>
      <c r="B484" s="194" t="s">
        <v>2808</v>
      </c>
      <c r="C484" s="137">
        <v>486</v>
      </c>
      <c r="D484" s="173" t="s">
        <v>2674</v>
      </c>
      <c r="E484" s="195">
        <v>43792</v>
      </c>
      <c r="F484" s="196" t="str">
        <f>HYPERLINK("https://news.okezone.com/read/2019/11/23/18/2133557/perempuan-korban-kdrt-minta-bantuan-dengan-pura-pura-memesan-piza","Sumber")</f>
        <v>Sumber</v>
      </c>
      <c r="G484" s="175" t="str">
        <f>HYPERLINK("https://drive.google.com/open?id=1Asn8-scR-Puk03cyY0OBv2ty4CpUAoEe","Lokasi")</f>
        <v>Lokasi</v>
      </c>
      <c r="H484" s="197">
        <v>592</v>
      </c>
      <c r="I484" s="144">
        <v>1</v>
      </c>
      <c r="J484" s="144">
        <v>1</v>
      </c>
      <c r="K484" s="176" t="s">
        <v>2809</v>
      </c>
      <c r="L484" s="144">
        <v>0</v>
      </c>
      <c r="M484" s="144">
        <v>0</v>
      </c>
      <c r="N484" s="177">
        <v>0</v>
      </c>
      <c r="O484" s="144">
        <v>0</v>
      </c>
      <c r="P484" s="144">
        <v>0</v>
      </c>
      <c r="Q484" s="144" t="s">
        <v>29</v>
      </c>
      <c r="R484" s="144" t="s">
        <v>29</v>
      </c>
      <c r="S484" s="178"/>
      <c r="T484" s="144">
        <v>0</v>
      </c>
      <c r="U484" s="144">
        <v>0</v>
      </c>
      <c r="V484" s="144">
        <v>0</v>
      </c>
      <c r="W484" s="145"/>
      <c r="X484" s="145"/>
      <c r="Y484" s="145"/>
    </row>
    <row r="485" spans="1:25" ht="13.2">
      <c r="A485" s="179">
        <v>2</v>
      </c>
      <c r="B485" s="180" t="s">
        <v>2810</v>
      </c>
      <c r="C485" s="25">
        <v>487</v>
      </c>
      <c r="D485" s="180">
        <v>10</v>
      </c>
      <c r="E485" s="190">
        <v>43793</v>
      </c>
      <c r="F485" s="191" t="str">
        <f>HYPERLINK("https://nasional.tempo.co/read/1275989/skb-11-instansi-soal-radikalisme-haris-azhar-ini-seperti-1965","Sumber")</f>
        <v>Sumber</v>
      </c>
      <c r="G485" s="21" t="s">
        <v>2661</v>
      </c>
      <c r="H485" s="180">
        <v>669</v>
      </c>
      <c r="I485" s="29"/>
      <c r="J485" s="29"/>
      <c r="K485" s="183"/>
      <c r="L485" s="29"/>
      <c r="M485" s="29"/>
      <c r="N485" s="29"/>
      <c r="O485" s="29"/>
      <c r="P485" s="29"/>
      <c r="Q485" s="29"/>
      <c r="R485" s="29"/>
      <c r="S485" s="183"/>
      <c r="T485" s="29"/>
      <c r="U485" s="29"/>
      <c r="V485" s="29"/>
      <c r="W485" s="29"/>
      <c r="X485" s="29"/>
      <c r="Y485" s="29"/>
    </row>
    <row r="486" spans="1:25" ht="13.2">
      <c r="A486" s="184">
        <v>1</v>
      </c>
      <c r="B486" s="185" t="s">
        <v>2811</v>
      </c>
      <c r="C486" s="22">
        <v>488</v>
      </c>
      <c r="D486" s="185" t="s">
        <v>2672</v>
      </c>
      <c r="E486" s="199">
        <v>43794</v>
      </c>
      <c r="F486" s="210" t="str">
        <f>HYPERLINK("https://nasional.republika.co.id/berita/q1itky384/komnas-perempuan-indonesia-darurat-kekerasan-seksual","Sumber")</f>
        <v>Sumber</v>
      </c>
      <c r="G486" s="186" t="str">
        <f>HYPERLINK("https://drive.google.com/open?id=1EKm5E6KI3yXOS76ff-C5CzdHB54GNvT9","Lokasi")</f>
        <v>Lokasi</v>
      </c>
      <c r="H486" s="185">
        <v>38</v>
      </c>
      <c r="I486" s="30">
        <v>3</v>
      </c>
      <c r="J486" s="30">
        <v>1</v>
      </c>
      <c r="K486" s="201" t="s">
        <v>2812</v>
      </c>
      <c r="L486" s="30">
        <v>0</v>
      </c>
      <c r="M486" s="30">
        <v>0</v>
      </c>
      <c r="N486" s="188">
        <v>0</v>
      </c>
      <c r="O486" s="30">
        <v>0</v>
      </c>
      <c r="P486" s="30">
        <v>0</v>
      </c>
      <c r="Q486" s="30" t="s">
        <v>1026</v>
      </c>
      <c r="R486" s="30" t="s">
        <v>1026</v>
      </c>
      <c r="S486" s="189"/>
      <c r="T486" s="30">
        <v>0</v>
      </c>
      <c r="U486" s="30">
        <v>0</v>
      </c>
      <c r="V486" s="30">
        <v>1</v>
      </c>
      <c r="W486" s="1"/>
      <c r="X486" s="1"/>
      <c r="Y486" s="1"/>
    </row>
    <row r="487" spans="1:25" ht="13.2">
      <c r="A487" s="184">
        <v>1</v>
      </c>
      <c r="B487" s="185" t="s">
        <v>2813</v>
      </c>
      <c r="C487" s="22">
        <v>489</v>
      </c>
      <c r="D487" s="185" t="s">
        <v>2663</v>
      </c>
      <c r="E487" s="199">
        <v>43795</v>
      </c>
      <c r="F487" s="210" t="str">
        <f>HYPERLINK("https://www.suara.com/lifestyle/2019/11/26/141427/kampanye-16-hari-anti-kekerasan-terhadap-perempuan-digelar","Sumber")</f>
        <v>Sumber</v>
      </c>
      <c r="G487" s="186" t="str">
        <f>HYPERLINK("https://drive.google.com/open?id=1RYQfYZLunBoMrfltm4E9yteAYT0hU9IF","Lokasi")</f>
        <v>Lokasi</v>
      </c>
      <c r="H487" s="185">
        <v>340</v>
      </c>
      <c r="I487" s="30">
        <v>3</v>
      </c>
      <c r="J487" s="30">
        <v>1</v>
      </c>
      <c r="K487" s="201" t="s">
        <v>2814</v>
      </c>
      <c r="L487" s="30">
        <v>0</v>
      </c>
      <c r="M487" s="30">
        <v>0</v>
      </c>
      <c r="N487" s="188">
        <v>0</v>
      </c>
      <c r="O487" s="30">
        <v>0</v>
      </c>
      <c r="P487" s="30">
        <v>0</v>
      </c>
      <c r="Q487" s="30" t="s">
        <v>182</v>
      </c>
      <c r="R487" s="30" t="s">
        <v>160</v>
      </c>
      <c r="S487" s="189"/>
      <c r="T487" s="30">
        <v>0</v>
      </c>
      <c r="U487" s="30">
        <v>0</v>
      </c>
      <c r="V487" s="30">
        <v>1</v>
      </c>
      <c r="W487" s="1"/>
      <c r="X487" s="1"/>
      <c r="Y487" s="1"/>
    </row>
    <row r="488" spans="1:25" ht="13.2">
      <c r="A488" s="184">
        <v>1</v>
      </c>
      <c r="B488" s="185" t="s">
        <v>2815</v>
      </c>
      <c r="C488" s="22">
        <v>490</v>
      </c>
      <c r="D488" s="185" t="s">
        <v>2669</v>
      </c>
      <c r="E488" s="199">
        <v>43818</v>
      </c>
      <c r="F488" s="210" t="str">
        <f>HYPERLINK("https://tirto.id/ugm-bohong-lagi-rektor-panut-lamban-teken-aturan-kekerasan-seksual-enJL","Sumber")</f>
        <v>Sumber</v>
      </c>
      <c r="G488" s="186" t="str">
        <f>HYPERLINK("https://drive.google.com/open?id=1_MVOFqyne3fbOpowGezx7ChNbvj7_VLR","Lokasi")</f>
        <v>Lokasi</v>
      </c>
      <c r="H488" s="185">
        <v>1557</v>
      </c>
      <c r="I488" s="30">
        <v>4</v>
      </c>
      <c r="J488" s="30">
        <v>1</v>
      </c>
      <c r="K488" s="218" t="s">
        <v>2816</v>
      </c>
      <c r="L488" s="30">
        <v>0</v>
      </c>
      <c r="M488" s="30">
        <v>0</v>
      </c>
      <c r="N488" s="188">
        <v>0</v>
      </c>
      <c r="O488" s="30">
        <v>0</v>
      </c>
      <c r="P488" s="30">
        <v>0</v>
      </c>
      <c r="Q488" s="30" t="s">
        <v>855</v>
      </c>
      <c r="R488" s="219" t="s">
        <v>2817</v>
      </c>
      <c r="S488" s="189"/>
      <c r="T488" s="30">
        <v>0</v>
      </c>
      <c r="U488" s="30">
        <v>0</v>
      </c>
      <c r="V488" s="30">
        <v>1</v>
      </c>
      <c r="W488" s="1"/>
      <c r="X488" s="1"/>
      <c r="Y488" s="1"/>
    </row>
    <row r="489" spans="1:25" ht="14.4">
      <c r="A489" s="148">
        <v>1</v>
      </c>
      <c r="B489" s="202" t="s">
        <v>2818</v>
      </c>
      <c r="C489" s="33">
        <v>491</v>
      </c>
      <c r="D489" s="203" t="s">
        <v>2657</v>
      </c>
      <c r="E489" s="204">
        <v>43822</v>
      </c>
      <c r="F489" s="205" t="str">
        <f>HYPERLINK("https://www.liputan6.com/bisnis/read/4140180/lawan-pelecehan-seksual-kementerian-bumn-luncurkan-gerakan-saya-berani","Sumber")</f>
        <v>Sumber</v>
      </c>
      <c r="G489" s="206" t="str">
        <f>HYPERLINK("https://drive.google.com/open?id=17qDOJ0S8b44xYTgeHJR9F3FqiipmXtGO","Lokasi")</f>
        <v>Lokasi</v>
      </c>
      <c r="H489" s="207">
        <v>541</v>
      </c>
      <c r="I489" s="8">
        <v>4</v>
      </c>
      <c r="J489" s="8">
        <v>1</v>
      </c>
      <c r="K489" s="208" t="s">
        <v>2819</v>
      </c>
      <c r="L489" s="8">
        <v>0</v>
      </c>
      <c r="M489" s="8">
        <v>0</v>
      </c>
      <c r="N489" s="209">
        <v>0</v>
      </c>
      <c r="O489" s="8">
        <v>0</v>
      </c>
      <c r="P489" s="8">
        <v>0</v>
      </c>
      <c r="Q489" s="8" t="s">
        <v>21</v>
      </c>
      <c r="R489" s="8" t="s">
        <v>360</v>
      </c>
      <c r="S489" s="212"/>
      <c r="T489" s="8">
        <v>0</v>
      </c>
      <c r="U489" s="8">
        <v>0</v>
      </c>
      <c r="V489" s="8">
        <v>1</v>
      </c>
      <c r="W489" s="9"/>
      <c r="X489" s="9"/>
      <c r="Y489" s="9"/>
    </row>
    <row r="490" spans="1:25" ht="14.4">
      <c r="A490" s="148">
        <v>1</v>
      </c>
      <c r="B490" s="202" t="s">
        <v>2820</v>
      </c>
      <c r="C490" s="33">
        <v>498</v>
      </c>
      <c r="D490" s="203">
        <v>10</v>
      </c>
      <c r="E490" s="204">
        <v>43822</v>
      </c>
      <c r="F490" s="205" t="str">
        <f>HYPERLINK("https://cantik.tempo.co/read/1287141/dukungan-erick-thohir-untuk-perempuan-hentikan-pelecehan-seksual","Sumber")</f>
        <v>Sumber</v>
      </c>
      <c r="G490" s="206" t="str">
        <f>HYPERLINK("https://drive.google.com/open?id=1LxsnyyQf4IivDQlAzBxdHcDX_am2CW3w","Lokasi")</f>
        <v>Lokasi</v>
      </c>
      <c r="H490" s="207">
        <v>242</v>
      </c>
      <c r="I490" s="8">
        <v>4</v>
      </c>
      <c r="J490" s="8">
        <v>1</v>
      </c>
      <c r="K490" s="208" t="s">
        <v>2821</v>
      </c>
      <c r="L490" s="8">
        <v>0</v>
      </c>
      <c r="M490" s="8">
        <v>0</v>
      </c>
      <c r="N490" s="209">
        <v>0</v>
      </c>
      <c r="O490" s="8">
        <v>0</v>
      </c>
      <c r="P490" s="8">
        <v>0</v>
      </c>
      <c r="Q490" s="8">
        <v>0</v>
      </c>
      <c r="R490" s="8">
        <v>1</v>
      </c>
      <c r="S490" s="212"/>
      <c r="T490" s="8">
        <v>0</v>
      </c>
      <c r="U490" s="8">
        <v>0</v>
      </c>
      <c r="V490" s="8">
        <v>1</v>
      </c>
      <c r="W490" s="9"/>
      <c r="X490" s="9"/>
      <c r="Y490" s="9"/>
    </row>
    <row r="491" spans="1:25" ht="13.2">
      <c r="A491" s="179">
        <v>2</v>
      </c>
      <c r="B491" s="180" t="s">
        <v>2822</v>
      </c>
      <c r="C491" s="25">
        <v>492</v>
      </c>
      <c r="D491" s="180" t="s">
        <v>2674</v>
      </c>
      <c r="E491" s="190">
        <v>43823</v>
      </c>
      <c r="F491" s="191" t="str">
        <f>HYPERLINK("https://celebrity.okezone.com/read/2019/12/24/33/2145646/bibi-ardiansyah-jawab-tudingan-nikah-settingan-vanessa-angel","Sumber")</f>
        <v>Sumber</v>
      </c>
      <c r="G491" s="21" t="s">
        <v>2661</v>
      </c>
      <c r="H491" s="180">
        <v>328</v>
      </c>
      <c r="I491" s="29"/>
      <c r="J491" s="29"/>
      <c r="K491" s="183"/>
      <c r="L491" s="29"/>
      <c r="M491" s="29"/>
      <c r="N491" s="29"/>
      <c r="O491" s="29"/>
      <c r="P491" s="29"/>
      <c r="Q491" s="29"/>
      <c r="R491" s="29"/>
      <c r="S491" s="183"/>
      <c r="T491" s="29"/>
      <c r="U491" s="29"/>
      <c r="V491" s="29"/>
      <c r="W491" s="29"/>
      <c r="X491" s="29"/>
      <c r="Y491" s="29"/>
    </row>
    <row r="492" spans="1:25" ht="13.2">
      <c r="A492" s="179">
        <v>2</v>
      </c>
      <c r="B492" s="180" t="s">
        <v>2823</v>
      </c>
      <c r="C492" s="25">
        <v>493</v>
      </c>
      <c r="D492" s="180">
        <v>1</v>
      </c>
      <c r="E492" s="190">
        <v>43825</v>
      </c>
      <c r="F492" s="191" t="str">
        <f>HYPERLINK("https://hot.detik.com/kpop/d-4836483/k-talk-spesial-kaleidoskop-comeback-skandal-hingga-duka","Sumber")</f>
        <v>Sumber</v>
      </c>
      <c r="G492" s="21" t="s">
        <v>2661</v>
      </c>
      <c r="H492" s="180">
        <v>749</v>
      </c>
      <c r="I492" s="29"/>
      <c r="J492" s="29"/>
      <c r="K492" s="183"/>
      <c r="L492" s="29"/>
      <c r="M492" s="29"/>
      <c r="N492" s="29"/>
      <c r="O492" s="29"/>
      <c r="P492" s="29"/>
      <c r="Q492" s="29"/>
      <c r="R492" s="29"/>
      <c r="S492" s="183"/>
      <c r="T492" s="29"/>
      <c r="U492" s="29"/>
      <c r="V492" s="29"/>
      <c r="W492" s="29"/>
      <c r="X492" s="29"/>
      <c r="Y492" s="29"/>
    </row>
    <row r="493" spans="1:25" ht="14.4">
      <c r="A493" s="135">
        <v>1</v>
      </c>
      <c r="B493" s="194" t="s">
        <v>2824</v>
      </c>
      <c r="C493" s="137">
        <v>494</v>
      </c>
      <c r="D493" s="173">
        <v>6</v>
      </c>
      <c r="E493" s="195">
        <v>43826</v>
      </c>
      <c r="F493" s="196" t="str">
        <f>HYPERLINK("https://megapolitan.kompas.com/read/2019/12/20/18161721/pelaku-eksibisionis-ke-siswi-smk-sempat-dikejar-rombongan-pelajar","Sumber")</f>
        <v>Sumber</v>
      </c>
      <c r="G493" s="175" t="str">
        <f>HYPERLINK("https://drive.google.com/open?id=1cEMIF00BRVZZIYfHju63hRHKOsOEJUki","Lokasi")</f>
        <v>Lokasi</v>
      </c>
      <c r="H493" s="197">
        <v>260</v>
      </c>
      <c r="I493" s="144">
        <v>1</v>
      </c>
      <c r="J493" s="144">
        <v>1</v>
      </c>
      <c r="K493" s="176" t="s">
        <v>2825</v>
      </c>
      <c r="L493" s="144">
        <v>0</v>
      </c>
      <c r="M493" s="144">
        <v>-1</v>
      </c>
      <c r="N493" s="177">
        <v>0</v>
      </c>
      <c r="O493" s="144">
        <v>1</v>
      </c>
      <c r="P493" s="144">
        <v>0</v>
      </c>
      <c r="Q493" s="144">
        <v>0</v>
      </c>
      <c r="R493" s="144">
        <v>0</v>
      </c>
      <c r="S493" s="178"/>
      <c r="T493" s="144">
        <v>0</v>
      </c>
      <c r="U493" s="144">
        <v>0</v>
      </c>
      <c r="V493" s="144">
        <v>0</v>
      </c>
      <c r="W493" s="145"/>
      <c r="X493" s="145"/>
      <c r="Y493" s="145"/>
    </row>
    <row r="494" spans="1:25" ht="13.2">
      <c r="A494" s="184">
        <v>1</v>
      </c>
      <c r="B494" s="185" t="s">
        <v>2826</v>
      </c>
      <c r="C494" s="22">
        <v>495</v>
      </c>
      <c r="D494" s="185" t="s">
        <v>2663</v>
      </c>
      <c r="E494" s="199">
        <v>43826</v>
      </c>
      <c r="F494" s="210" t="str">
        <f>HYPERLINK("https://jogja.suara.com/read/2019/12/27/155251/pengakuan-ibu-seli-jenazah-di-septik-tank-dia-disundut-rokok-oleh-suami","Sumber")</f>
        <v>Sumber</v>
      </c>
      <c r="G494" s="186" t="str">
        <f>HYPERLINK("https://drive.google.com/open?id=1pTmrohGGwIBSHD8GT5ARnb_A4TeoIGbx","Lokasi")</f>
        <v>Lokasi</v>
      </c>
      <c r="H494" s="185">
        <v>308</v>
      </c>
      <c r="I494" s="30">
        <v>1</v>
      </c>
      <c r="J494" s="30">
        <v>1</v>
      </c>
      <c r="K494" s="201" t="s">
        <v>2827</v>
      </c>
      <c r="L494" s="30">
        <v>0</v>
      </c>
      <c r="M494" s="30">
        <v>0</v>
      </c>
      <c r="N494" s="188">
        <v>0</v>
      </c>
      <c r="O494" s="30">
        <v>0</v>
      </c>
      <c r="P494" s="30">
        <v>0</v>
      </c>
      <c r="Q494" s="30">
        <v>0</v>
      </c>
      <c r="R494" s="30">
        <v>0</v>
      </c>
      <c r="S494" s="189"/>
      <c r="T494" s="30">
        <v>0</v>
      </c>
      <c r="U494" s="30">
        <v>0</v>
      </c>
      <c r="V494" s="30">
        <v>0</v>
      </c>
      <c r="W494" s="1"/>
      <c r="X494" s="1"/>
      <c r="Y494" s="1"/>
    </row>
    <row r="495" spans="1:25" ht="13.2">
      <c r="A495" s="184">
        <v>1</v>
      </c>
      <c r="B495" s="185" t="s">
        <v>2828</v>
      </c>
      <c r="C495" s="22">
        <v>496</v>
      </c>
      <c r="D495" s="185" t="s">
        <v>2672</v>
      </c>
      <c r="E495" s="199">
        <v>43829</v>
      </c>
      <c r="F495" s="210" t="str">
        <f>HYPERLINK("https://republika.co.id/berita/q3bj4u459/polisi-dalami-dugaan-kekerasan-seksual-mahasiswa-telkom","Sumber")</f>
        <v>Sumber</v>
      </c>
      <c r="G495" s="186" t="str">
        <f>HYPERLINK("https://drive.google.com/open?id=159wlJZ60ISiW5rIqkr__8znBFh9IxC4X","Lokasi")</f>
        <v>Lokasi</v>
      </c>
      <c r="H495" s="185">
        <v>280</v>
      </c>
      <c r="I495" s="30">
        <v>1</v>
      </c>
      <c r="J495" s="30">
        <v>1</v>
      </c>
      <c r="K495" s="220" t="s">
        <v>2829</v>
      </c>
      <c r="L495" s="30">
        <v>0</v>
      </c>
      <c r="M495" s="30">
        <v>0</v>
      </c>
      <c r="N495" s="188">
        <v>0</v>
      </c>
      <c r="O495" s="30">
        <v>1</v>
      </c>
      <c r="P495" s="30">
        <v>0</v>
      </c>
      <c r="Q495" s="30" t="s">
        <v>29</v>
      </c>
      <c r="R495" s="30" t="s">
        <v>182</v>
      </c>
      <c r="S495" s="189"/>
      <c r="T495" s="30">
        <v>0</v>
      </c>
      <c r="U495" s="30">
        <v>0</v>
      </c>
      <c r="V495" s="30">
        <v>0</v>
      </c>
      <c r="W495" s="1"/>
      <c r="X495" s="1"/>
      <c r="Y495" s="1"/>
    </row>
    <row r="496" spans="1:25" ht="14.4">
      <c r="A496" s="135">
        <v>1</v>
      </c>
      <c r="B496" s="194" t="s">
        <v>2830</v>
      </c>
      <c r="C496" s="137">
        <v>497</v>
      </c>
      <c r="D496" s="173" t="s">
        <v>2663</v>
      </c>
      <c r="E496" s="195">
        <v>43829</v>
      </c>
      <c r="F496" s="196" t="str">
        <f>HYPERLINK("https://jabar.suara.com/read/2019/12/30/223803/mahasiswi-telkom-university-diduga-jadi-korban-pencabulan-seniornya","Sumber")</f>
        <v>Sumber</v>
      </c>
      <c r="G496" s="175" t="str">
        <f>HYPERLINK("https://drive.google.com/open?id=1IYo4tA2s2RlpvI5Q7ESZdETBgcT8JHOO","Lokasi")</f>
        <v>Lokasi</v>
      </c>
      <c r="H496" s="197">
        <v>358</v>
      </c>
      <c r="I496" s="144">
        <v>1</v>
      </c>
      <c r="J496" s="144">
        <v>1</v>
      </c>
      <c r="K496" s="176" t="s">
        <v>2831</v>
      </c>
      <c r="L496" s="144">
        <v>0</v>
      </c>
      <c r="M496" s="144">
        <v>1</v>
      </c>
      <c r="N496" s="177">
        <v>0</v>
      </c>
      <c r="O496" s="144">
        <v>1</v>
      </c>
      <c r="P496" s="144">
        <v>0</v>
      </c>
      <c r="Q496" s="144">
        <v>0</v>
      </c>
      <c r="R496" s="144">
        <v>1</v>
      </c>
      <c r="S496" s="178"/>
      <c r="T496" s="144">
        <v>0</v>
      </c>
      <c r="U496" s="144">
        <v>0</v>
      </c>
      <c r="V496" s="144">
        <v>0</v>
      </c>
      <c r="W496" s="145"/>
      <c r="X496" s="145"/>
      <c r="Y496" s="145"/>
    </row>
  </sheetData>
  <customSheetViews>
    <customSheetView guid="{66348944-9FC2-49D4-937A-1A6FEBFF4639}" filter="1" showAutoFilter="1">
      <pageMargins left="0.7" right="0.7" top="0.75" bottom="0.75" header="0.3" footer="0.3"/>
      <autoFilter ref="P6:P496"/>
    </customSheetView>
    <customSheetView guid="{B69A7256-2244-4A5A-98B8-5882F2FF8700}" filter="1" showAutoFilter="1">
      <pageMargins left="0.7" right="0.7" top="0.75" bottom="0.75" header="0.3" footer="0.3"/>
      <autoFilter ref="M5:M500"/>
    </customSheetView>
    <customSheetView guid="{62CFFA2F-2CDE-4159-80E8-0067D9460027}" filter="1" showAutoFilter="1">
      <pageMargins left="0.7" right="0.7" top="0.75" bottom="0.75" header="0.3" footer="0.3"/>
      <autoFilter ref="I6:I500"/>
    </customSheetView>
    <customSheetView guid="{20CAB334-E8B9-4848-AC8F-2E0A8DBFE604}" filter="1" showAutoFilter="1">
      <pageMargins left="0.7" right="0.7" top="0.75" bottom="0.75" header="0.3" footer="0.3"/>
      <autoFilter ref="K6:K500"/>
    </customSheetView>
    <customSheetView guid="{73395ED9-AE98-48BE-901B-FBF6E91AA159}" filter="1" showAutoFilter="1">
      <pageMargins left="0.7" right="0.7" top="0.75" bottom="0.75" header="0.3" footer="0.3"/>
      <autoFilter ref="U5:U500"/>
    </customSheetView>
    <customSheetView guid="{E3B16FF4-157A-41A8-880D-5DDB83361892}" filter="1" showAutoFilter="1">
      <pageMargins left="0.7" right="0.7" top="0.75" bottom="0.75" header="0.3" footer="0.3"/>
      <autoFilter ref="Y1:Y500"/>
    </customSheetView>
    <customSheetView guid="{E0B68C8C-9E59-4D09-A796-DABAD0F2C26F}" filter="1" showAutoFilter="1">
      <pageMargins left="0.7" right="0.7" top="0.75" bottom="0.75" header="0.3" footer="0.3"/>
      <autoFilter ref="O5:O500"/>
    </customSheetView>
    <customSheetView guid="{D0A54268-7389-43AB-A5BA-78B6DAB825D3}" filter="1" showAutoFilter="1">
      <pageMargins left="0.7" right="0.7" top="0.75" bottom="0.75" header="0.3" footer="0.3"/>
      <autoFilter ref="A5:A500"/>
    </customSheetView>
    <customSheetView guid="{0B48C2DC-E7D4-4DCC-ACB5-09BD4089ED05}" filter="1" showAutoFilter="1">
      <pageMargins left="0.7" right="0.7" top="0.75" bottom="0.75" header="0.3" footer="0.3"/>
      <autoFilter ref="AA4"/>
    </customSheetView>
    <customSheetView guid="{7A661D72-FC41-4646-AEAF-00CD193B6D95}" filter="1" showAutoFilter="1">
      <pageMargins left="0.7" right="0.7" top="0.75" bottom="0.75" header="0.3" footer="0.3"/>
      <autoFilter ref="N6:N496"/>
    </customSheetView>
    <customSheetView guid="{95107451-AD48-4E36-95D5-D44A7511BFD9}" filter="1" showAutoFilter="1">
      <pageMargins left="0.7" right="0.7" top="0.75" bottom="0.75" header="0.3" footer="0.3"/>
      <autoFilter ref="S6:S500"/>
    </customSheetView>
    <customSheetView guid="{C0FD2F62-3ADA-4E44-ABC2-10E955012945}" filter="1" showAutoFilter="1">
      <pageMargins left="0.7" right="0.7" top="0.75" bottom="0.75" header="0.3" footer="0.3"/>
      <autoFilter ref="L5:L500"/>
    </customSheetView>
    <customSheetView guid="{17EFBF60-FA66-46DD-8C66-7DD74D543108}" filter="1" showAutoFilter="1">
      <pageMargins left="0.7" right="0.7" top="0.75" bottom="0.75" header="0.3" footer="0.3"/>
      <autoFilter ref="A6:A500"/>
    </customSheetView>
  </customSheetViews>
  <hyperlinks>
    <hyperlink ref="F120" r:id="rId1"/>
    <hyperlink ref="K175" r:id="rId2"/>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509"/>
  <sheetViews>
    <sheetView workbookViewId="0">
      <pane ySplit="1" topLeftCell="A2" activePane="bottomLeft" state="frozen"/>
      <selection pane="bottomLeft"/>
    </sheetView>
  </sheetViews>
  <sheetFormatPr defaultColWidth="14.44140625" defaultRowHeight="15.75" customHeight="1"/>
  <cols>
    <col min="1" max="1" width="9.44140625" customWidth="1"/>
    <col min="2" max="2" width="8.33203125" customWidth="1"/>
    <col min="3" max="3" width="4.33203125" customWidth="1"/>
    <col min="4" max="4" width="7.44140625" customWidth="1"/>
    <col min="5" max="5" width="11.44140625" customWidth="1"/>
    <col min="6" max="6" width="7.44140625" customWidth="1"/>
    <col min="7" max="7" width="7" customWidth="1"/>
    <col min="8" max="8" width="11.33203125" customWidth="1"/>
    <col min="9" max="9" width="9" customWidth="1"/>
    <col min="10" max="10" width="7.88671875" customWidth="1"/>
    <col min="11" max="11" width="20" customWidth="1"/>
    <col min="12" max="13" width="10.6640625" customWidth="1"/>
    <col min="14" max="16" width="12" customWidth="1"/>
    <col min="17" max="18" width="13.44140625" customWidth="1"/>
    <col min="19" max="19" width="29.33203125" customWidth="1"/>
    <col min="20" max="20" width="8.33203125" customWidth="1"/>
    <col min="21" max="21" width="8.5546875" customWidth="1"/>
    <col min="22" max="22" width="10.6640625" customWidth="1"/>
    <col min="23" max="24" width="8.109375" customWidth="1"/>
    <col min="25" max="25" width="7.5546875" customWidth="1"/>
  </cols>
  <sheetData>
    <row r="1" spans="1:25" ht="14.25" customHeight="1">
      <c r="A1" s="184">
        <v>1</v>
      </c>
      <c r="B1" s="221" t="s">
        <v>2832</v>
      </c>
      <c r="C1" s="22">
        <v>1</v>
      </c>
      <c r="D1" s="22">
        <v>3</v>
      </c>
      <c r="E1" s="222">
        <v>43586</v>
      </c>
      <c r="F1" s="121" t="str">
        <f>HYPERLINK("https://news.okezone.com/read/2019/01/05/525/2000379/acara-peluncuran-buku-ahmadiyah-haqiqatul-wahy-dibubarkan-massa ","sumber")</f>
        <v>sumber</v>
      </c>
      <c r="G1" s="223" t="s">
        <v>1</v>
      </c>
      <c r="H1" s="184" t="s">
        <v>2833</v>
      </c>
      <c r="I1" s="22">
        <v>1</v>
      </c>
      <c r="J1" s="22">
        <v>4</v>
      </c>
      <c r="K1" s="123" t="s">
        <v>2834</v>
      </c>
      <c r="L1" s="22">
        <v>0</v>
      </c>
      <c r="M1" s="22">
        <v>1</v>
      </c>
      <c r="N1" s="22">
        <v>0</v>
      </c>
      <c r="O1" s="22">
        <v>0</v>
      </c>
      <c r="P1" s="22">
        <v>0</v>
      </c>
      <c r="Q1" s="22" t="s">
        <v>2835</v>
      </c>
      <c r="R1" s="22" t="s">
        <v>2836</v>
      </c>
      <c r="S1" s="123"/>
      <c r="T1" s="22">
        <v>0</v>
      </c>
      <c r="U1" s="22">
        <v>0</v>
      </c>
      <c r="V1" s="22">
        <v>0</v>
      </c>
      <c r="W1" s="22"/>
      <c r="X1" s="23"/>
      <c r="Y1" s="23"/>
    </row>
    <row r="2" spans="1:25" ht="14.25" customHeight="1">
      <c r="A2" s="1">
        <v>1</v>
      </c>
      <c r="B2" s="23" t="s">
        <v>2837</v>
      </c>
      <c r="C2" s="22">
        <v>2</v>
      </c>
      <c r="D2" s="22">
        <v>8</v>
      </c>
      <c r="E2" s="222">
        <v>43586</v>
      </c>
      <c r="F2" s="121" t="str">
        <f>HYPERLINK("https://www.suara.com/news/2019/01/05/161829/puluhan-orang-demo-bubarkan-acara-ahmadiyah-di-masjid-bandung ","sumber")</f>
        <v>sumber</v>
      </c>
      <c r="G2" s="223" t="s">
        <v>1</v>
      </c>
      <c r="H2" s="125" t="s">
        <v>2838</v>
      </c>
      <c r="I2" s="22">
        <v>1</v>
      </c>
      <c r="J2" s="22">
        <v>4</v>
      </c>
      <c r="K2" s="123" t="s">
        <v>2839</v>
      </c>
      <c r="L2" s="22">
        <v>0</v>
      </c>
      <c r="M2" s="22">
        <v>-1</v>
      </c>
      <c r="N2" s="22">
        <v>0</v>
      </c>
      <c r="O2" s="22">
        <v>0</v>
      </c>
      <c r="P2" s="22">
        <v>0</v>
      </c>
      <c r="Q2" s="22">
        <v>0</v>
      </c>
      <c r="R2" s="22">
        <v>-1</v>
      </c>
      <c r="S2" s="123" t="s">
        <v>2840</v>
      </c>
      <c r="T2" s="22">
        <v>1</v>
      </c>
      <c r="U2" s="22">
        <v>0</v>
      </c>
      <c r="V2" s="22">
        <v>0</v>
      </c>
      <c r="W2" s="23"/>
      <c r="X2" s="23"/>
      <c r="Y2" s="23"/>
    </row>
    <row r="3" spans="1:25" ht="14.25" customHeight="1">
      <c r="A3" s="1">
        <v>1</v>
      </c>
      <c r="B3" s="23" t="s">
        <v>2841</v>
      </c>
      <c r="C3" s="22">
        <v>3</v>
      </c>
      <c r="D3" s="22">
        <v>8</v>
      </c>
      <c r="E3" s="222">
        <v>43617</v>
      </c>
      <c r="F3" s="121" t="str">
        <f>HYPERLINK("https://www.suara.com/news/2019/01/06/155637/pembubaran-buku-haqiqatul-wahyi-jemaat-ahamadiyah-bandung-inkonstitusional ","sumber")</f>
        <v>sumber</v>
      </c>
      <c r="G3" s="223" t="s">
        <v>1</v>
      </c>
      <c r="H3" s="125" t="s">
        <v>2842</v>
      </c>
      <c r="I3" s="22">
        <v>4</v>
      </c>
      <c r="J3" s="22">
        <v>4</v>
      </c>
      <c r="K3" s="123" t="s">
        <v>2843</v>
      </c>
      <c r="L3" s="22">
        <v>0</v>
      </c>
      <c r="M3" s="22">
        <v>0</v>
      </c>
      <c r="N3" s="22">
        <v>0</v>
      </c>
      <c r="O3" s="22">
        <v>0</v>
      </c>
      <c r="P3" s="22">
        <v>0</v>
      </c>
      <c r="Q3" s="22">
        <v>0</v>
      </c>
      <c r="R3" s="22">
        <v>1</v>
      </c>
      <c r="S3" s="123"/>
      <c r="T3" s="22">
        <v>0</v>
      </c>
      <c r="U3" s="22">
        <v>0</v>
      </c>
      <c r="V3" s="22">
        <v>1</v>
      </c>
      <c r="W3" s="23"/>
      <c r="X3" s="23"/>
      <c r="Y3" s="23"/>
    </row>
    <row r="4" spans="1:25" ht="14.25" customHeight="1">
      <c r="A4" s="1">
        <v>1</v>
      </c>
      <c r="B4" s="23" t="s">
        <v>2844</v>
      </c>
      <c r="C4" s="22">
        <v>4</v>
      </c>
      <c r="D4" s="22">
        <v>6</v>
      </c>
      <c r="E4" s="222">
        <v>43678</v>
      </c>
      <c r="F4" s="121" t="str">
        <f>HYPERLINK("https://nasional.kompas.com/read/2019/01/08/19043471/ini-3-faktor-penyebab-terjadinya-kasus-pelanggaran-hak-kebebasan-beragama ","sumber")</f>
        <v>sumber</v>
      </c>
      <c r="G4" s="223" t="s">
        <v>1</v>
      </c>
      <c r="H4" s="125" t="s">
        <v>2845</v>
      </c>
      <c r="I4" s="22">
        <v>4</v>
      </c>
      <c r="J4" s="22">
        <v>4</v>
      </c>
      <c r="K4" s="123" t="s">
        <v>2846</v>
      </c>
      <c r="L4" s="22">
        <v>0</v>
      </c>
      <c r="M4" s="22">
        <v>0</v>
      </c>
      <c r="N4" s="22">
        <v>0</v>
      </c>
      <c r="O4" s="22">
        <v>0</v>
      </c>
      <c r="P4" s="22">
        <v>0</v>
      </c>
      <c r="Q4" s="22">
        <v>0</v>
      </c>
      <c r="R4" s="22">
        <v>1</v>
      </c>
      <c r="S4" s="123"/>
      <c r="T4" s="22">
        <v>0</v>
      </c>
      <c r="U4" s="22">
        <v>0</v>
      </c>
      <c r="V4" s="22">
        <v>1</v>
      </c>
      <c r="W4" s="23"/>
      <c r="X4" s="23"/>
      <c r="Y4" s="23"/>
    </row>
    <row r="5" spans="1:25" ht="14.25" customHeight="1">
      <c r="A5" s="1">
        <v>1</v>
      </c>
      <c r="B5" s="23" t="s">
        <v>1062</v>
      </c>
      <c r="C5" s="22">
        <v>5</v>
      </c>
      <c r="D5" s="22">
        <v>1</v>
      </c>
      <c r="E5" s="22" t="s">
        <v>417</v>
      </c>
      <c r="F5" s="121" t="str">
        <f>HYPERLINK("https://news.detik.com/berita/d-4382419/berkunjung-ke-malaysia-komisi-i-bandingkan-kebebasan-beragama-di-ri ","sumber")</f>
        <v>sumber</v>
      </c>
      <c r="G5" s="223" t="s">
        <v>1</v>
      </c>
      <c r="H5" s="125" t="s">
        <v>2847</v>
      </c>
      <c r="I5" s="22">
        <v>4</v>
      </c>
      <c r="J5" s="22">
        <v>4</v>
      </c>
      <c r="K5" s="123" t="s">
        <v>2848</v>
      </c>
      <c r="L5" s="22">
        <v>0</v>
      </c>
      <c r="M5" s="22">
        <v>0</v>
      </c>
      <c r="N5" s="22">
        <v>0</v>
      </c>
      <c r="O5" s="22">
        <v>0</v>
      </c>
      <c r="P5" s="22">
        <v>0</v>
      </c>
      <c r="Q5" s="22">
        <v>0</v>
      </c>
      <c r="R5" s="22">
        <v>0</v>
      </c>
      <c r="S5" s="123" t="s">
        <v>2849</v>
      </c>
      <c r="T5" s="22">
        <v>1</v>
      </c>
      <c r="U5" s="22">
        <v>0</v>
      </c>
      <c r="V5" s="22">
        <v>1</v>
      </c>
      <c r="W5" s="23"/>
      <c r="X5" s="23"/>
      <c r="Y5" s="23"/>
    </row>
    <row r="6" spans="1:25" ht="14.25" customHeight="1">
      <c r="A6" s="1">
        <v>1</v>
      </c>
      <c r="B6" s="23" t="s">
        <v>2850</v>
      </c>
      <c r="C6" s="22">
        <v>6</v>
      </c>
      <c r="D6" s="22">
        <v>1</v>
      </c>
      <c r="E6" s="22" t="s">
        <v>670</v>
      </c>
      <c r="F6" s="121" t="str">
        <f>HYPERLINK("https://news.detik.com/abc-australia/d-4391921/inilah-rapor-indonesia-soal-hak-asasi-di-2018-menurut-human-rights-watch ","sumber")</f>
        <v>sumber</v>
      </c>
      <c r="G6" s="223" t="s">
        <v>1</v>
      </c>
      <c r="H6" s="125" t="s">
        <v>2851</v>
      </c>
      <c r="I6" s="22">
        <v>4</v>
      </c>
      <c r="J6" s="224">
        <v>5</v>
      </c>
      <c r="K6" s="123" t="s">
        <v>2852</v>
      </c>
      <c r="L6" s="22">
        <v>0</v>
      </c>
      <c r="M6" s="22">
        <v>0</v>
      </c>
      <c r="N6" s="22">
        <v>0</v>
      </c>
      <c r="O6" s="22">
        <v>0</v>
      </c>
      <c r="P6" s="22">
        <v>0</v>
      </c>
      <c r="Q6" s="22">
        <v>0</v>
      </c>
      <c r="R6" s="22">
        <v>1</v>
      </c>
      <c r="S6" s="123"/>
      <c r="T6" s="22">
        <v>0</v>
      </c>
      <c r="U6" s="22">
        <v>0</v>
      </c>
      <c r="V6" s="22">
        <v>1</v>
      </c>
      <c r="W6" s="23"/>
      <c r="X6" s="23"/>
      <c r="Y6" s="23"/>
    </row>
    <row r="7" spans="1:25" ht="14.25" customHeight="1">
      <c r="A7" s="1">
        <v>1</v>
      </c>
      <c r="B7" s="23" t="s">
        <v>2853</v>
      </c>
      <c r="C7" s="22">
        <v>7</v>
      </c>
      <c r="D7" s="22">
        <v>6</v>
      </c>
      <c r="E7" s="22" t="s">
        <v>670</v>
      </c>
      <c r="F7" s="121" t="str">
        <f>HYPERLINK("https://nasional.kompas.com/read/2019/01/19/06000031/amnesty--isu-ham-hanya-jadi-kepentingan-elektoral-kedua-pasangan-capres ","sumber")</f>
        <v>sumber</v>
      </c>
      <c r="G7" s="223" t="s">
        <v>1</v>
      </c>
      <c r="H7" s="125" t="s">
        <v>2854</v>
      </c>
      <c r="I7" s="22">
        <v>5</v>
      </c>
      <c r="J7" s="22">
        <v>5</v>
      </c>
      <c r="K7" s="225" t="s">
        <v>2855</v>
      </c>
      <c r="L7" s="22">
        <v>0</v>
      </c>
      <c r="M7" s="22">
        <v>0</v>
      </c>
      <c r="N7" s="22">
        <v>0</v>
      </c>
      <c r="O7" s="22">
        <v>0</v>
      </c>
      <c r="P7" s="22">
        <v>0</v>
      </c>
      <c r="Q7" s="22">
        <v>0</v>
      </c>
      <c r="R7" s="22">
        <v>1</v>
      </c>
      <c r="S7" s="123"/>
      <c r="T7" s="22">
        <v>0</v>
      </c>
      <c r="U7" s="22">
        <v>0</v>
      </c>
      <c r="V7" s="22">
        <v>1</v>
      </c>
      <c r="W7" s="23"/>
      <c r="X7" s="23"/>
      <c r="Y7" s="23"/>
    </row>
    <row r="8" spans="1:25" ht="14.25" customHeight="1">
      <c r="A8" s="226">
        <v>2</v>
      </c>
      <c r="B8" s="227" t="s">
        <v>2856</v>
      </c>
      <c r="C8" s="25">
        <v>8</v>
      </c>
      <c r="D8" s="25">
        <v>6</v>
      </c>
      <c r="E8" s="25" t="s">
        <v>2857</v>
      </c>
      <c r="F8" s="115" t="str">
        <f>HYPERLINK("https://regional.kompas.com/read/2019/01/20/20270321/profesorahli-tumbuhan-dan-satwa-dari-aceh-ini-hanya-tamatan-sd ","sumber")</f>
        <v>sumber</v>
      </c>
      <c r="G8" s="228" t="s">
        <v>1</v>
      </c>
      <c r="H8" s="151" t="s">
        <v>2858</v>
      </c>
      <c r="I8" s="26"/>
      <c r="J8" s="26"/>
      <c r="K8" s="124"/>
      <c r="L8" s="26"/>
      <c r="M8" s="26"/>
      <c r="N8" s="26"/>
      <c r="O8" s="26"/>
      <c r="P8" s="26"/>
      <c r="Q8" s="26"/>
      <c r="R8" s="26"/>
      <c r="S8" s="124"/>
      <c r="T8" s="26"/>
      <c r="U8" s="26"/>
      <c r="V8" s="26"/>
      <c r="W8" s="25"/>
      <c r="X8" s="26"/>
      <c r="Y8" s="25"/>
    </row>
    <row r="9" spans="1:25" ht="14.25" customHeight="1">
      <c r="A9" s="1">
        <v>1</v>
      </c>
      <c r="B9" s="23" t="s">
        <v>2859</v>
      </c>
      <c r="C9" s="22">
        <v>9</v>
      </c>
      <c r="D9" s="22">
        <v>4</v>
      </c>
      <c r="E9" s="22" t="s">
        <v>2857</v>
      </c>
      <c r="F9" s="121" t="str">
        <f>HYPERLINK("https://www.liputan6.com/news/read/3875514/syarat-baasyir-bebas-harus-setia-pancasila-dinilai-sebagai-bentuk-pemaksaan ","sumber")</f>
        <v>sumber</v>
      </c>
      <c r="G9" s="223" t="s">
        <v>1</v>
      </c>
      <c r="H9" s="125" t="s">
        <v>2860</v>
      </c>
      <c r="I9" s="22">
        <v>1</v>
      </c>
      <c r="J9" s="22">
        <v>4</v>
      </c>
      <c r="K9" s="123" t="s">
        <v>2861</v>
      </c>
      <c r="L9" s="22">
        <v>0</v>
      </c>
      <c r="M9" s="22">
        <v>1</v>
      </c>
      <c r="N9" s="22">
        <v>0</v>
      </c>
      <c r="O9" s="22">
        <v>0</v>
      </c>
      <c r="P9" s="22">
        <v>0</v>
      </c>
      <c r="Q9" s="22" t="s">
        <v>29</v>
      </c>
      <c r="R9" s="22" t="s">
        <v>68</v>
      </c>
      <c r="S9" s="123"/>
      <c r="T9" s="22">
        <v>0</v>
      </c>
      <c r="U9" s="22">
        <v>0</v>
      </c>
      <c r="V9" s="22">
        <v>1</v>
      </c>
      <c r="W9" s="23"/>
      <c r="X9" s="23"/>
      <c r="Y9" s="23"/>
    </row>
    <row r="10" spans="1:25" ht="14.25" customHeight="1">
      <c r="A10" s="229">
        <v>1</v>
      </c>
      <c r="B10" s="230" t="s">
        <v>2862</v>
      </c>
      <c r="C10" s="22">
        <v>10</v>
      </c>
      <c r="D10" s="22">
        <v>10</v>
      </c>
      <c r="E10" s="22" t="s">
        <v>2857</v>
      </c>
      <c r="F10" s="121" t="str">
        <f>HYPERLINK("https://fokus.tempo.co/read/1165200/dua-tahun-dilarang-paham-ma-ba-tha-masih-mengakar-di-myanmar ","sumber")</f>
        <v>sumber</v>
      </c>
      <c r="G10" s="223" t="s">
        <v>1</v>
      </c>
      <c r="H10" s="125" t="s">
        <v>2863</v>
      </c>
      <c r="I10" s="22">
        <v>1</v>
      </c>
      <c r="J10" s="22">
        <v>4</v>
      </c>
      <c r="K10" s="123" t="s">
        <v>2864</v>
      </c>
      <c r="L10" s="22">
        <v>0</v>
      </c>
      <c r="M10" s="22">
        <v>-1</v>
      </c>
      <c r="N10" s="22">
        <v>0</v>
      </c>
      <c r="O10" s="22">
        <v>0</v>
      </c>
      <c r="P10" s="22">
        <v>0</v>
      </c>
      <c r="Q10" s="22" t="s">
        <v>2865</v>
      </c>
      <c r="R10" s="22" t="s">
        <v>2866</v>
      </c>
      <c r="S10" s="123" t="s">
        <v>2867</v>
      </c>
      <c r="T10" s="22">
        <v>1</v>
      </c>
      <c r="U10" s="22">
        <v>0</v>
      </c>
      <c r="V10" s="22">
        <v>1</v>
      </c>
      <c r="W10" s="23"/>
      <c r="X10" s="23"/>
      <c r="Y10" s="23"/>
    </row>
    <row r="11" spans="1:25" ht="14.25" customHeight="1">
      <c r="A11" s="1">
        <v>1</v>
      </c>
      <c r="B11" s="23" t="s">
        <v>2868</v>
      </c>
      <c r="C11" s="22">
        <v>11</v>
      </c>
      <c r="D11" s="22">
        <v>7</v>
      </c>
      <c r="E11" s="22" t="s">
        <v>2857</v>
      </c>
      <c r="F11" s="121" t="str">
        <f>HYPERLINK("http://www.tribunnews.com/nasional/2019/01/20/respon-rencana-pembebasan-baasyir-icjr-minta-pemerintah-tinjau-ulang-hukuman-mati ","sumber")</f>
        <v>sumber</v>
      </c>
      <c r="G11" s="223" t="s">
        <v>1</v>
      </c>
      <c r="H11" s="125" t="s">
        <v>2869</v>
      </c>
      <c r="I11" s="22">
        <v>4</v>
      </c>
      <c r="J11" s="22">
        <v>4</v>
      </c>
      <c r="K11" s="123" t="s">
        <v>2870</v>
      </c>
      <c r="L11" s="22">
        <v>0</v>
      </c>
      <c r="M11" s="22">
        <v>0</v>
      </c>
      <c r="N11" s="22">
        <v>0</v>
      </c>
      <c r="O11" s="22">
        <v>0</v>
      </c>
      <c r="P11" s="22">
        <v>0</v>
      </c>
      <c r="Q11" s="22">
        <v>0</v>
      </c>
      <c r="R11" s="22">
        <v>1</v>
      </c>
      <c r="S11" s="123"/>
      <c r="T11" s="22">
        <v>0</v>
      </c>
      <c r="U11" s="22">
        <v>0</v>
      </c>
      <c r="V11" s="22">
        <v>1</v>
      </c>
      <c r="W11" s="23"/>
      <c r="X11" s="23"/>
      <c r="Y11" s="23"/>
    </row>
    <row r="12" spans="1:25" ht="14.25" customHeight="1">
      <c r="A12" s="21">
        <v>2</v>
      </c>
      <c r="B12" s="26" t="s">
        <v>2871</v>
      </c>
      <c r="C12" s="25">
        <v>12</v>
      </c>
      <c r="D12" s="25">
        <v>2</v>
      </c>
      <c r="E12" s="25" t="s">
        <v>1950</v>
      </c>
      <c r="F12" s="115" t="str">
        <f>HYPERLINK("https://www.cnnindonesia.com/internasional/20190121181439-120-362574/suriah-diserang-iran-sebut-sudah-tidak-sabar-serbu-israel ","sumber")</f>
        <v>sumber</v>
      </c>
      <c r="G12" s="228" t="s">
        <v>1</v>
      </c>
      <c r="H12" s="151" t="s">
        <v>2872</v>
      </c>
      <c r="I12" s="25">
        <v>1</v>
      </c>
      <c r="J12" s="25">
        <v>5</v>
      </c>
      <c r="K12" s="116"/>
      <c r="L12" s="25"/>
      <c r="M12" s="25"/>
      <c r="N12" s="25"/>
      <c r="O12" s="25"/>
      <c r="P12" s="25"/>
      <c r="Q12" s="25"/>
      <c r="R12" s="25"/>
      <c r="S12" s="116"/>
      <c r="T12" s="25">
        <v>0</v>
      </c>
      <c r="U12" s="25">
        <v>0</v>
      </c>
      <c r="V12" s="25">
        <v>0</v>
      </c>
      <c r="W12" s="26"/>
      <c r="X12" s="26"/>
      <c r="Y12" s="25"/>
    </row>
    <row r="13" spans="1:25" ht="14.25" customHeight="1">
      <c r="A13" s="21">
        <v>2</v>
      </c>
      <c r="B13" s="26" t="s">
        <v>1070</v>
      </c>
      <c r="C13" s="25">
        <v>13</v>
      </c>
      <c r="D13" s="25">
        <v>7</v>
      </c>
      <c r="E13" s="25" t="s">
        <v>55</v>
      </c>
      <c r="F13" s="115" t="str">
        <f>HYPERLINK("http://www.tribunnews.com/pilpres-2019/2019/01/26/pdip-pasuruan-siap-menangkan-jokowi-maruf-70-persen ","sumber")</f>
        <v>sumber</v>
      </c>
      <c r="G13" s="228" t="s">
        <v>1</v>
      </c>
      <c r="H13" s="151" t="s">
        <v>2873</v>
      </c>
      <c r="I13" s="25">
        <v>3</v>
      </c>
      <c r="J13" s="25">
        <v>4</v>
      </c>
      <c r="K13" s="116"/>
      <c r="L13" s="25"/>
      <c r="M13" s="25"/>
      <c r="N13" s="25"/>
      <c r="O13" s="25"/>
      <c r="P13" s="25"/>
      <c r="Q13" s="25"/>
      <c r="R13" s="25"/>
      <c r="S13" s="116"/>
      <c r="T13" s="25">
        <v>0</v>
      </c>
      <c r="U13" s="25">
        <v>0</v>
      </c>
      <c r="V13" s="25">
        <v>0</v>
      </c>
      <c r="W13" s="26"/>
      <c r="X13" s="26"/>
      <c r="Y13" s="25"/>
    </row>
    <row r="14" spans="1:25" ht="14.25" customHeight="1">
      <c r="A14" s="21">
        <v>2</v>
      </c>
      <c r="B14" s="26" t="s">
        <v>2874</v>
      </c>
      <c r="C14" s="25">
        <v>14</v>
      </c>
      <c r="D14" s="25">
        <v>1</v>
      </c>
      <c r="E14" s="25" t="s">
        <v>66</v>
      </c>
      <c r="F14" s="115" t="str">
        <f>HYPERLINK("https://news.detik.com/berita/d-4408842/bermesraan-di-halaman-masjid-raya-aceh-sepasang-kekasih-dicambuk ","sumber")</f>
        <v>sumber</v>
      </c>
      <c r="G14" s="228" t="s">
        <v>1</v>
      </c>
      <c r="H14" s="151" t="s">
        <v>2875</v>
      </c>
      <c r="I14" s="25"/>
      <c r="J14" s="25"/>
      <c r="K14" s="124"/>
      <c r="L14" s="26"/>
      <c r="M14" s="26"/>
      <c r="N14" s="26"/>
      <c r="O14" s="26"/>
      <c r="P14" s="26"/>
      <c r="Q14" s="26"/>
      <c r="R14" s="26"/>
      <c r="S14" s="124"/>
      <c r="T14" s="26"/>
      <c r="U14" s="26"/>
      <c r="V14" s="26"/>
      <c r="W14" s="26"/>
      <c r="X14" s="26"/>
      <c r="Y14" s="25"/>
    </row>
    <row r="15" spans="1:25" ht="14.25" customHeight="1">
      <c r="A15" s="1">
        <v>1</v>
      </c>
      <c r="B15" s="23" t="s">
        <v>2876</v>
      </c>
      <c r="C15" s="22">
        <v>15</v>
      </c>
      <c r="D15" s="22">
        <v>7</v>
      </c>
      <c r="E15" s="22" t="s">
        <v>66</v>
      </c>
      <c r="F15" s="121" t="str">
        <f>HYPERLINK("http://www.tribunnews.com/internasional/2019/01/31/republik-islam-iran-negara-yang-didirikan-dari-sebuah-desa-di-luar-kota-paris ","sumber")</f>
        <v>sumber</v>
      </c>
      <c r="G15" s="223" t="s">
        <v>1</v>
      </c>
      <c r="H15" s="125" t="s">
        <v>2877</v>
      </c>
      <c r="I15" s="22">
        <v>3</v>
      </c>
      <c r="J15" s="22">
        <v>4</v>
      </c>
      <c r="K15" s="123"/>
      <c r="L15" s="22">
        <v>-1</v>
      </c>
      <c r="M15" s="22">
        <v>0</v>
      </c>
      <c r="N15" s="22">
        <v>0</v>
      </c>
      <c r="O15" s="22">
        <v>0</v>
      </c>
      <c r="P15" s="22">
        <v>0</v>
      </c>
      <c r="Q15" s="22"/>
      <c r="R15" s="22"/>
      <c r="S15" s="123"/>
      <c r="T15" s="22">
        <v>0</v>
      </c>
      <c r="U15" s="22">
        <v>0</v>
      </c>
      <c r="V15" s="22">
        <v>0</v>
      </c>
      <c r="W15" s="23"/>
      <c r="X15" s="23"/>
      <c r="Y15" s="23"/>
    </row>
    <row r="16" spans="1:25" ht="14.25" customHeight="1">
      <c r="A16" s="1">
        <v>1</v>
      </c>
      <c r="B16" s="23" t="s">
        <v>2878</v>
      </c>
      <c r="C16" s="22">
        <v>16</v>
      </c>
      <c r="D16" s="22">
        <v>10</v>
      </c>
      <c r="E16" s="222">
        <v>43771</v>
      </c>
      <c r="F16" s="121" t="str">
        <f>HYPERLINK("https://dunia.tempo.co/read/1174220/bocah-6-tahun-diduga-dibunuh-saat-kunjungi-makam-nabi-muhammad ","sumber")</f>
        <v>sumber</v>
      </c>
      <c r="G16" s="223" t="s">
        <v>1</v>
      </c>
      <c r="H16" s="125" t="s">
        <v>2879</v>
      </c>
      <c r="I16" s="22">
        <v>1</v>
      </c>
      <c r="J16" s="22">
        <v>4</v>
      </c>
      <c r="K16" s="123" t="s">
        <v>2880</v>
      </c>
      <c r="L16" s="22">
        <v>0</v>
      </c>
      <c r="M16" s="22">
        <v>1</v>
      </c>
      <c r="N16" s="22">
        <v>-1</v>
      </c>
      <c r="O16" s="22">
        <v>0</v>
      </c>
      <c r="P16" s="22">
        <v>0</v>
      </c>
      <c r="Q16" s="22">
        <v>1</v>
      </c>
      <c r="R16" s="22">
        <v>1</v>
      </c>
      <c r="S16" s="123"/>
      <c r="T16" s="22">
        <v>0</v>
      </c>
      <c r="U16" s="22">
        <v>0</v>
      </c>
      <c r="V16" s="22">
        <v>0</v>
      </c>
      <c r="W16" s="23"/>
      <c r="X16" s="23"/>
      <c r="Y16" s="23"/>
    </row>
    <row r="17" spans="1:25" ht="14.25" customHeight="1">
      <c r="A17" s="1">
        <v>1</v>
      </c>
      <c r="B17" s="23" t="s">
        <v>2881</v>
      </c>
      <c r="C17" s="22">
        <v>17</v>
      </c>
      <c r="D17" s="22">
        <v>4</v>
      </c>
      <c r="E17" s="22" t="s">
        <v>2117</v>
      </c>
      <c r="F17" s="121" t="str">
        <f>HYPERLINK("https://www.liputan6.com/regional/read/3901053/disdukcapil-bandung-siap-layani-pembuatan-e-ktp-kolom-kepercayaan ","sumber")</f>
        <v>sumber</v>
      </c>
      <c r="G17" s="223" t="s">
        <v>1</v>
      </c>
      <c r="H17" s="125" t="s">
        <v>2882</v>
      </c>
      <c r="I17" s="22">
        <v>4</v>
      </c>
      <c r="J17" s="22">
        <v>4</v>
      </c>
      <c r="K17" s="123" t="s">
        <v>2883</v>
      </c>
      <c r="L17" s="22">
        <v>0</v>
      </c>
      <c r="M17" s="22">
        <v>0</v>
      </c>
      <c r="N17" s="22">
        <v>0</v>
      </c>
      <c r="O17" s="22">
        <v>0</v>
      </c>
      <c r="P17" s="22">
        <v>0</v>
      </c>
      <c r="Q17" s="22">
        <v>0</v>
      </c>
      <c r="R17" s="22">
        <v>0</v>
      </c>
      <c r="S17" s="123"/>
      <c r="T17" s="22">
        <v>0</v>
      </c>
      <c r="U17" s="22">
        <v>0</v>
      </c>
      <c r="V17" s="22">
        <v>0</v>
      </c>
      <c r="W17" s="23"/>
      <c r="X17" s="23"/>
      <c r="Y17" s="23"/>
    </row>
    <row r="18" spans="1:25" ht="14.25" customHeight="1">
      <c r="A18" s="1">
        <v>1</v>
      </c>
      <c r="B18" s="23" t="s">
        <v>2884</v>
      </c>
      <c r="C18" s="22">
        <v>18</v>
      </c>
      <c r="D18" s="22">
        <v>7</v>
      </c>
      <c r="E18" s="22" t="s">
        <v>464</v>
      </c>
      <c r="F18" s="121" t="str">
        <f>HYPERLINK("http://www.tribunnews.com/nasional/2019/02/25/setara-institut-sebut-kasus-intoleransi-cukup-tinggi-dalam-11-tahun-terakhir ","sumber")</f>
        <v>sumber</v>
      </c>
      <c r="G18" s="223" t="s">
        <v>1</v>
      </c>
      <c r="H18" s="125" t="s">
        <v>2885</v>
      </c>
      <c r="I18" s="22">
        <v>5</v>
      </c>
      <c r="J18" s="22">
        <v>4</v>
      </c>
      <c r="K18" s="123" t="s">
        <v>2843</v>
      </c>
      <c r="L18" s="22">
        <v>0</v>
      </c>
      <c r="M18" s="22">
        <v>0</v>
      </c>
      <c r="N18" s="22">
        <v>0</v>
      </c>
      <c r="O18" s="22">
        <v>0</v>
      </c>
      <c r="P18" s="22">
        <v>0</v>
      </c>
      <c r="Q18" s="22">
        <v>0</v>
      </c>
      <c r="R18" s="22">
        <v>1</v>
      </c>
      <c r="S18" s="123"/>
      <c r="T18" s="22">
        <v>0</v>
      </c>
      <c r="U18" s="22">
        <v>0</v>
      </c>
      <c r="V18" s="22">
        <v>1</v>
      </c>
      <c r="W18" s="23"/>
      <c r="X18" s="23"/>
      <c r="Y18" s="23"/>
    </row>
    <row r="19" spans="1:25" ht="14.25" customHeight="1">
      <c r="A19" s="1">
        <v>1</v>
      </c>
      <c r="B19" s="23" t="s">
        <v>2886</v>
      </c>
      <c r="C19" s="22">
        <v>19</v>
      </c>
      <c r="D19" s="22">
        <v>1</v>
      </c>
      <c r="E19" s="22" t="s">
        <v>328</v>
      </c>
      <c r="F19" s="121" t="str">
        <f>HYPERLINK("https://news.detik.com/berita-jawa-tengah/d-4446855/warga-sikep-di-kudus-belum-semua-isi-kolom-kepercayaan-di-e-ktp ","sumber")</f>
        <v>sumber</v>
      </c>
      <c r="G19" s="223" t="s">
        <v>1</v>
      </c>
      <c r="H19" s="125" t="s">
        <v>2887</v>
      </c>
      <c r="I19" s="22">
        <v>2</v>
      </c>
      <c r="J19" s="22">
        <v>4</v>
      </c>
      <c r="K19" s="123" t="s">
        <v>2888</v>
      </c>
      <c r="L19" s="22">
        <v>0</v>
      </c>
      <c r="M19" s="22">
        <v>0</v>
      </c>
      <c r="N19" s="22">
        <v>0</v>
      </c>
      <c r="O19" s="22">
        <v>0</v>
      </c>
      <c r="P19" s="22">
        <v>0</v>
      </c>
      <c r="Q19" s="22">
        <v>2</v>
      </c>
      <c r="R19" s="22">
        <v>1</v>
      </c>
      <c r="S19" s="123"/>
      <c r="T19" s="22">
        <v>0</v>
      </c>
      <c r="U19" s="22">
        <v>0</v>
      </c>
      <c r="V19" s="22">
        <v>1</v>
      </c>
      <c r="W19" s="23"/>
      <c r="X19" s="23"/>
      <c r="Y19" s="23"/>
    </row>
    <row r="20" spans="1:25" ht="14.25" customHeight="1">
      <c r="A20" s="209">
        <v>1</v>
      </c>
      <c r="B20" s="33" t="s">
        <v>2889</v>
      </c>
      <c r="C20" s="33">
        <v>20</v>
      </c>
      <c r="D20" s="33">
        <v>8</v>
      </c>
      <c r="E20" s="33" t="s">
        <v>328</v>
      </c>
      <c r="F20" s="130" t="str">
        <f>HYPERLINK("https://www.suara.com/news/2019/02/27/164729/ini-cara-urus-e-ktp-bagi-penghayat-kepercayaan","sumber")</f>
        <v>sumber</v>
      </c>
      <c r="G20" s="231" t="s">
        <v>1</v>
      </c>
      <c r="H20" s="33">
        <v>169</v>
      </c>
      <c r="I20" s="232">
        <v>4</v>
      </c>
      <c r="J20" s="33">
        <v>4</v>
      </c>
      <c r="K20" s="131" t="s">
        <v>2890</v>
      </c>
      <c r="L20" s="33">
        <v>0</v>
      </c>
      <c r="M20" s="33">
        <v>0</v>
      </c>
      <c r="N20" s="33">
        <v>0</v>
      </c>
      <c r="O20" s="33">
        <v>0</v>
      </c>
      <c r="P20" s="33">
        <v>0</v>
      </c>
      <c r="Q20" s="33">
        <v>0</v>
      </c>
      <c r="R20" s="33">
        <v>1</v>
      </c>
      <c r="S20" s="131"/>
      <c r="T20" s="33">
        <v>0</v>
      </c>
      <c r="U20" s="33">
        <v>0</v>
      </c>
      <c r="V20" s="33">
        <v>0</v>
      </c>
      <c r="W20" s="24"/>
      <c r="X20" s="24"/>
      <c r="Y20" s="33"/>
    </row>
    <row r="21" spans="1:25" ht="14.25" customHeight="1">
      <c r="A21" s="1">
        <v>1</v>
      </c>
      <c r="B21" s="23" t="s">
        <v>2891</v>
      </c>
      <c r="C21" s="22">
        <v>21</v>
      </c>
      <c r="D21" s="22">
        <v>5</v>
      </c>
      <c r="E21" s="22" t="s">
        <v>2304</v>
      </c>
      <c r="F21" s="121" t="str">
        <f>HYPERLINK("https://tirto.id/sejarah-diskriminasi-penganut-agama-lokal-di-indonesia-dhTX","sumber")</f>
        <v>sumber</v>
      </c>
      <c r="G21" s="223" t="s">
        <v>1</v>
      </c>
      <c r="H21" s="125" t="s">
        <v>2892</v>
      </c>
      <c r="I21" s="125">
        <v>1</v>
      </c>
      <c r="J21" s="125">
        <v>4</v>
      </c>
      <c r="K21" s="123" t="s">
        <v>2893</v>
      </c>
      <c r="L21" s="125">
        <v>0</v>
      </c>
      <c r="M21" s="125">
        <v>1</v>
      </c>
      <c r="N21" s="22">
        <v>0</v>
      </c>
      <c r="O21" s="125">
        <v>0</v>
      </c>
      <c r="P21" s="125">
        <v>0</v>
      </c>
      <c r="Q21" s="125" t="s">
        <v>782</v>
      </c>
      <c r="R21" s="125" t="s">
        <v>2894</v>
      </c>
      <c r="S21" s="233"/>
      <c r="T21" s="125">
        <v>0</v>
      </c>
      <c r="U21" s="125">
        <v>0</v>
      </c>
      <c r="V21" s="125">
        <v>1</v>
      </c>
      <c r="W21" s="23"/>
      <c r="X21" s="23"/>
      <c r="Y21" s="23"/>
    </row>
    <row r="22" spans="1:25" ht="14.25" customHeight="1">
      <c r="A22" s="21">
        <v>2</v>
      </c>
      <c r="B22" s="26" t="s">
        <v>2895</v>
      </c>
      <c r="C22" s="25">
        <v>22</v>
      </c>
      <c r="D22" s="25">
        <v>9</v>
      </c>
      <c r="E22" s="234">
        <v>43619</v>
      </c>
      <c r="F22" s="115" t="str">
        <f>HYPERLINK("https://khazanah.republika.co.id/berita/dunia-islam/dunia/pnxpvz313/masjidmasjid-di-kanada-tak-pernah-sepi-dari-jamaah","sumber")</f>
        <v>sumber</v>
      </c>
      <c r="G22" s="228" t="s">
        <v>1</v>
      </c>
      <c r="H22" s="151" t="s">
        <v>2896</v>
      </c>
      <c r="I22" s="26">
        <v>2</v>
      </c>
      <c r="J22" s="25">
        <v>4</v>
      </c>
      <c r="K22" s="124"/>
      <c r="L22" s="26"/>
      <c r="M22" s="26"/>
      <c r="N22" s="25"/>
      <c r="O22" s="26"/>
      <c r="P22" s="26"/>
      <c r="Q22" s="26"/>
      <c r="R22" s="26"/>
      <c r="S22" s="124"/>
      <c r="T22" s="26">
        <v>0</v>
      </c>
      <c r="U22" s="26">
        <v>0</v>
      </c>
      <c r="V22" s="26">
        <v>1</v>
      </c>
      <c r="W22" s="26"/>
      <c r="X22" s="26"/>
      <c r="Y22" s="26"/>
    </row>
    <row r="23" spans="1:25" ht="14.25" customHeight="1">
      <c r="A23" s="209">
        <v>1</v>
      </c>
      <c r="B23" s="33" t="s">
        <v>2897</v>
      </c>
      <c r="C23" s="33">
        <v>23</v>
      </c>
      <c r="D23" s="33">
        <v>8</v>
      </c>
      <c r="E23" s="235">
        <v>43619</v>
      </c>
      <c r="F23" s="130" t="str">
        <f>HYPERLINK("https://www.suara.com/news/2019/03/06/151826/rasa-toleransi-di-upacara-tawur-kasanga-jelang-nyepi-di-blitar","sumber")</f>
        <v>sumber</v>
      </c>
      <c r="G23" s="231" t="s">
        <v>1</v>
      </c>
      <c r="H23" s="33">
        <v>196</v>
      </c>
      <c r="I23" s="33">
        <v>3</v>
      </c>
      <c r="J23" s="33">
        <v>4</v>
      </c>
      <c r="K23" s="131" t="s">
        <v>2898</v>
      </c>
      <c r="L23" s="33">
        <v>0</v>
      </c>
      <c r="M23" s="33">
        <v>0</v>
      </c>
      <c r="N23" s="33">
        <v>0</v>
      </c>
      <c r="O23" s="33">
        <v>0</v>
      </c>
      <c r="P23" s="33">
        <v>0</v>
      </c>
      <c r="Q23" s="33">
        <v>0</v>
      </c>
      <c r="R23" s="33">
        <v>1</v>
      </c>
      <c r="S23" s="131"/>
      <c r="T23" s="33">
        <v>0</v>
      </c>
      <c r="U23" s="33">
        <v>0</v>
      </c>
      <c r="V23" s="33">
        <v>0</v>
      </c>
      <c r="W23" s="24"/>
      <c r="X23" s="24"/>
      <c r="Y23" s="33"/>
    </row>
    <row r="24" spans="1:25" ht="14.25" customHeight="1">
      <c r="A24" s="1">
        <v>1</v>
      </c>
      <c r="B24" s="23" t="s">
        <v>2899</v>
      </c>
      <c r="C24" s="22">
        <v>24</v>
      </c>
      <c r="D24" s="22">
        <v>4</v>
      </c>
      <c r="E24" s="22" t="s">
        <v>115</v>
      </c>
      <c r="F24" s="121" t="str">
        <f>HYPERLINK("https://www.liputan6.com/global/read/3918370/pimpinan-komunitas-muslim-ahmadiyah-dunia-kecam-penembakan-di-selandia-baru","sumber")</f>
        <v>sumber</v>
      </c>
      <c r="G24" s="223" t="s">
        <v>1</v>
      </c>
      <c r="H24" s="23" t="s">
        <v>2900</v>
      </c>
      <c r="I24" s="23">
        <v>1</v>
      </c>
      <c r="J24" s="23">
        <v>4</v>
      </c>
      <c r="K24" s="134" t="s">
        <v>2901</v>
      </c>
      <c r="L24" s="23">
        <v>0</v>
      </c>
      <c r="M24" s="23">
        <v>1</v>
      </c>
      <c r="N24" s="22">
        <v>0</v>
      </c>
      <c r="O24" s="23">
        <v>0</v>
      </c>
      <c r="P24" s="23">
        <v>0</v>
      </c>
      <c r="Q24" s="23" t="s">
        <v>68</v>
      </c>
      <c r="R24" s="23" t="s">
        <v>68</v>
      </c>
      <c r="S24" s="134"/>
      <c r="T24" s="23">
        <v>0</v>
      </c>
      <c r="U24" s="23">
        <v>0</v>
      </c>
      <c r="V24" s="23">
        <v>0</v>
      </c>
      <c r="W24" s="23"/>
      <c r="X24" s="23"/>
      <c r="Y24" s="23"/>
    </row>
    <row r="25" spans="1:25" ht="14.25" customHeight="1">
      <c r="A25" s="1">
        <v>1</v>
      </c>
      <c r="B25" s="23" t="s">
        <v>2902</v>
      </c>
      <c r="C25" s="22">
        <v>25</v>
      </c>
      <c r="D25" s="22">
        <v>3</v>
      </c>
      <c r="E25" s="22" t="s">
        <v>115</v>
      </c>
      <c r="F25" s="121" t="str">
        <f>HYPERLINK("https://news.okezone.com/read/2019/03/16/18/2030960/mobil-mogok-dosen-fkip-unsyiah-selamat-dari-penembakan-di-new-zealand","sumber")</f>
        <v>sumber</v>
      </c>
      <c r="G25" s="223" t="s">
        <v>1</v>
      </c>
      <c r="H25" s="23" t="s">
        <v>2903</v>
      </c>
      <c r="I25" s="22">
        <v>1</v>
      </c>
      <c r="J25" s="22">
        <v>4</v>
      </c>
      <c r="K25" s="123" t="s">
        <v>2904</v>
      </c>
      <c r="L25" s="22">
        <v>0</v>
      </c>
      <c r="M25" s="22">
        <v>1</v>
      </c>
      <c r="N25" s="22">
        <v>0</v>
      </c>
      <c r="O25" s="22">
        <v>0</v>
      </c>
      <c r="P25" s="22">
        <v>0</v>
      </c>
      <c r="Q25" s="22">
        <v>0</v>
      </c>
      <c r="R25" s="22">
        <v>1</v>
      </c>
      <c r="S25" s="123"/>
      <c r="T25" s="22">
        <v>0</v>
      </c>
      <c r="U25" s="22">
        <v>0</v>
      </c>
      <c r="V25" s="22">
        <v>0</v>
      </c>
      <c r="W25" s="23"/>
      <c r="X25" s="23"/>
      <c r="Y25" s="23"/>
    </row>
    <row r="26" spans="1:25" ht="14.25" customHeight="1">
      <c r="A26" s="21">
        <v>2</v>
      </c>
      <c r="B26" s="26" t="s">
        <v>2905</v>
      </c>
      <c r="C26" s="25">
        <v>26</v>
      </c>
      <c r="D26" s="25">
        <v>4</v>
      </c>
      <c r="E26" s="25" t="s">
        <v>497</v>
      </c>
      <c r="F26" s="115" t="str">
        <f>HYPERLINK("https://www.liputan6.com/global/read/3927261/as-klaim-dataran-tinggi-golan-milik-israel-suriah-desak-pbb-gelar-rapat-darurat","sumber")</f>
        <v>sumber</v>
      </c>
      <c r="G26" s="228" t="s">
        <v>1</v>
      </c>
      <c r="H26" s="26" t="s">
        <v>2906</v>
      </c>
      <c r="I26" s="25">
        <v>1</v>
      </c>
      <c r="J26" s="25">
        <v>5</v>
      </c>
      <c r="K26" s="124"/>
      <c r="L26" s="26"/>
      <c r="M26" s="26"/>
      <c r="N26" s="26"/>
      <c r="O26" s="26"/>
      <c r="P26" s="26"/>
      <c r="Q26" s="26"/>
      <c r="R26" s="26"/>
      <c r="S26" s="124"/>
      <c r="T26" s="26"/>
      <c r="U26" s="26"/>
      <c r="V26" s="26"/>
      <c r="W26" s="26"/>
      <c r="X26" s="26"/>
      <c r="Y26" s="25"/>
    </row>
    <row r="27" spans="1:25" ht="14.25" customHeight="1">
      <c r="A27" s="21">
        <v>2</v>
      </c>
      <c r="B27" s="26" t="s">
        <v>2907</v>
      </c>
      <c r="C27" s="25">
        <v>27</v>
      </c>
      <c r="D27" s="25">
        <v>4</v>
      </c>
      <c r="E27" s="25" t="s">
        <v>139</v>
      </c>
      <c r="F27" s="115" t="str">
        <f>HYPERLINK("https://www.liputan6.com/global/read/3930587/makam-nabi-yunus-hingga-masjid-6-situs-kuno-yang-hancur-oleh-isis","sumber")</f>
        <v>sumber</v>
      </c>
      <c r="G27" s="228" t="s">
        <v>1</v>
      </c>
      <c r="H27" s="26" t="s">
        <v>2908</v>
      </c>
      <c r="I27" s="25">
        <v>1</v>
      </c>
      <c r="J27" s="25">
        <v>4</v>
      </c>
      <c r="K27" s="124"/>
      <c r="L27" s="26"/>
      <c r="M27" s="26"/>
      <c r="N27" s="26"/>
      <c r="O27" s="26"/>
      <c r="P27" s="26"/>
      <c r="Q27" s="26"/>
      <c r="R27" s="26"/>
      <c r="S27" s="124"/>
      <c r="T27" s="26"/>
      <c r="U27" s="26"/>
      <c r="V27" s="26"/>
      <c r="W27" s="26"/>
      <c r="X27" s="26"/>
      <c r="Y27" s="25"/>
    </row>
    <row r="28" spans="1:25" ht="14.25" customHeight="1">
      <c r="A28" s="21">
        <v>2</v>
      </c>
      <c r="B28" s="26" t="s">
        <v>2909</v>
      </c>
      <c r="C28" s="25">
        <v>28</v>
      </c>
      <c r="D28" s="25">
        <v>9</v>
      </c>
      <c r="E28" s="234">
        <v>43500</v>
      </c>
      <c r="F28" s="115" t="str">
        <f>HYPERLINK("https://nasional.republika.co.id/berita/nasional/politik/ppc1jb430/kpu-undang-seluruh-ketum-parpol-hadiri-debat-terakhir","sumber")</f>
        <v>sumber</v>
      </c>
      <c r="G28" s="228" t="s">
        <v>1</v>
      </c>
      <c r="H28" s="26" t="s">
        <v>2910</v>
      </c>
      <c r="I28" s="25">
        <v>5</v>
      </c>
      <c r="J28" s="25">
        <v>4</v>
      </c>
      <c r="K28" s="116"/>
      <c r="L28" s="25"/>
      <c r="M28" s="25"/>
      <c r="N28" s="25"/>
      <c r="O28" s="25"/>
      <c r="P28" s="25"/>
      <c r="Q28" s="25"/>
      <c r="R28" s="25"/>
      <c r="S28" s="116"/>
      <c r="T28" s="25"/>
      <c r="U28" s="25"/>
      <c r="V28" s="25"/>
      <c r="W28" s="26"/>
      <c r="X28" s="26"/>
      <c r="Y28" s="25"/>
    </row>
    <row r="29" spans="1:25" ht="14.25" customHeight="1">
      <c r="A29" s="1">
        <v>1</v>
      </c>
      <c r="B29" s="23" t="s">
        <v>2911</v>
      </c>
      <c r="C29" s="22">
        <v>29</v>
      </c>
      <c r="D29" s="22">
        <v>4</v>
      </c>
      <c r="E29" s="222">
        <v>43559</v>
      </c>
      <c r="F29" s="121" t="str">
        <f>HYPERLINK("https://www.liputan6.com/news/read/3933186/segel-untuk-masjid-ahmadiyah-di-bekasi-6-tahun-silam","sumber")</f>
        <v>sumber</v>
      </c>
      <c r="G29" s="223" t="s">
        <v>1</v>
      </c>
      <c r="H29" s="23" t="s">
        <v>2912</v>
      </c>
      <c r="I29" s="22">
        <v>1</v>
      </c>
      <c r="J29" s="22">
        <v>4</v>
      </c>
      <c r="K29" s="123" t="s">
        <v>2913</v>
      </c>
      <c r="L29" s="22">
        <v>0</v>
      </c>
      <c r="M29" s="22">
        <v>1</v>
      </c>
      <c r="N29" s="22">
        <v>0</v>
      </c>
      <c r="O29" s="22">
        <v>0</v>
      </c>
      <c r="P29" s="22">
        <v>0</v>
      </c>
      <c r="Q29" s="22" t="s">
        <v>855</v>
      </c>
      <c r="R29" s="22" t="s">
        <v>2914</v>
      </c>
      <c r="S29" s="123"/>
      <c r="T29" s="22">
        <v>0</v>
      </c>
      <c r="U29" s="22">
        <v>0</v>
      </c>
      <c r="V29" s="22">
        <v>1</v>
      </c>
      <c r="W29" s="23"/>
      <c r="X29" s="23"/>
      <c r="Y29" s="23"/>
    </row>
    <row r="30" spans="1:25" ht="14.25" customHeight="1">
      <c r="A30" s="1">
        <v>1</v>
      </c>
      <c r="B30" s="23" t="s">
        <v>2915</v>
      </c>
      <c r="C30" s="22">
        <v>30</v>
      </c>
      <c r="D30" s="22">
        <v>10</v>
      </c>
      <c r="E30" s="222">
        <v>43559</v>
      </c>
      <c r="F30" s="121" t="str">
        <f>HYPERLINK("https://nasional.tempo.co/read/1192220/kepala-dusun-bantul-minta-maaf-soal-larangan-non-muslim-tinggal","sumber")</f>
        <v>sumber</v>
      </c>
      <c r="G30" s="223" t="s">
        <v>1</v>
      </c>
      <c r="H30" s="23" t="s">
        <v>2916</v>
      </c>
      <c r="I30" s="22">
        <v>1</v>
      </c>
      <c r="J30" s="22">
        <v>4</v>
      </c>
      <c r="K30" s="123" t="s">
        <v>2917</v>
      </c>
      <c r="L30" s="22">
        <v>0</v>
      </c>
      <c r="M30" s="22">
        <v>1</v>
      </c>
      <c r="N30" s="22">
        <v>0</v>
      </c>
      <c r="O30" s="22">
        <v>0</v>
      </c>
      <c r="P30" s="22">
        <v>0</v>
      </c>
      <c r="Q30" s="22" t="s">
        <v>2918</v>
      </c>
      <c r="R30" s="22" t="s">
        <v>2919</v>
      </c>
      <c r="S30" s="123" t="s">
        <v>2920</v>
      </c>
      <c r="T30" s="22">
        <v>2</v>
      </c>
      <c r="U30" s="22">
        <v>0</v>
      </c>
      <c r="V30" s="22">
        <v>1</v>
      </c>
      <c r="W30" s="23"/>
      <c r="X30" s="23"/>
      <c r="Y30" s="23"/>
    </row>
    <row r="31" spans="1:25" ht="14.25" customHeight="1">
      <c r="A31" s="236">
        <v>1</v>
      </c>
      <c r="B31" s="237" t="s">
        <v>2921</v>
      </c>
      <c r="C31" s="22">
        <v>31</v>
      </c>
      <c r="D31" s="22">
        <v>10</v>
      </c>
      <c r="E31" s="222">
        <v>43589</v>
      </c>
      <c r="F31" s="238" t="str">
        <f>HYPERLINK("https://nasional.tempo.co/read/1192703/yogyakarta-dicap-intoleran-sultan-hb-x-keluarkan-instruksi-ini ","sumber")</f>
        <v>sumber</v>
      </c>
      <c r="G31" s="223" t="s">
        <v>1</v>
      </c>
      <c r="H31" s="23" t="s">
        <v>2922</v>
      </c>
      <c r="I31" s="22">
        <v>4</v>
      </c>
      <c r="J31" s="22">
        <v>4</v>
      </c>
      <c r="K31" s="123" t="s">
        <v>2923</v>
      </c>
      <c r="L31" s="22">
        <v>0</v>
      </c>
      <c r="M31" s="22">
        <v>0</v>
      </c>
      <c r="N31" s="22">
        <v>0</v>
      </c>
      <c r="O31" s="22">
        <v>0</v>
      </c>
      <c r="P31" s="22">
        <v>0</v>
      </c>
      <c r="Q31" s="22">
        <v>0</v>
      </c>
      <c r="R31" s="22">
        <v>1</v>
      </c>
      <c r="S31" s="123"/>
      <c r="T31" s="22">
        <v>0</v>
      </c>
      <c r="U31" s="22">
        <v>0</v>
      </c>
      <c r="V31" s="22">
        <v>0</v>
      </c>
      <c r="W31" s="23"/>
      <c r="X31" s="23"/>
      <c r="Y31" s="23"/>
    </row>
    <row r="32" spans="1:25" ht="14.25" customHeight="1">
      <c r="A32" s="171">
        <v>2</v>
      </c>
      <c r="B32" s="239" t="s">
        <v>2924</v>
      </c>
      <c r="C32" s="25">
        <v>32</v>
      </c>
      <c r="D32" s="25">
        <v>1</v>
      </c>
      <c r="E32" s="234">
        <v>43620</v>
      </c>
      <c r="F32" s="115" t="str">
        <f>HYPERLINK("https://news.detik.com/internasional/d-4499216/as-akan-umumkan-pasukan-garda-revolusi-iran-sebagai-organisasi-teroris ","sumber")</f>
        <v>sumber</v>
      </c>
      <c r="G32" s="228" t="s">
        <v>1</v>
      </c>
      <c r="H32" s="26" t="s">
        <v>2925</v>
      </c>
      <c r="I32" s="26"/>
      <c r="J32" s="26"/>
      <c r="K32" s="124"/>
      <c r="L32" s="26"/>
      <c r="M32" s="26"/>
      <c r="N32" s="26"/>
      <c r="O32" s="26"/>
      <c r="P32" s="26"/>
      <c r="Q32" s="26"/>
      <c r="R32" s="26"/>
      <c r="S32" s="124"/>
      <c r="T32" s="26"/>
      <c r="U32" s="26"/>
      <c r="V32" s="26"/>
      <c r="W32" s="26"/>
      <c r="X32" s="26"/>
      <c r="Y32" s="25"/>
    </row>
    <row r="33" spans="1:25" ht="14.25" customHeight="1">
      <c r="A33" s="171">
        <v>2</v>
      </c>
      <c r="B33" s="239" t="s">
        <v>2926</v>
      </c>
      <c r="C33" s="25">
        <v>33</v>
      </c>
      <c r="D33" s="25">
        <v>10</v>
      </c>
      <c r="E33" s="234">
        <v>43620</v>
      </c>
      <c r="F33" s="115" t="str">
        <f>HYPERLINK("https://dunia.tempo.co/read/1192952/as-masukkan-garda-revolusi-iran-dalam-daftar-teroris ","sumber")</f>
        <v>sumber</v>
      </c>
      <c r="G33" s="228" t="s">
        <v>1</v>
      </c>
      <c r="H33" s="26" t="s">
        <v>2927</v>
      </c>
      <c r="I33" s="26"/>
      <c r="J33" s="26"/>
      <c r="K33" s="124"/>
      <c r="L33" s="26"/>
      <c r="M33" s="26"/>
      <c r="N33" s="26"/>
      <c r="O33" s="26"/>
      <c r="P33" s="26"/>
      <c r="Q33" s="26"/>
      <c r="R33" s="26"/>
      <c r="S33" s="124"/>
      <c r="T33" s="26"/>
      <c r="U33" s="26"/>
      <c r="V33" s="26"/>
      <c r="W33" s="26"/>
      <c r="X33" s="26"/>
      <c r="Y33" s="25"/>
    </row>
    <row r="34" spans="1:25" ht="14.25" customHeight="1">
      <c r="A34" s="171">
        <v>2</v>
      </c>
      <c r="B34" s="239" t="s">
        <v>2928</v>
      </c>
      <c r="C34" s="25">
        <v>34</v>
      </c>
      <c r="D34" s="25">
        <v>8</v>
      </c>
      <c r="E34" s="234">
        <v>43712</v>
      </c>
      <c r="F34" s="115" t="str">
        <f>HYPERLINK("https://www.suara.com/news/2019/04/09/134418/donald-trump-resmi-nyatakan-pasukan-pengawal-revolusi-iran-sebagai-teroris ","sumber")</f>
        <v>sumber</v>
      </c>
      <c r="G34" s="228" t="s">
        <v>1</v>
      </c>
      <c r="H34" s="26" t="s">
        <v>2929</v>
      </c>
      <c r="I34" s="26"/>
      <c r="J34" s="26"/>
      <c r="K34" s="124"/>
      <c r="L34" s="26"/>
      <c r="M34" s="26"/>
      <c r="N34" s="26"/>
      <c r="O34" s="26"/>
      <c r="P34" s="26"/>
      <c r="Q34" s="26"/>
      <c r="R34" s="26"/>
      <c r="S34" s="124"/>
      <c r="T34" s="26"/>
      <c r="U34" s="26"/>
      <c r="V34" s="26"/>
      <c r="W34" s="26"/>
      <c r="X34" s="26"/>
      <c r="Y34" s="25"/>
    </row>
    <row r="35" spans="1:25" ht="14.25" customHeight="1">
      <c r="A35" s="236">
        <v>1</v>
      </c>
      <c r="B35" s="237" t="s">
        <v>2930</v>
      </c>
      <c r="C35" s="22">
        <v>35</v>
      </c>
      <c r="D35" s="22">
        <v>8</v>
      </c>
      <c r="E35" s="222">
        <v>43803</v>
      </c>
      <c r="F35" s="121" t="str">
        <f>HYPERLINK("https://www.suara.com/news/2019/04/12/143832/bom-meledak-di-tengah-pasar-16-orang-tewas-di-pakistan ","sumber")</f>
        <v>sumber</v>
      </c>
      <c r="G35" s="223" t="s">
        <v>1</v>
      </c>
      <c r="H35" s="23" t="s">
        <v>2931</v>
      </c>
      <c r="I35" s="22">
        <v>1</v>
      </c>
      <c r="J35" s="22">
        <v>4</v>
      </c>
      <c r="K35" s="123" t="s">
        <v>2932</v>
      </c>
      <c r="L35" s="22">
        <v>0</v>
      </c>
      <c r="M35" s="22">
        <v>1</v>
      </c>
      <c r="N35" s="22">
        <v>0</v>
      </c>
      <c r="O35" s="22">
        <v>0</v>
      </c>
      <c r="P35" s="22">
        <v>0</v>
      </c>
      <c r="Q35" s="22">
        <v>0</v>
      </c>
      <c r="R35" s="22">
        <v>0</v>
      </c>
      <c r="S35" s="123"/>
      <c r="T35" s="22">
        <v>0</v>
      </c>
      <c r="U35" s="22">
        <v>0</v>
      </c>
      <c r="V35" s="22">
        <v>0</v>
      </c>
      <c r="W35" s="23"/>
      <c r="X35" s="23"/>
      <c r="Y35" s="23"/>
    </row>
    <row r="36" spans="1:25" ht="14.25" customHeight="1">
      <c r="A36" s="171">
        <v>2</v>
      </c>
      <c r="B36" s="48" t="s">
        <v>2933</v>
      </c>
      <c r="C36" s="25">
        <v>36</v>
      </c>
      <c r="D36" s="25">
        <v>4</v>
      </c>
      <c r="E36" s="25" t="s">
        <v>734</v>
      </c>
      <c r="F36" s="115" t="str">
        <f>HYPERLINK("https://www.liputan6.com/global/read/3940817/wanita-asia-ini-muslimah-pertama-yang-jadi-wali-kota-di-amerika ","sumber")</f>
        <v>sumber</v>
      </c>
      <c r="G36" s="228" t="s">
        <v>1</v>
      </c>
      <c r="H36" s="25">
        <v>699</v>
      </c>
      <c r="I36" s="25">
        <v>3</v>
      </c>
      <c r="J36" s="25">
        <v>4</v>
      </c>
      <c r="K36" s="124"/>
      <c r="L36" s="26"/>
      <c r="M36" s="26"/>
      <c r="N36" s="26"/>
      <c r="O36" s="26"/>
      <c r="P36" s="26"/>
      <c r="Q36" s="26"/>
      <c r="R36" s="26"/>
      <c r="S36" s="124"/>
      <c r="T36" s="26"/>
      <c r="U36" s="26"/>
      <c r="V36" s="26"/>
      <c r="W36" s="26"/>
      <c r="X36" s="26"/>
      <c r="Y36" s="25"/>
    </row>
    <row r="37" spans="1:25" ht="14.25" customHeight="1">
      <c r="A37" s="236">
        <v>1</v>
      </c>
      <c r="B37" s="237" t="s">
        <v>2934</v>
      </c>
      <c r="C37" s="22">
        <v>37</v>
      </c>
      <c r="D37" s="22">
        <v>8</v>
      </c>
      <c r="E37" s="22" t="s">
        <v>537</v>
      </c>
      <c r="F37" s="121" t="str">
        <f>HYPERLINK("https://www.suara.com/news/2019/04/18/160050/kelompok-bersenjata-di-pakistan-bajak-bus-lalu-bunuh-14-penumpang ","sumber")</f>
        <v>sumber</v>
      </c>
      <c r="G37" s="223" t="s">
        <v>1</v>
      </c>
      <c r="H37" s="23" t="s">
        <v>2935</v>
      </c>
      <c r="I37" s="22">
        <v>1</v>
      </c>
      <c r="J37" s="22">
        <v>4</v>
      </c>
      <c r="K37" s="123"/>
      <c r="L37" s="22">
        <v>-1</v>
      </c>
      <c r="M37" s="22">
        <v>-1</v>
      </c>
      <c r="N37" s="22">
        <v>0</v>
      </c>
      <c r="O37" s="22">
        <v>0</v>
      </c>
      <c r="P37" s="22">
        <v>0</v>
      </c>
      <c r="Q37" s="22"/>
      <c r="R37" s="22"/>
      <c r="S37" s="123"/>
      <c r="T37" s="22">
        <v>0</v>
      </c>
      <c r="U37" s="22">
        <v>0</v>
      </c>
      <c r="V37" s="22">
        <v>0</v>
      </c>
      <c r="W37" s="23"/>
      <c r="X37" s="23"/>
      <c r="Y37" s="22"/>
    </row>
    <row r="38" spans="1:25" ht="14.25" customHeight="1">
      <c r="A38" s="236">
        <v>1</v>
      </c>
      <c r="B38" s="237" t="s">
        <v>2936</v>
      </c>
      <c r="C38" s="22">
        <v>38</v>
      </c>
      <c r="D38" s="22">
        <v>9</v>
      </c>
      <c r="E38" s="22" t="s">
        <v>2937</v>
      </c>
      <c r="F38" s="121" t="str">
        <f>HYPERLINK("https://internasional.republika.co.id/berita/internasional/amerika/pqm5wd382/as-diminta-sanksi-saudi-karena-eksekusi-mati-37-warganya ","sumber")</f>
        <v>sumber</v>
      </c>
      <c r="G38" s="223" t="s">
        <v>1</v>
      </c>
      <c r="H38" s="23" t="s">
        <v>2938</v>
      </c>
      <c r="I38" s="22">
        <v>1</v>
      </c>
      <c r="J38" s="22">
        <v>4</v>
      </c>
      <c r="K38" s="240" t="s">
        <v>2939</v>
      </c>
      <c r="L38" s="22">
        <v>0</v>
      </c>
      <c r="M38" s="22">
        <v>1</v>
      </c>
      <c r="N38" s="22">
        <v>0</v>
      </c>
      <c r="O38" s="22">
        <v>0</v>
      </c>
      <c r="P38" s="22">
        <v>0</v>
      </c>
      <c r="Q38" s="22" t="s">
        <v>21</v>
      </c>
      <c r="R38" s="22" t="s">
        <v>360</v>
      </c>
      <c r="S38" s="123"/>
      <c r="T38" s="22">
        <v>0</v>
      </c>
      <c r="U38" s="22">
        <v>0</v>
      </c>
      <c r="V38" s="22">
        <v>0</v>
      </c>
      <c r="W38" s="23"/>
      <c r="X38" s="23"/>
      <c r="Y38" s="23"/>
    </row>
    <row r="39" spans="1:25" ht="14.25" customHeight="1">
      <c r="A39" s="236">
        <v>1</v>
      </c>
      <c r="B39" s="237" t="s">
        <v>2021</v>
      </c>
      <c r="C39" s="22">
        <v>39</v>
      </c>
      <c r="D39" s="22">
        <v>4</v>
      </c>
      <c r="E39" s="22" t="s">
        <v>2018</v>
      </c>
      <c r="F39" s="121" t="str">
        <f>HYPERLINK("https://www.liputan6.com/global/read/3952307/warga-saudi-yang-dieksekusi-gantung-bantah-terlibat-aksi-terorisme ","sumber")</f>
        <v>sumber</v>
      </c>
      <c r="G39" s="223" t="s">
        <v>1</v>
      </c>
      <c r="H39" s="23" t="s">
        <v>2940</v>
      </c>
      <c r="I39" s="22">
        <v>1</v>
      </c>
      <c r="J39" s="22">
        <v>4</v>
      </c>
      <c r="K39" s="123" t="s">
        <v>2941</v>
      </c>
      <c r="L39" s="22">
        <v>0</v>
      </c>
      <c r="M39" s="22">
        <v>1</v>
      </c>
      <c r="N39" s="22">
        <v>0</v>
      </c>
      <c r="O39" s="22">
        <v>0</v>
      </c>
      <c r="P39" s="22">
        <v>0</v>
      </c>
      <c r="Q39" s="22" t="s">
        <v>2942</v>
      </c>
      <c r="R39" s="22" t="s">
        <v>2943</v>
      </c>
      <c r="S39" s="123"/>
      <c r="T39" s="22">
        <v>0</v>
      </c>
      <c r="U39" s="22">
        <v>0</v>
      </c>
      <c r="V39" s="22">
        <v>1</v>
      </c>
      <c r="W39" s="23"/>
      <c r="X39" s="23"/>
      <c r="Y39" s="23"/>
    </row>
    <row r="40" spans="1:25" ht="14.25" customHeight="1">
      <c r="A40" s="236">
        <v>1</v>
      </c>
      <c r="B40" s="237" t="s">
        <v>2944</v>
      </c>
      <c r="C40" s="22">
        <v>40</v>
      </c>
      <c r="D40" s="22">
        <v>3</v>
      </c>
      <c r="E40" s="22" t="s">
        <v>354</v>
      </c>
      <c r="F40" s="121" t="str">
        <f>HYPERLINK("https://news.okezone.com/read/2019/04/29/18/2049437/pemuda-saudi-dihukum-pancung-karena-kirim-pesan-via-whatsapp ","sumber")</f>
        <v>sumber</v>
      </c>
      <c r="G40" s="223" t="s">
        <v>1</v>
      </c>
      <c r="H40" s="23" t="s">
        <v>2945</v>
      </c>
      <c r="I40" s="22">
        <v>1</v>
      </c>
      <c r="J40" s="22">
        <v>4</v>
      </c>
      <c r="K40" s="123" t="s">
        <v>2946</v>
      </c>
      <c r="L40" s="22">
        <v>0</v>
      </c>
      <c r="M40" s="22">
        <v>1</v>
      </c>
      <c r="N40" s="22">
        <v>0</v>
      </c>
      <c r="O40" s="22">
        <v>0</v>
      </c>
      <c r="P40" s="22">
        <v>0</v>
      </c>
      <c r="Q40" s="22" t="s">
        <v>29</v>
      </c>
      <c r="R40" s="22" t="s">
        <v>160</v>
      </c>
      <c r="S40" s="123"/>
      <c r="T40" s="22">
        <v>0</v>
      </c>
      <c r="U40" s="22">
        <v>0</v>
      </c>
      <c r="V40" s="22">
        <v>0</v>
      </c>
      <c r="W40" s="23"/>
      <c r="X40" s="23"/>
      <c r="Y40" s="23"/>
    </row>
    <row r="41" spans="1:25" ht="14.25" customHeight="1">
      <c r="A41" s="236">
        <v>1</v>
      </c>
      <c r="B41" s="237" t="s">
        <v>2947</v>
      </c>
      <c r="C41" s="22">
        <v>41</v>
      </c>
      <c r="D41" s="22">
        <v>4</v>
      </c>
      <c r="E41" s="241">
        <v>43588</v>
      </c>
      <c r="F41" s="121" t="str">
        <f>HYPERLINK("https://www.liputan6.com/global/read/3956177/sejumlah-negara-dan-organisasi-ham-desak-saudi-setop-hukuman-mati","sumber")</f>
        <v>sumber</v>
      </c>
      <c r="G41" s="223" t="s">
        <v>1</v>
      </c>
      <c r="H41" s="23" t="s">
        <v>2948</v>
      </c>
      <c r="I41" s="22">
        <v>4</v>
      </c>
      <c r="J41" s="22">
        <v>4</v>
      </c>
      <c r="K41" s="123" t="s">
        <v>2949</v>
      </c>
      <c r="L41" s="22">
        <v>0</v>
      </c>
      <c r="M41" s="22">
        <v>0</v>
      </c>
      <c r="N41" s="22">
        <v>0</v>
      </c>
      <c r="O41" s="22">
        <v>0</v>
      </c>
      <c r="P41" s="22">
        <v>0</v>
      </c>
      <c r="Q41" s="22" t="s">
        <v>21</v>
      </c>
      <c r="R41" s="22" t="s">
        <v>99</v>
      </c>
      <c r="S41" s="123"/>
      <c r="T41" s="22">
        <v>0</v>
      </c>
      <c r="U41" s="22">
        <v>0</v>
      </c>
      <c r="V41" s="22">
        <v>1</v>
      </c>
      <c r="W41" s="23"/>
      <c r="X41" s="23"/>
      <c r="Y41" s="23"/>
    </row>
    <row r="42" spans="1:25" ht="14.25" customHeight="1">
      <c r="A42" s="236">
        <v>1</v>
      </c>
      <c r="B42" s="237" t="s">
        <v>2950</v>
      </c>
      <c r="C42" s="22">
        <v>42</v>
      </c>
      <c r="D42" s="22">
        <v>8</v>
      </c>
      <c r="E42" s="241">
        <v>43595</v>
      </c>
      <c r="F42" s="121" t="str">
        <f>HYPERLINK("https://www.suara.com/news/2019/05/10/055406/3-orang-dinyatakan-bersalah-atas-pembakaran-masjid-syiah-di-australia","sumber")</f>
        <v>sumber</v>
      </c>
      <c r="G42" s="223" t="s">
        <v>1</v>
      </c>
      <c r="H42" s="23" t="s">
        <v>2951</v>
      </c>
      <c r="I42" s="22">
        <v>1</v>
      </c>
      <c r="J42" s="22">
        <v>4</v>
      </c>
      <c r="K42" s="123"/>
      <c r="L42" s="22">
        <v>-1</v>
      </c>
      <c r="M42" s="22">
        <v>0</v>
      </c>
      <c r="N42" s="22">
        <v>0</v>
      </c>
      <c r="O42" s="22">
        <v>0</v>
      </c>
      <c r="P42" s="22">
        <v>0</v>
      </c>
      <c r="Q42" s="22"/>
      <c r="R42" s="22"/>
      <c r="S42" s="123"/>
      <c r="T42" s="22">
        <v>0</v>
      </c>
      <c r="U42" s="22">
        <v>0</v>
      </c>
      <c r="V42" s="22">
        <v>0</v>
      </c>
      <c r="W42" s="23"/>
      <c r="X42" s="23"/>
      <c r="Y42" s="23"/>
    </row>
    <row r="43" spans="1:25" ht="14.25" customHeight="1">
      <c r="A43" s="171">
        <v>2</v>
      </c>
      <c r="B43" s="239" t="s">
        <v>2952</v>
      </c>
      <c r="C43" s="25">
        <v>43</v>
      </c>
      <c r="D43" s="25">
        <v>10</v>
      </c>
      <c r="E43" s="242">
        <v>43595</v>
      </c>
      <c r="F43" s="115" t="str">
        <f>HYPERLINK("https://dunia.tempo.co/read/1203852/kelompok-ham-di-prancis-blokade-pengiriman-senjata-ke-arab-saudi","sumber")</f>
        <v>sumber</v>
      </c>
      <c r="G43" s="228" t="s">
        <v>1</v>
      </c>
      <c r="H43" s="26" t="s">
        <v>2953</v>
      </c>
      <c r="I43" s="26"/>
      <c r="J43" s="26"/>
      <c r="K43" s="124"/>
      <c r="L43" s="26"/>
      <c r="M43" s="26"/>
      <c r="N43" s="26"/>
      <c r="O43" s="25"/>
      <c r="P43" s="26"/>
      <c r="Q43" s="26"/>
      <c r="R43" s="26"/>
      <c r="S43" s="124"/>
      <c r="T43" s="26"/>
      <c r="U43" s="26"/>
      <c r="V43" s="26"/>
      <c r="W43" s="26"/>
      <c r="X43" s="26"/>
      <c r="Y43" s="25"/>
    </row>
    <row r="44" spans="1:25" ht="14.25" customHeight="1">
      <c r="A44" s="171">
        <v>2</v>
      </c>
      <c r="B44" s="239" t="s">
        <v>368</v>
      </c>
      <c r="C44" s="25">
        <v>44</v>
      </c>
      <c r="D44" s="25">
        <v>8</v>
      </c>
      <c r="E44" s="242">
        <v>43606</v>
      </c>
      <c r="F44" s="115" t="str">
        <f>HYPERLINK("https://www.suara.com/news/2019/05/21/102304/new-york-times-jokowi-menang-lagi-kalahkan-eks-jenderal-garis-keras","sumber")</f>
        <v>sumber</v>
      </c>
      <c r="G44" s="228" t="s">
        <v>1</v>
      </c>
      <c r="H44" s="26" t="s">
        <v>2954</v>
      </c>
      <c r="I44" s="26"/>
      <c r="J44" s="26"/>
      <c r="K44" s="124"/>
      <c r="L44" s="26"/>
      <c r="M44" s="26"/>
      <c r="N44" s="26"/>
      <c r="O44" s="26"/>
      <c r="P44" s="26"/>
      <c r="Q44" s="26"/>
      <c r="R44" s="26"/>
      <c r="S44" s="124"/>
      <c r="T44" s="26"/>
      <c r="U44" s="26"/>
      <c r="V44" s="26"/>
      <c r="W44" s="26"/>
      <c r="X44" s="26"/>
      <c r="Y44" s="25"/>
    </row>
    <row r="45" spans="1:25" ht="14.25" customHeight="1">
      <c r="A45" s="171">
        <v>2</v>
      </c>
      <c r="B45" s="239" t="s">
        <v>2955</v>
      </c>
      <c r="C45" s="25">
        <v>45</v>
      </c>
      <c r="D45" s="25">
        <v>7</v>
      </c>
      <c r="E45" s="242">
        <v>43606</v>
      </c>
      <c r="F45" s="115" t="str">
        <f>HYPERLINK("https://www.tribunnews.com/internasional/2019/05/21/exxonmobil-evakuasi-staf-asing-di-irak-antisipasi-memanasnya-hubungan-as-iran","sumber")</f>
        <v>sumber</v>
      </c>
      <c r="G45" s="228" t="s">
        <v>1</v>
      </c>
      <c r="H45" s="26" t="s">
        <v>2956</v>
      </c>
      <c r="I45" s="26"/>
      <c r="J45" s="26"/>
      <c r="K45" s="124"/>
      <c r="L45" s="26"/>
      <c r="M45" s="26"/>
      <c r="N45" s="26"/>
      <c r="O45" s="26"/>
      <c r="P45" s="26"/>
      <c r="Q45" s="26"/>
      <c r="R45" s="26"/>
      <c r="S45" s="124"/>
      <c r="T45" s="26"/>
      <c r="U45" s="26"/>
      <c r="V45" s="26"/>
      <c r="W45" s="26"/>
      <c r="X45" s="26"/>
      <c r="Y45" s="25"/>
    </row>
    <row r="46" spans="1:25" ht="14.25" customHeight="1">
      <c r="A46" s="171">
        <v>2</v>
      </c>
      <c r="B46" s="239" t="s">
        <v>2957</v>
      </c>
      <c r="C46" s="25">
        <v>46</v>
      </c>
      <c r="D46" s="25">
        <v>10</v>
      </c>
      <c r="E46" s="242">
        <v>43607</v>
      </c>
      <c r="F46" s="115" t="str">
        <f>HYPERLINK("https://kolom.tempo.co/read/1207896/setelah-jokowi-menang-lagi/full&amp;view=ok","sumber")</f>
        <v>sumber</v>
      </c>
      <c r="G46" s="228" t="s">
        <v>1</v>
      </c>
      <c r="H46" s="26" t="s">
        <v>2958</v>
      </c>
      <c r="I46" s="26"/>
      <c r="J46" s="26"/>
      <c r="K46" s="124"/>
      <c r="L46" s="26"/>
      <c r="M46" s="26"/>
      <c r="N46" s="26"/>
      <c r="O46" s="26"/>
      <c r="P46" s="26"/>
      <c r="Q46" s="26"/>
      <c r="R46" s="26"/>
      <c r="S46" s="124"/>
      <c r="T46" s="26"/>
      <c r="U46" s="26"/>
      <c r="V46" s="26"/>
      <c r="W46" s="26"/>
      <c r="X46" s="26"/>
      <c r="Y46" s="25"/>
    </row>
    <row r="47" spans="1:25" ht="14.25" customHeight="1">
      <c r="A47" s="171">
        <v>2</v>
      </c>
      <c r="B47" s="239" t="s">
        <v>2959</v>
      </c>
      <c r="C47" s="25">
        <v>47</v>
      </c>
      <c r="D47" s="25">
        <v>9</v>
      </c>
      <c r="E47" s="242">
        <v>43608</v>
      </c>
      <c r="F47" s="115" t="str">
        <f>HYPERLINK("https://internasional.republika.co.id/berita/internasional/amerika/pry346382/alasan-as-ingin-tambah-ribuan-pasukan-ke-timur-tengah","sumber")</f>
        <v>sumber</v>
      </c>
      <c r="G47" s="228" t="s">
        <v>1</v>
      </c>
      <c r="H47" s="26" t="s">
        <v>2960</v>
      </c>
      <c r="I47" s="26"/>
      <c r="J47" s="26"/>
      <c r="K47" s="124"/>
      <c r="L47" s="26"/>
      <c r="M47" s="26"/>
      <c r="N47" s="26"/>
      <c r="O47" s="26"/>
      <c r="P47" s="26"/>
      <c r="Q47" s="26"/>
      <c r="R47" s="26"/>
      <c r="S47" s="124"/>
      <c r="T47" s="26"/>
      <c r="U47" s="26"/>
      <c r="V47" s="26"/>
      <c r="W47" s="26"/>
      <c r="X47" s="26"/>
      <c r="Y47" s="25"/>
    </row>
    <row r="48" spans="1:25" ht="14.25" customHeight="1">
      <c r="A48" s="171">
        <v>2</v>
      </c>
      <c r="B48" s="239" t="s">
        <v>2961</v>
      </c>
      <c r="C48" s="25">
        <v>48</v>
      </c>
      <c r="D48" s="25">
        <v>2</v>
      </c>
      <c r="E48" s="242">
        <v>43610</v>
      </c>
      <c r="F48" s="115" t="str">
        <f>HYPERLINK("https://www.cnnindonesia.com/gaya-hidup/20190524172411-269-398178/ramadan-di-irak-dan-ikan-soekarno ","sumber")</f>
        <v>sumber</v>
      </c>
      <c r="G48" s="228" t="s">
        <v>1</v>
      </c>
      <c r="H48" s="26" t="s">
        <v>2962</v>
      </c>
      <c r="I48" s="26"/>
      <c r="J48" s="26"/>
      <c r="K48" s="124"/>
      <c r="L48" s="26"/>
      <c r="M48" s="26"/>
      <c r="N48" s="26"/>
      <c r="O48" s="26"/>
      <c r="P48" s="26"/>
      <c r="Q48" s="26"/>
      <c r="R48" s="26"/>
      <c r="S48" s="124"/>
      <c r="T48" s="26"/>
      <c r="U48" s="26"/>
      <c r="V48" s="26"/>
      <c r="W48" s="26"/>
      <c r="X48" s="26"/>
      <c r="Y48" s="25"/>
    </row>
    <row r="49" spans="1:25" ht="14.25" customHeight="1">
      <c r="A49" s="148">
        <v>1</v>
      </c>
      <c r="B49" s="55" t="s">
        <v>2963</v>
      </c>
      <c r="C49" s="33">
        <v>49</v>
      </c>
      <c r="D49" s="33">
        <v>1</v>
      </c>
      <c r="E49" s="243">
        <v>43596</v>
      </c>
      <c r="F49" s="130" t="str">
        <f>HYPERLINK("https://news.detik.com/dw/d-4545510/azerbaijan-tanah-toleransi-beragama ","sumber")</f>
        <v>sumber</v>
      </c>
      <c r="G49" s="231" t="s">
        <v>1</v>
      </c>
      <c r="H49" s="33">
        <v>835</v>
      </c>
      <c r="I49" s="33">
        <v>2</v>
      </c>
      <c r="J49" s="33">
        <v>4</v>
      </c>
      <c r="K49" s="131" t="s">
        <v>2964</v>
      </c>
      <c r="L49" s="33">
        <v>0</v>
      </c>
      <c r="M49" s="33">
        <v>0</v>
      </c>
      <c r="N49" s="33">
        <v>0</v>
      </c>
      <c r="O49" s="33">
        <v>0</v>
      </c>
      <c r="P49" s="33">
        <v>0</v>
      </c>
      <c r="Q49" s="33">
        <v>0</v>
      </c>
      <c r="R49" s="33">
        <v>1</v>
      </c>
      <c r="S49" s="131"/>
      <c r="T49" s="33">
        <v>0</v>
      </c>
      <c r="U49" s="33">
        <v>0</v>
      </c>
      <c r="V49" s="33">
        <v>1</v>
      </c>
      <c r="W49" s="24"/>
      <c r="X49" s="24"/>
      <c r="Y49" s="33"/>
    </row>
    <row r="50" spans="1:25" ht="14.25" customHeight="1">
      <c r="A50" s="244">
        <v>1</v>
      </c>
      <c r="B50" s="245" t="s">
        <v>2965</v>
      </c>
      <c r="C50" s="57">
        <v>50</v>
      </c>
      <c r="D50" s="57">
        <v>1</v>
      </c>
      <c r="E50" s="246">
        <v>43614</v>
      </c>
      <c r="F50" s="247" t="str">
        <f>HYPERLINK("https://news.detik.com/berita/d-4570176/jerry-d-gray-bantah-agen-asing-itu-fitnah-saya-juga-dituduh-syiah","sumber")</f>
        <v>sumber</v>
      </c>
      <c r="G50" s="248" t="s">
        <v>1</v>
      </c>
      <c r="H50" s="41" t="s">
        <v>2966</v>
      </c>
      <c r="I50" s="57">
        <v>2</v>
      </c>
      <c r="J50" s="57">
        <v>4</v>
      </c>
      <c r="K50" s="150" t="s">
        <v>2967</v>
      </c>
      <c r="L50" s="57">
        <v>0</v>
      </c>
      <c r="M50" s="57">
        <v>0</v>
      </c>
      <c r="N50" s="57">
        <v>0</v>
      </c>
      <c r="O50" s="57">
        <v>0</v>
      </c>
      <c r="P50" s="57">
        <v>0</v>
      </c>
      <c r="Q50" s="57">
        <v>-1</v>
      </c>
      <c r="R50" s="57">
        <v>0</v>
      </c>
      <c r="S50" s="150"/>
      <c r="T50" s="57">
        <v>0</v>
      </c>
      <c r="U50" s="57">
        <v>0</v>
      </c>
      <c r="V50" s="57">
        <v>0</v>
      </c>
      <c r="W50" s="41"/>
      <c r="X50" s="41"/>
      <c r="Y50" s="41"/>
    </row>
    <row r="51" spans="1:25" ht="14.25" customHeight="1">
      <c r="A51" s="236">
        <v>1</v>
      </c>
      <c r="B51" s="237" t="s">
        <v>2968</v>
      </c>
      <c r="C51" s="22">
        <v>51</v>
      </c>
      <c r="D51" s="22">
        <v>6</v>
      </c>
      <c r="E51" s="241">
        <v>43624</v>
      </c>
      <c r="F51" s="121" t="str">
        <f>HYPERLINK("https://internasional.kompas.com/read/2019/06/08/11031751/ikut-unjuk-rasa-saat-umur-10-tahun-remaja-18-tahun-di-saudi-terancam ","sumber")</f>
        <v>sumber</v>
      </c>
      <c r="G51" s="223" t="s">
        <v>1</v>
      </c>
      <c r="H51" s="23" t="s">
        <v>2969</v>
      </c>
      <c r="I51" s="22">
        <v>4</v>
      </c>
      <c r="J51" s="22">
        <v>4</v>
      </c>
      <c r="K51" s="123"/>
      <c r="L51" s="22">
        <v>0</v>
      </c>
      <c r="M51" s="22">
        <v>0</v>
      </c>
      <c r="N51" s="22">
        <v>-1</v>
      </c>
      <c r="O51" s="22">
        <v>0</v>
      </c>
      <c r="P51" s="22">
        <v>0</v>
      </c>
      <c r="Q51" s="22"/>
      <c r="R51" s="22"/>
      <c r="S51" s="123"/>
      <c r="T51" s="22">
        <v>0</v>
      </c>
      <c r="U51" s="22">
        <v>0</v>
      </c>
      <c r="V51" s="22">
        <v>1</v>
      </c>
      <c r="W51" s="23"/>
      <c r="X51" s="23"/>
      <c r="Y51" s="23"/>
    </row>
    <row r="52" spans="1:25" ht="14.25" customHeight="1">
      <c r="A52" s="148">
        <v>1</v>
      </c>
      <c r="B52" s="55" t="s">
        <v>2970</v>
      </c>
      <c r="C52" s="33">
        <v>52</v>
      </c>
      <c r="D52" s="33">
        <v>6</v>
      </c>
      <c r="E52" s="249">
        <v>43625</v>
      </c>
      <c r="F52" s="130" t="str">
        <f>HYPERLINK("https://regional.kompas.com/read/2019/06/09/16070261/lebaran-di-pengungsian-jemaah-ahmadiyah-rindu-kampung-halaman ","sumber")</f>
        <v>sumber</v>
      </c>
      <c r="G52" s="231" t="s">
        <v>1</v>
      </c>
      <c r="H52" s="33">
        <v>474</v>
      </c>
      <c r="I52" s="33">
        <v>1</v>
      </c>
      <c r="J52" s="33">
        <v>4</v>
      </c>
      <c r="K52" s="131" t="s">
        <v>2971</v>
      </c>
      <c r="L52" s="33">
        <v>0</v>
      </c>
      <c r="M52" s="33">
        <v>-1</v>
      </c>
      <c r="N52" s="33">
        <v>0</v>
      </c>
      <c r="O52" s="33">
        <v>0</v>
      </c>
      <c r="P52" s="33">
        <v>0</v>
      </c>
      <c r="Q52" s="33" t="s">
        <v>159</v>
      </c>
      <c r="R52" s="33" t="s">
        <v>29</v>
      </c>
      <c r="S52" s="131"/>
      <c r="T52" s="33">
        <v>0</v>
      </c>
      <c r="U52" s="33">
        <v>0</v>
      </c>
      <c r="V52" s="33">
        <v>0</v>
      </c>
      <c r="W52" s="24"/>
      <c r="X52" s="24"/>
      <c r="Y52" s="33"/>
    </row>
    <row r="53" spans="1:25" ht="14.25" customHeight="1">
      <c r="A53" s="171">
        <v>2</v>
      </c>
      <c r="B53" s="239" t="s">
        <v>2972</v>
      </c>
      <c r="C53" s="25">
        <v>53</v>
      </c>
      <c r="D53" s="25">
        <v>6</v>
      </c>
      <c r="E53" s="242">
        <v>43628</v>
      </c>
      <c r="F53" s="115" t="str">
        <f>HYPERLINK("https://edukasi.kompas.com/read/2019/06/12/19414931/unsyiah-tawarkan-63-prodi-di-sbmptn-2019-ini-daftar-profi-favoritnya ","sumber")</f>
        <v>sumber</v>
      </c>
      <c r="G53" s="228" t="s">
        <v>1</v>
      </c>
      <c r="H53" s="26" t="s">
        <v>2973</v>
      </c>
      <c r="I53" s="26"/>
      <c r="J53" s="26"/>
      <c r="K53" s="124"/>
      <c r="L53" s="26"/>
      <c r="M53" s="26"/>
      <c r="N53" s="26"/>
      <c r="O53" s="26"/>
      <c r="P53" s="26"/>
      <c r="Q53" s="26"/>
      <c r="R53" s="26"/>
      <c r="S53" s="124"/>
      <c r="T53" s="26"/>
      <c r="U53" s="26"/>
      <c r="V53" s="26"/>
      <c r="W53" s="26"/>
      <c r="X53" s="26"/>
      <c r="Y53" s="25"/>
    </row>
    <row r="54" spans="1:25" ht="14.25" customHeight="1">
      <c r="A54" s="236">
        <v>1</v>
      </c>
      <c r="B54" s="237" t="s">
        <v>2974</v>
      </c>
      <c r="C54" s="22">
        <v>54</v>
      </c>
      <c r="D54" s="22">
        <v>1</v>
      </c>
      <c r="E54" s="241">
        <v>43629</v>
      </c>
      <c r="F54" s="121" t="str">
        <f>HYPERLINK("https://news.detik.com/berita/d-4584496/mui-gowa-sebut-tarekat-di-sulsel-juga-keliru-tafsirkan-hamdalah ","sumber")</f>
        <v>sumber</v>
      </c>
      <c r="G54" s="223" t="s">
        <v>1</v>
      </c>
      <c r="H54" s="23" t="s">
        <v>2975</v>
      </c>
      <c r="I54" s="22">
        <v>1</v>
      </c>
      <c r="J54" s="22">
        <v>4</v>
      </c>
      <c r="K54" s="123" t="s">
        <v>2976</v>
      </c>
      <c r="L54" s="22">
        <v>0</v>
      </c>
      <c r="M54" s="22">
        <v>-1</v>
      </c>
      <c r="N54" s="22">
        <v>0</v>
      </c>
      <c r="O54" s="22">
        <v>0</v>
      </c>
      <c r="P54" s="22">
        <v>0</v>
      </c>
      <c r="Q54" s="22">
        <v>0</v>
      </c>
      <c r="R54" s="22">
        <v>-1</v>
      </c>
      <c r="S54" s="123"/>
      <c r="T54" s="22">
        <v>0</v>
      </c>
      <c r="U54" s="22">
        <v>0</v>
      </c>
      <c r="V54" s="22">
        <v>0</v>
      </c>
      <c r="W54" s="23"/>
      <c r="X54" s="23"/>
      <c r="Y54" s="23"/>
    </row>
    <row r="55" spans="1:25" ht="14.25" customHeight="1">
      <c r="A55" s="148">
        <v>1</v>
      </c>
      <c r="B55" s="55" t="s">
        <v>1140</v>
      </c>
      <c r="C55" s="33">
        <v>55</v>
      </c>
      <c r="D55" s="33">
        <v>3</v>
      </c>
      <c r="E55" s="249">
        <v>43629</v>
      </c>
      <c r="F55" s="130" t="str">
        <f>HYPERLINK("https://index.okezone.com/read/2019/06/13/614/2065994/kontroversi-zakir-naik-penceramah-kondang-yang-bikin-malaysia-dan-india-memanas","sumber")</f>
        <v>sumber</v>
      </c>
      <c r="G55" s="231" t="s">
        <v>1</v>
      </c>
      <c r="H55" s="33">
        <v>333</v>
      </c>
      <c r="I55" s="33">
        <v>1</v>
      </c>
      <c r="J55" s="33">
        <v>4</v>
      </c>
      <c r="K55" s="131" t="s">
        <v>2977</v>
      </c>
      <c r="L55" s="33">
        <v>0</v>
      </c>
      <c r="M55" s="33">
        <v>1</v>
      </c>
      <c r="N55" s="33">
        <v>0</v>
      </c>
      <c r="O55" s="33">
        <v>0</v>
      </c>
      <c r="P55" s="33">
        <v>0</v>
      </c>
      <c r="Q55" s="33" t="s">
        <v>29</v>
      </c>
      <c r="R55" s="33" t="s">
        <v>29</v>
      </c>
      <c r="S55" s="131"/>
      <c r="T55" s="33">
        <v>0</v>
      </c>
      <c r="U55" s="33">
        <v>0</v>
      </c>
      <c r="V55" s="33">
        <v>0</v>
      </c>
      <c r="W55" s="24"/>
      <c r="X55" s="24"/>
      <c r="Y55" s="33"/>
    </row>
    <row r="56" spans="1:25" ht="14.25" customHeight="1">
      <c r="A56" s="171">
        <v>2</v>
      </c>
      <c r="B56" s="239" t="s">
        <v>2978</v>
      </c>
      <c r="C56" s="25">
        <v>56</v>
      </c>
      <c r="D56" s="25">
        <v>5</v>
      </c>
      <c r="E56" s="242">
        <v>43629</v>
      </c>
      <c r="F56" s="115" t="str">
        <f>HYPERLINK("https://tirto.id/persiapan-sbmptn-melihat-tingkat-kompetisi-jurusan-ecjy ","sumber")</f>
        <v>sumber</v>
      </c>
      <c r="G56" s="228" t="s">
        <v>1</v>
      </c>
      <c r="H56" s="26" t="s">
        <v>2979</v>
      </c>
      <c r="I56" s="26"/>
      <c r="J56" s="26"/>
      <c r="K56" s="124"/>
      <c r="L56" s="26"/>
      <c r="M56" s="26"/>
      <c r="N56" s="26"/>
      <c r="O56" s="26"/>
      <c r="P56" s="26"/>
      <c r="Q56" s="26"/>
      <c r="R56" s="26"/>
      <c r="S56" s="124"/>
      <c r="T56" s="26"/>
      <c r="U56" s="26"/>
      <c r="V56" s="26"/>
      <c r="W56" s="26"/>
      <c r="X56" s="26"/>
      <c r="Y56" s="25"/>
    </row>
    <row r="57" spans="1:25" ht="14.25" customHeight="1">
      <c r="A57" s="148">
        <v>1</v>
      </c>
      <c r="B57" s="55" t="s">
        <v>2980</v>
      </c>
      <c r="C57" s="33">
        <v>57</v>
      </c>
      <c r="D57" s="33">
        <v>9</v>
      </c>
      <c r="E57" s="249">
        <v>43631</v>
      </c>
      <c r="F57" s="130" t="str">
        <f>HYPERLINK("https://nasional.republika.co.id/berita/nasional/umum/pt56gy320/2-warga-yogyakarta-ajukan-penghayat-kepercayaan-di-ktp ","sumber")</f>
        <v>sumber</v>
      </c>
      <c r="G57" s="231" t="s">
        <v>1</v>
      </c>
      <c r="H57" s="33">
        <v>293</v>
      </c>
      <c r="I57" s="33">
        <v>2</v>
      </c>
      <c r="J57" s="33">
        <v>4</v>
      </c>
      <c r="K57" s="131" t="s">
        <v>2981</v>
      </c>
      <c r="L57" s="33">
        <v>0</v>
      </c>
      <c r="M57" s="33">
        <v>0</v>
      </c>
      <c r="N57" s="33">
        <v>0</v>
      </c>
      <c r="O57" s="33">
        <v>0</v>
      </c>
      <c r="P57" s="33">
        <v>0</v>
      </c>
      <c r="Q57" s="33">
        <v>0</v>
      </c>
      <c r="R57" s="33">
        <v>1</v>
      </c>
      <c r="S57" s="131" t="s">
        <v>2982</v>
      </c>
      <c r="T57" s="33">
        <v>3</v>
      </c>
      <c r="U57" s="33">
        <v>0</v>
      </c>
      <c r="V57" s="33">
        <v>0</v>
      </c>
      <c r="W57" s="24"/>
      <c r="X57" s="24"/>
      <c r="Y57" s="33"/>
    </row>
    <row r="58" spans="1:25" ht="14.25" customHeight="1">
      <c r="A58" s="236">
        <v>1</v>
      </c>
      <c r="B58" s="237" t="s">
        <v>2983</v>
      </c>
      <c r="C58" s="22">
        <v>58</v>
      </c>
      <c r="D58" s="22">
        <v>8</v>
      </c>
      <c r="E58" s="241">
        <v>43634</v>
      </c>
      <c r="F58" s="121" t="str">
        <f>HYPERLINK("https://jogja.suara.com/read/2019/06/18/184040/pemdes-rejosari-akui-surat-kutukan-tuhan-menyinggung-masyarakat ","sumber")</f>
        <v>sumber</v>
      </c>
      <c r="G58" s="223" t="s">
        <v>1</v>
      </c>
      <c r="H58" s="23" t="s">
        <v>2984</v>
      </c>
      <c r="I58" s="22">
        <v>2</v>
      </c>
      <c r="J58" s="22">
        <v>4</v>
      </c>
      <c r="K58" s="123" t="s">
        <v>2985</v>
      </c>
      <c r="L58" s="22">
        <v>0</v>
      </c>
      <c r="M58" s="22">
        <v>0</v>
      </c>
      <c r="N58" s="22">
        <v>0</v>
      </c>
      <c r="O58" s="22">
        <v>0</v>
      </c>
      <c r="P58" s="22">
        <v>0</v>
      </c>
      <c r="Q58" s="22" t="s">
        <v>29</v>
      </c>
      <c r="R58" s="22" t="s">
        <v>29</v>
      </c>
      <c r="S58" s="123" t="s">
        <v>2849</v>
      </c>
      <c r="T58" s="22">
        <v>1</v>
      </c>
      <c r="U58" s="22">
        <v>0</v>
      </c>
      <c r="V58" s="22">
        <v>0</v>
      </c>
      <c r="W58" s="23"/>
      <c r="X58" s="23"/>
      <c r="Y58" s="23"/>
    </row>
    <row r="59" spans="1:25" ht="14.25" customHeight="1">
      <c r="A59" s="171">
        <v>2</v>
      </c>
      <c r="B59" s="239" t="s">
        <v>2986</v>
      </c>
      <c r="C59" s="25">
        <v>59</v>
      </c>
      <c r="D59" s="25">
        <v>8</v>
      </c>
      <c r="E59" s="242">
        <v>43637</v>
      </c>
      <c r="F59" s="115" t="str">
        <f>HYPERLINK("https://www.suara.com/lifestyle/2019/06/21/170000/sambut-solstis-bulan-juni-ribuan-orang-penuhi-stonehenge ","sumber")</f>
        <v>sumber</v>
      </c>
      <c r="G59" s="228" t="s">
        <v>1</v>
      </c>
      <c r="H59" s="26" t="s">
        <v>2987</v>
      </c>
      <c r="I59" s="26"/>
      <c r="J59" s="26"/>
      <c r="K59" s="124"/>
      <c r="L59" s="26"/>
      <c r="M59" s="26"/>
      <c r="N59" s="26"/>
      <c r="O59" s="26"/>
      <c r="P59" s="26"/>
      <c r="Q59" s="26"/>
      <c r="R59" s="26"/>
      <c r="S59" s="124"/>
      <c r="T59" s="26"/>
      <c r="U59" s="26"/>
      <c r="V59" s="26"/>
      <c r="W59" s="26"/>
      <c r="X59" s="26"/>
      <c r="Y59" s="25"/>
    </row>
    <row r="60" spans="1:25" ht="14.25" customHeight="1">
      <c r="A60" s="148">
        <v>1</v>
      </c>
      <c r="B60" s="55" t="s">
        <v>2988</v>
      </c>
      <c r="C60" s="33">
        <v>60</v>
      </c>
      <c r="D60" s="33">
        <v>1</v>
      </c>
      <c r="E60" s="249">
        <v>43638</v>
      </c>
      <c r="F60" s="130" t="str">
        <f>HYPERLINK("https://news.detik.com/dw/d-4572783/transformasi-modernitas-di-saudi-dalam-balutan-perseteruan-dengan-iran","sumber")</f>
        <v>sumber</v>
      </c>
      <c r="G60" s="231" t="s">
        <v>1</v>
      </c>
      <c r="H60" s="33">
        <v>1417</v>
      </c>
      <c r="I60" s="33">
        <v>4</v>
      </c>
      <c r="J60" s="33">
        <v>4</v>
      </c>
      <c r="K60" s="131" t="s">
        <v>2989</v>
      </c>
      <c r="L60" s="33">
        <v>0</v>
      </c>
      <c r="M60" s="33">
        <v>0</v>
      </c>
      <c r="N60" s="33">
        <v>0</v>
      </c>
      <c r="O60" s="33">
        <v>0</v>
      </c>
      <c r="P60" s="33">
        <v>0</v>
      </c>
      <c r="Q60" s="33">
        <v>0</v>
      </c>
      <c r="R60" s="33">
        <v>0</v>
      </c>
      <c r="S60" s="131" t="s">
        <v>2990</v>
      </c>
      <c r="T60" s="33">
        <v>6</v>
      </c>
      <c r="U60" s="33">
        <v>0</v>
      </c>
      <c r="V60" s="33">
        <v>1</v>
      </c>
      <c r="W60" s="24"/>
      <c r="X60" s="24"/>
      <c r="Y60" s="33"/>
    </row>
    <row r="61" spans="1:25" ht="14.25" customHeight="1">
      <c r="A61" s="236">
        <v>1</v>
      </c>
      <c r="B61" s="237" t="s">
        <v>2991</v>
      </c>
      <c r="C61" s="22">
        <v>61</v>
      </c>
      <c r="D61" s="22">
        <v>10</v>
      </c>
      <c r="E61" s="241">
        <v>43638</v>
      </c>
      <c r="F61" s="121" t="str">
        <f>HYPERLINK("https://travel.tempo.co/read/1217129/hari-ini-ada-festival-budaya-benang-merah-berbasis-keagamaan","sumber")</f>
        <v>sumber</v>
      </c>
      <c r="G61" s="223" t="s">
        <v>1</v>
      </c>
      <c r="H61" s="23" t="s">
        <v>2992</v>
      </c>
      <c r="I61" s="22">
        <v>3</v>
      </c>
      <c r="J61" s="22">
        <v>4</v>
      </c>
      <c r="K61" s="123" t="s">
        <v>2993</v>
      </c>
      <c r="L61" s="22">
        <v>0</v>
      </c>
      <c r="M61" s="22">
        <v>0</v>
      </c>
      <c r="N61" s="22">
        <v>0</v>
      </c>
      <c r="O61" s="22">
        <v>0</v>
      </c>
      <c r="P61" s="22">
        <v>0</v>
      </c>
      <c r="Q61" s="22" t="s">
        <v>210</v>
      </c>
      <c r="R61" s="22" t="s">
        <v>309</v>
      </c>
      <c r="S61" s="123" t="s">
        <v>2849</v>
      </c>
      <c r="T61" s="22">
        <v>1</v>
      </c>
      <c r="U61" s="22">
        <v>0</v>
      </c>
      <c r="V61" s="22">
        <v>0</v>
      </c>
      <c r="W61" s="23"/>
      <c r="X61" s="23"/>
      <c r="Y61" s="23"/>
    </row>
    <row r="62" spans="1:25" ht="14.25" customHeight="1">
      <c r="A62" s="236">
        <v>1</v>
      </c>
      <c r="B62" s="237" t="s">
        <v>2994</v>
      </c>
      <c r="C62" s="22">
        <v>62</v>
      </c>
      <c r="D62" s="22">
        <v>5</v>
      </c>
      <c r="E62" s="241">
        <v>43642</v>
      </c>
      <c r="F62" s="121" t="str">
        <f>HYPERLINK("https://tirto.id/isi-petisi-massa-aksi-kawal-mk-jelang-sidang-putusan-ec8U ","sumber")</f>
        <v>sumber</v>
      </c>
      <c r="G62" s="223" t="s">
        <v>1</v>
      </c>
      <c r="H62" s="23" t="s">
        <v>2995</v>
      </c>
      <c r="I62" s="22">
        <v>3</v>
      </c>
      <c r="J62" s="22">
        <v>4</v>
      </c>
      <c r="K62" s="123" t="s">
        <v>2996</v>
      </c>
      <c r="L62" s="22">
        <v>0</v>
      </c>
      <c r="M62" s="22">
        <v>0</v>
      </c>
      <c r="N62" s="22">
        <v>0</v>
      </c>
      <c r="O62" s="22">
        <v>0</v>
      </c>
      <c r="P62" s="22">
        <v>0</v>
      </c>
      <c r="Q62" s="22">
        <v>0</v>
      </c>
      <c r="R62" s="22">
        <v>0</v>
      </c>
      <c r="S62" s="123"/>
      <c r="T62" s="22">
        <v>0</v>
      </c>
      <c r="U62" s="22">
        <v>0</v>
      </c>
      <c r="V62" s="22">
        <v>0</v>
      </c>
      <c r="W62" s="23"/>
      <c r="X62" s="23"/>
      <c r="Y62" s="23"/>
    </row>
    <row r="63" spans="1:25" ht="14.25" customHeight="1">
      <c r="A63" s="236">
        <v>1</v>
      </c>
      <c r="B63" s="237" t="s">
        <v>2997</v>
      </c>
      <c r="C63" s="22">
        <v>63</v>
      </c>
      <c r="D63" s="22">
        <v>1</v>
      </c>
      <c r="E63" s="241">
        <v>43653</v>
      </c>
      <c r="F63" s="121" t="str">
        <f>HYPERLINK("https://news.detik.com/internasional/d-4614008/is-serang-masjid-syiah-di-afghanistan-dua-orang-tewas ","sumber")</f>
        <v>sumber</v>
      </c>
      <c r="G63" s="223" t="s">
        <v>1</v>
      </c>
      <c r="H63" s="23" t="s">
        <v>2998</v>
      </c>
      <c r="I63" s="22">
        <v>1</v>
      </c>
      <c r="J63" s="22">
        <v>4</v>
      </c>
      <c r="K63" s="123"/>
      <c r="L63" s="22">
        <v>0</v>
      </c>
      <c r="M63" s="22">
        <v>-1</v>
      </c>
      <c r="N63" s="22">
        <v>0</v>
      </c>
      <c r="O63" s="22">
        <v>0</v>
      </c>
      <c r="P63" s="22">
        <v>0</v>
      </c>
      <c r="Q63" s="22"/>
      <c r="R63" s="22"/>
      <c r="S63" s="123"/>
      <c r="T63" s="22">
        <v>0</v>
      </c>
      <c r="U63" s="22">
        <v>0</v>
      </c>
      <c r="V63" s="22">
        <v>0</v>
      </c>
      <c r="W63" s="23"/>
      <c r="X63" s="23"/>
      <c r="Y63" s="23"/>
    </row>
    <row r="64" spans="1:25" ht="14.25" customHeight="1">
      <c r="A64" s="148">
        <v>1</v>
      </c>
      <c r="B64" s="55" t="s">
        <v>2999</v>
      </c>
      <c r="C64" s="33">
        <v>64</v>
      </c>
      <c r="D64" s="33">
        <v>4</v>
      </c>
      <c r="E64" s="249">
        <v>43655</v>
      </c>
      <c r="F64" s="130" t="str">
        <f>HYPERLINK("https://www.liputan6.com/global/read/4008080/hadiri-konferensi-muslim-di-kanada-justin-trudeau-tekankan-pentingnya-perdamaian ","sumber")</f>
        <v>sumber</v>
      </c>
      <c r="G64" s="231" t="s">
        <v>1</v>
      </c>
      <c r="H64" s="33">
        <v>334</v>
      </c>
      <c r="I64" s="33">
        <v>3</v>
      </c>
      <c r="J64" s="33">
        <v>4</v>
      </c>
      <c r="K64" s="131" t="s">
        <v>3000</v>
      </c>
      <c r="L64" s="33">
        <v>0</v>
      </c>
      <c r="M64" s="33">
        <v>0</v>
      </c>
      <c r="N64" s="33">
        <v>0</v>
      </c>
      <c r="O64" s="33">
        <v>0</v>
      </c>
      <c r="P64" s="33">
        <v>0</v>
      </c>
      <c r="Q64" s="33">
        <v>0</v>
      </c>
      <c r="R64" s="33">
        <v>1</v>
      </c>
      <c r="S64" s="131"/>
      <c r="T64" s="33">
        <v>0</v>
      </c>
      <c r="U64" s="33">
        <v>0</v>
      </c>
      <c r="V64" s="33">
        <v>0</v>
      </c>
      <c r="W64" s="24"/>
      <c r="X64" s="24"/>
      <c r="Y64" s="33"/>
    </row>
    <row r="65" spans="1:25" ht="14.25" customHeight="1">
      <c r="A65" s="171">
        <v>2</v>
      </c>
      <c r="B65" s="239" t="s">
        <v>3001</v>
      </c>
      <c r="C65" s="25">
        <v>65</v>
      </c>
      <c r="D65" s="25">
        <v>5</v>
      </c>
      <c r="E65" s="242">
        <v>43655</v>
      </c>
      <c r="F65" s="115" t="str">
        <f>HYPERLINK("https://tirto.id/hasil-sbmptn-ltmpt-2019-bisa-dicek-melalui-portal-unsyiah-edVl ","sumber")</f>
        <v>sumber</v>
      </c>
      <c r="G65" s="228" t="s">
        <v>1</v>
      </c>
      <c r="H65" s="26" t="s">
        <v>3002</v>
      </c>
      <c r="I65" s="26"/>
      <c r="J65" s="26"/>
      <c r="K65" s="124"/>
      <c r="L65" s="26"/>
      <c r="M65" s="26"/>
      <c r="N65" s="26"/>
      <c r="O65" s="26"/>
      <c r="P65" s="26"/>
      <c r="Q65" s="26"/>
      <c r="R65" s="26"/>
      <c r="S65" s="124"/>
      <c r="T65" s="26"/>
      <c r="U65" s="26"/>
      <c r="V65" s="26"/>
      <c r="W65" s="26"/>
      <c r="X65" s="26"/>
      <c r="Y65" s="25"/>
    </row>
    <row r="66" spans="1:25" ht="14.25" customHeight="1">
      <c r="A66" s="236">
        <v>1</v>
      </c>
      <c r="B66" s="237" t="s">
        <v>3003</v>
      </c>
      <c r="C66" s="22">
        <v>66</v>
      </c>
      <c r="D66" s="22">
        <v>3</v>
      </c>
      <c r="E66" s="241">
        <v>43656</v>
      </c>
      <c r="F66" s="121" t="str">
        <f>HYPERLINK("https://news.okezone.com/read/2019/07/10/18/2076992/hingga-juni-2019-arab-saudi-sudah-eksekusi-mati-122-orang ","sumber")</f>
        <v>sumber</v>
      </c>
      <c r="G66" s="223" t="s">
        <v>1</v>
      </c>
      <c r="H66" s="23" t="s">
        <v>3004</v>
      </c>
      <c r="I66" s="22">
        <v>1</v>
      </c>
      <c r="J66" s="22">
        <v>4</v>
      </c>
      <c r="K66" s="123" t="s">
        <v>3005</v>
      </c>
      <c r="L66" s="22">
        <v>0</v>
      </c>
      <c r="M66" s="22">
        <v>-1</v>
      </c>
      <c r="N66" s="22">
        <v>0</v>
      </c>
      <c r="O66" s="22">
        <v>0</v>
      </c>
      <c r="P66" s="22">
        <v>0</v>
      </c>
      <c r="Q66" s="22">
        <v>0</v>
      </c>
      <c r="R66" s="22">
        <v>-1</v>
      </c>
      <c r="S66" s="123"/>
      <c r="T66" s="22">
        <v>0</v>
      </c>
      <c r="U66" s="22">
        <v>0</v>
      </c>
      <c r="V66" s="22">
        <v>0</v>
      </c>
      <c r="W66" s="23"/>
      <c r="X66" s="23"/>
      <c r="Y66" s="23"/>
    </row>
    <row r="67" spans="1:25" ht="14.25" customHeight="1">
      <c r="A67" s="236">
        <v>1</v>
      </c>
      <c r="B67" s="237" t="s">
        <v>3006</v>
      </c>
      <c r="C67" s="22">
        <v>67</v>
      </c>
      <c r="D67" s="22">
        <v>7</v>
      </c>
      <c r="E67" s="241">
        <v>43669</v>
      </c>
      <c r="F67" s="121" t="str">
        <f>HYPERLINK("https://www.tribunnews.com/nasional/2019/07/23/jokowi-keluarkan-aturan-pencatatan-perwakinan-bagi-penghayat-kepercayaan ","sumber")</f>
        <v>sumber</v>
      </c>
      <c r="G67" s="223" t="s">
        <v>1</v>
      </c>
      <c r="H67" s="23" t="s">
        <v>2945</v>
      </c>
      <c r="I67" s="22">
        <v>4</v>
      </c>
      <c r="J67" s="22">
        <v>4</v>
      </c>
      <c r="K67" s="123"/>
      <c r="L67" s="22">
        <v>0</v>
      </c>
      <c r="M67" s="22">
        <v>0</v>
      </c>
      <c r="N67" s="22">
        <v>0</v>
      </c>
      <c r="O67" s="22">
        <v>0</v>
      </c>
      <c r="P67" s="22">
        <v>0</v>
      </c>
      <c r="Q67" s="22"/>
      <c r="R67" s="22"/>
      <c r="S67" s="123"/>
      <c r="T67" s="22">
        <v>0</v>
      </c>
      <c r="U67" s="22">
        <v>0</v>
      </c>
      <c r="V67" s="22">
        <v>1</v>
      </c>
      <c r="W67" s="23"/>
      <c r="X67" s="23"/>
      <c r="Y67" s="23"/>
    </row>
    <row r="68" spans="1:25" ht="14.25" customHeight="1">
      <c r="A68" s="236">
        <v>1</v>
      </c>
      <c r="B68" s="237" t="s">
        <v>3007</v>
      </c>
      <c r="C68" s="22">
        <v>68</v>
      </c>
      <c r="D68" s="22">
        <v>8</v>
      </c>
      <c r="E68" s="241">
        <v>43670</v>
      </c>
      <c r="F68" s="121" t="str">
        <f>HYPERLINK("https://jateng.suara.com/read/2019/07/24/152627/desa-inklusi-ramah-difabel-di-sukoharjo-jadi-percontohan-daerah-lain ","sumber")</f>
        <v>sumber</v>
      </c>
      <c r="G68" s="223" t="s">
        <v>1</v>
      </c>
      <c r="H68" s="23" t="s">
        <v>3008</v>
      </c>
      <c r="I68" s="22">
        <v>2</v>
      </c>
      <c r="J68" s="22">
        <v>2</v>
      </c>
      <c r="K68" s="123" t="s">
        <v>3009</v>
      </c>
      <c r="L68" s="22">
        <v>0</v>
      </c>
      <c r="M68" s="22">
        <v>0</v>
      </c>
      <c r="N68" s="22">
        <v>0</v>
      </c>
      <c r="O68" s="22">
        <v>0</v>
      </c>
      <c r="P68" s="22">
        <v>0</v>
      </c>
      <c r="Q68" s="22" t="s">
        <v>87</v>
      </c>
      <c r="R68" s="22" t="s">
        <v>160</v>
      </c>
      <c r="S68" s="123"/>
      <c r="T68" s="22">
        <v>0</v>
      </c>
      <c r="U68" s="22">
        <v>0</v>
      </c>
      <c r="V68" s="22">
        <v>1</v>
      </c>
      <c r="W68" s="23"/>
      <c r="X68" s="23"/>
      <c r="Y68" s="23"/>
    </row>
    <row r="69" spans="1:25" ht="14.25" customHeight="1">
      <c r="A69" s="171">
        <v>2</v>
      </c>
      <c r="B69" s="239" t="s">
        <v>1160</v>
      </c>
      <c r="C69" s="25">
        <v>69</v>
      </c>
      <c r="D69" s="25">
        <v>7</v>
      </c>
      <c r="E69" s="242">
        <v>43674</v>
      </c>
      <c r="F69" s="115" t="str">
        <f>HYPERLINK("https://www.tribunnews.com/regional/2019/07/28/ini-daftar-tkw-asal-cirebon-terjerat-masalah-di-arab-saudi-dua-orang-tak-diketahui-nasibnya ","sumber")</f>
        <v>sumber</v>
      </c>
      <c r="G69" s="228" t="s">
        <v>1</v>
      </c>
      <c r="H69" s="26" t="s">
        <v>3010</v>
      </c>
      <c r="I69" s="26"/>
      <c r="J69" s="26"/>
      <c r="K69" s="124"/>
      <c r="L69" s="26"/>
      <c r="M69" s="26"/>
      <c r="N69" s="26"/>
      <c r="O69" s="26"/>
      <c r="P69" s="26"/>
      <c r="Q69" s="26"/>
      <c r="R69" s="26"/>
      <c r="S69" s="124"/>
      <c r="T69" s="26"/>
      <c r="U69" s="26"/>
      <c r="V69" s="26"/>
      <c r="W69" s="26"/>
      <c r="X69" s="26"/>
      <c r="Y69" s="25"/>
    </row>
    <row r="70" spans="1:25" ht="14.25" customHeight="1">
      <c r="A70" s="148">
        <v>1</v>
      </c>
      <c r="B70" s="55" t="s">
        <v>3011</v>
      </c>
      <c r="C70" s="33">
        <v>70</v>
      </c>
      <c r="D70" s="33">
        <v>1</v>
      </c>
      <c r="E70" s="243">
        <v>43669</v>
      </c>
      <c r="F70" s="130" t="str">
        <f>HYPERLINK("https://news.detik.com/berita/d-4636261/jalan-berliku-penghayat-ikut-dirikan-ri-didiskriminasi-kini-diakui-jokowi ","sumber")</f>
        <v>sumber</v>
      </c>
      <c r="G70" s="231" t="s">
        <v>1</v>
      </c>
      <c r="H70" s="33">
        <v>669</v>
      </c>
      <c r="I70" s="33">
        <v>4</v>
      </c>
      <c r="J70" s="33">
        <v>4</v>
      </c>
      <c r="K70" s="131" t="s">
        <v>3012</v>
      </c>
      <c r="L70" s="33">
        <v>0</v>
      </c>
      <c r="M70" s="33">
        <v>0</v>
      </c>
      <c r="N70" s="33">
        <v>0</v>
      </c>
      <c r="O70" s="33">
        <v>0</v>
      </c>
      <c r="P70" s="33">
        <v>0</v>
      </c>
      <c r="Q70" s="33" t="s">
        <v>29</v>
      </c>
      <c r="R70" s="33" t="s">
        <v>182</v>
      </c>
      <c r="S70" s="131" t="s">
        <v>3013</v>
      </c>
      <c r="T70" s="33">
        <v>4</v>
      </c>
      <c r="U70" s="33">
        <v>0</v>
      </c>
      <c r="V70" s="33">
        <v>1</v>
      </c>
      <c r="W70" s="24"/>
      <c r="X70" s="24"/>
      <c r="Y70" s="33"/>
    </row>
    <row r="71" spans="1:25" ht="14.25" customHeight="1">
      <c r="A71" s="236">
        <v>1</v>
      </c>
      <c r="B71" s="237" t="s">
        <v>3014</v>
      </c>
      <c r="C71" s="22">
        <v>71</v>
      </c>
      <c r="D71" s="22">
        <v>10</v>
      </c>
      <c r="E71" s="241">
        <v>43684</v>
      </c>
      <c r="F71" s="121" t="str">
        <f>HYPERLINK("https://dunia.tempo.co/read/1232942/hak-istimewa-kashmir-dicabut-pakistan-dan-india-terancam-perang ","sumber")</f>
        <v>sumber</v>
      </c>
      <c r="G71" s="223" t="s">
        <v>1</v>
      </c>
      <c r="H71" s="23" t="s">
        <v>3015</v>
      </c>
      <c r="I71" s="22">
        <v>1</v>
      </c>
      <c r="J71" s="22">
        <v>4</v>
      </c>
      <c r="K71" s="123" t="s">
        <v>3016</v>
      </c>
      <c r="L71" s="22">
        <v>0</v>
      </c>
      <c r="M71" s="22">
        <v>-1</v>
      </c>
      <c r="N71" s="22">
        <v>0</v>
      </c>
      <c r="O71" s="22">
        <v>0</v>
      </c>
      <c r="P71" s="22">
        <v>0</v>
      </c>
      <c r="Q71" s="22" t="s">
        <v>29</v>
      </c>
      <c r="R71" s="22" t="s">
        <v>748</v>
      </c>
      <c r="S71" s="123"/>
      <c r="T71" s="22">
        <v>0</v>
      </c>
      <c r="U71" s="22">
        <v>0</v>
      </c>
      <c r="V71" s="22">
        <v>0</v>
      </c>
      <c r="W71" s="23"/>
      <c r="X71" s="23"/>
      <c r="Y71" s="23"/>
    </row>
    <row r="72" spans="1:25" ht="14.25" customHeight="1">
      <c r="A72" s="250">
        <v>2</v>
      </c>
      <c r="B72" s="237" t="s">
        <v>3017</v>
      </c>
      <c r="C72" s="22">
        <v>72</v>
      </c>
      <c r="D72" s="22">
        <v>2</v>
      </c>
      <c r="E72" s="241">
        <v>43688</v>
      </c>
      <c r="F72" s="121" t="str">
        <f>HYPERLINK("https://www.cnnindonesia.com/internasional/20190810202312-120-420162/cerita-warga-irak-ubah-senjata-serbu-jadi-instrumen-musik ","sumber")</f>
        <v>sumber</v>
      </c>
      <c r="G72" s="223" t="s">
        <v>1</v>
      </c>
      <c r="H72" s="23" t="s">
        <v>3018</v>
      </c>
      <c r="I72" s="22">
        <v>2</v>
      </c>
      <c r="J72" s="22">
        <v>4</v>
      </c>
      <c r="K72" s="123" t="s">
        <v>3019</v>
      </c>
      <c r="L72" s="22">
        <v>0</v>
      </c>
      <c r="M72" s="22">
        <v>0</v>
      </c>
      <c r="N72" s="22">
        <v>0</v>
      </c>
      <c r="O72" s="22">
        <v>0</v>
      </c>
      <c r="P72" s="22">
        <v>0</v>
      </c>
      <c r="Q72" s="22">
        <v>2</v>
      </c>
      <c r="R72" s="22">
        <v>1</v>
      </c>
      <c r="S72" s="123"/>
      <c r="T72" s="22">
        <v>0</v>
      </c>
      <c r="U72" s="22">
        <v>0</v>
      </c>
      <c r="V72" s="22">
        <v>0</v>
      </c>
      <c r="W72" s="23"/>
      <c r="X72" s="23"/>
      <c r="Y72" s="23"/>
    </row>
    <row r="73" spans="1:25" ht="14.25" customHeight="1">
      <c r="A73" s="171">
        <v>2</v>
      </c>
      <c r="B73" s="239" t="s">
        <v>3020</v>
      </c>
      <c r="C73" s="25">
        <v>73</v>
      </c>
      <c r="D73" s="25">
        <v>1</v>
      </c>
      <c r="E73" s="242">
        <v>43701</v>
      </c>
      <c r="F73" s="115" t="str">
        <f>HYPERLINK("https://news.detik.com/berita/d-4679587/pekan-konstitusi-2019-dimulai-mahasiswa-bakal-tarung-gagasan ","sumber")</f>
        <v>sumber</v>
      </c>
      <c r="G73" s="228" t="s">
        <v>1</v>
      </c>
      <c r="H73" s="26" t="s">
        <v>3021</v>
      </c>
      <c r="I73" s="26"/>
      <c r="J73" s="26"/>
      <c r="K73" s="124"/>
      <c r="L73" s="26"/>
      <c r="M73" s="26"/>
      <c r="N73" s="26"/>
      <c r="O73" s="26"/>
      <c r="P73" s="26"/>
      <c r="Q73" s="26"/>
      <c r="R73" s="26"/>
      <c r="S73" s="124"/>
      <c r="T73" s="26"/>
      <c r="U73" s="26"/>
      <c r="V73" s="26"/>
      <c r="W73" s="26"/>
      <c r="X73" s="26"/>
      <c r="Y73" s="25"/>
    </row>
    <row r="74" spans="1:25" ht="14.25" customHeight="1">
      <c r="A74" s="171">
        <v>2</v>
      </c>
      <c r="B74" s="239" t="s">
        <v>3022</v>
      </c>
      <c r="C74" s="25">
        <v>74</v>
      </c>
      <c r="D74" s="25">
        <v>10</v>
      </c>
      <c r="E74" s="242">
        <v>43710</v>
      </c>
      <c r="F74" s="115" t="str">
        <f>HYPERLINK("https://nasional.tempo.co/read/1242778/kalla-kunjungi-aceh-dan-padang ","sumber")</f>
        <v>sumber</v>
      </c>
      <c r="G74" s="228" t="s">
        <v>1</v>
      </c>
      <c r="H74" s="26" t="s">
        <v>3023</v>
      </c>
      <c r="I74" s="26"/>
      <c r="J74" s="26"/>
      <c r="K74" s="124"/>
      <c r="L74" s="26"/>
      <c r="M74" s="26"/>
      <c r="N74" s="26"/>
      <c r="O74" s="26"/>
      <c r="P74" s="26"/>
      <c r="Q74" s="26"/>
      <c r="R74" s="26"/>
      <c r="S74" s="124"/>
      <c r="T74" s="26"/>
      <c r="U74" s="26"/>
      <c r="V74" s="26"/>
      <c r="W74" s="26"/>
      <c r="X74" s="26"/>
      <c r="Y74" s="25"/>
    </row>
    <row r="75" spans="1:25" ht="14.25" customHeight="1">
      <c r="A75" s="171">
        <v>2</v>
      </c>
      <c r="B75" s="239" t="s">
        <v>3024</v>
      </c>
      <c r="C75" s="25">
        <v>75</v>
      </c>
      <c r="D75" s="25">
        <v>5</v>
      </c>
      <c r="E75" s="242">
        <v>43711</v>
      </c>
      <c r="F75" s="115" t="str">
        <f>HYPERLINK("https://tirto.id/ironi-unsyiah-dosen-kritik-seleksi-cpns-malah-dipolisikan-dekan-ehnC ","sumber")</f>
        <v>sumber</v>
      </c>
      <c r="G75" s="228" t="s">
        <v>1</v>
      </c>
      <c r="H75" s="26" t="s">
        <v>3025</v>
      </c>
      <c r="I75" s="26"/>
      <c r="J75" s="26"/>
      <c r="K75" s="124"/>
      <c r="L75" s="26"/>
      <c r="M75" s="26"/>
      <c r="N75" s="26"/>
      <c r="O75" s="26"/>
      <c r="P75" s="26"/>
      <c r="Q75" s="26"/>
      <c r="R75" s="26"/>
      <c r="S75" s="124"/>
      <c r="T75" s="26"/>
      <c r="U75" s="26"/>
      <c r="V75" s="26"/>
      <c r="W75" s="26"/>
      <c r="X75" s="26"/>
      <c r="Y75" s="25"/>
    </row>
    <row r="76" spans="1:25" ht="14.25" customHeight="1">
      <c r="A76" s="171">
        <v>2</v>
      </c>
      <c r="B76" s="239" t="s">
        <v>3026</v>
      </c>
      <c r="C76" s="25">
        <v>76</v>
      </c>
      <c r="D76" s="25">
        <v>4</v>
      </c>
      <c r="E76" s="242">
        <v>43466</v>
      </c>
      <c r="F76" s="115" t="str">
        <f>HYPERLINK("https://www.liputan6.com/news/read/3861102/di-pengujung-tahun-asrorun-niam-sabet-youth-achievement-award-2018 ","sumber")</f>
        <v>sumber</v>
      </c>
      <c r="G76" s="228" t="s">
        <v>1</v>
      </c>
      <c r="H76" s="26" t="s">
        <v>2956</v>
      </c>
      <c r="I76" s="26"/>
      <c r="J76" s="26"/>
      <c r="K76" s="124"/>
      <c r="L76" s="26"/>
      <c r="M76" s="26"/>
      <c r="N76" s="26"/>
      <c r="O76" s="26"/>
      <c r="P76" s="26"/>
      <c r="Q76" s="26"/>
      <c r="R76" s="26"/>
      <c r="S76" s="124"/>
      <c r="T76" s="26"/>
      <c r="U76" s="26"/>
      <c r="V76" s="26"/>
      <c r="W76" s="26"/>
      <c r="X76" s="26"/>
      <c r="Y76" s="25"/>
    </row>
    <row r="77" spans="1:25" ht="14.25" customHeight="1">
      <c r="A77" s="171">
        <v>2</v>
      </c>
      <c r="B77" s="239" t="s">
        <v>3027</v>
      </c>
      <c r="C77" s="25">
        <v>77</v>
      </c>
      <c r="D77" s="25">
        <v>3</v>
      </c>
      <c r="E77" s="242">
        <v>43466</v>
      </c>
      <c r="F77" s="115" t="str">
        <f>HYPERLINK("https://news.okezone.com/read/2019/01/01/18/1998596/mobil-tabrak-kerumunan-pesta-tahun-baru-di-harajuku-jepang-8-orang-terluka ","sumber")</f>
        <v>sumber</v>
      </c>
      <c r="G77" s="228" t="s">
        <v>1</v>
      </c>
      <c r="H77" s="26" t="s">
        <v>3028</v>
      </c>
      <c r="I77" s="26"/>
      <c r="J77" s="26"/>
      <c r="K77" s="124"/>
      <c r="L77" s="26"/>
      <c r="M77" s="26"/>
      <c r="N77" s="26"/>
      <c r="O77" s="26"/>
      <c r="P77" s="26"/>
      <c r="Q77" s="26"/>
      <c r="R77" s="26"/>
      <c r="S77" s="124"/>
      <c r="T77" s="26"/>
      <c r="U77" s="26"/>
      <c r="V77" s="26"/>
      <c r="W77" s="26"/>
      <c r="X77" s="26"/>
      <c r="Y77" s="25"/>
    </row>
    <row r="78" spans="1:25" ht="14.25" customHeight="1">
      <c r="A78" s="148">
        <v>1</v>
      </c>
      <c r="B78" s="55" t="s">
        <v>3029</v>
      </c>
      <c r="C78" s="33">
        <v>78</v>
      </c>
      <c r="D78" s="33">
        <v>3</v>
      </c>
      <c r="E78" s="251" t="s">
        <v>2468</v>
      </c>
      <c r="F78" s="130" t="str">
        <f>HYPERLINK("https://news.okezone.com/read/2019/01/17/605/2005989/solusi-jokowi-ma-ruf-dan-prabowo-sandi-soal-kaum-disabilitas-kerap-didiskriminasi ","sumber")</f>
        <v>sumber</v>
      </c>
      <c r="G78" s="231" t="s">
        <v>1</v>
      </c>
      <c r="H78" s="33">
        <v>396</v>
      </c>
      <c r="I78" s="33">
        <v>4</v>
      </c>
      <c r="J78" s="33">
        <v>2</v>
      </c>
      <c r="K78" s="131" t="s">
        <v>3030</v>
      </c>
      <c r="L78" s="33">
        <v>0</v>
      </c>
      <c r="M78" s="33">
        <v>0</v>
      </c>
      <c r="N78" s="33">
        <v>0</v>
      </c>
      <c r="O78" s="33">
        <v>0</v>
      </c>
      <c r="P78" s="33">
        <v>0</v>
      </c>
      <c r="Q78" s="33" t="s">
        <v>21</v>
      </c>
      <c r="R78" s="33" t="s">
        <v>360</v>
      </c>
      <c r="S78" s="131"/>
      <c r="T78" s="33">
        <v>0</v>
      </c>
      <c r="U78" s="33">
        <v>0</v>
      </c>
      <c r="V78" s="33">
        <v>0</v>
      </c>
      <c r="W78" s="24"/>
      <c r="X78" s="24"/>
      <c r="Y78" s="33"/>
    </row>
    <row r="79" spans="1:25" ht="14.25" customHeight="1">
      <c r="A79" s="171">
        <v>2</v>
      </c>
      <c r="B79" s="239" t="s">
        <v>3031</v>
      </c>
      <c r="C79" s="25">
        <v>79</v>
      </c>
      <c r="D79" s="25">
        <v>5</v>
      </c>
      <c r="E79" s="242">
        <v>43470</v>
      </c>
      <c r="F79" s="115" t="str">
        <f>HYPERLINK("https://tirto.id/jadwal-sholat-isya-kota-makassar-desember-2018-hari-ini-ddjn ","sumber")</f>
        <v>sumber</v>
      </c>
      <c r="G79" s="228" t="s">
        <v>1</v>
      </c>
      <c r="H79" s="26" t="s">
        <v>3032</v>
      </c>
      <c r="I79" s="26"/>
      <c r="J79" s="26"/>
      <c r="K79" s="124"/>
      <c r="L79" s="26"/>
      <c r="M79" s="26"/>
      <c r="N79" s="26"/>
      <c r="O79" s="26"/>
      <c r="P79" s="26"/>
      <c r="Q79" s="26"/>
      <c r="R79" s="26"/>
      <c r="S79" s="124"/>
      <c r="T79" s="26"/>
      <c r="U79" s="26"/>
      <c r="V79" s="26"/>
      <c r="W79" s="26"/>
      <c r="X79" s="26"/>
      <c r="Y79" s="25"/>
    </row>
    <row r="80" spans="1:25" ht="14.25" customHeight="1">
      <c r="A80" s="148">
        <v>1</v>
      </c>
      <c r="B80" s="55" t="s">
        <v>3033</v>
      </c>
      <c r="C80" s="33">
        <v>80</v>
      </c>
      <c r="D80" s="33">
        <v>6</v>
      </c>
      <c r="E80" s="243">
        <v>43479</v>
      </c>
      <c r="F80" s="130" t="str">
        <f>HYPERLINK("https://nasional.kompas.com/read/2019/01/14/14130611/komentar-timses-jokowi-soal-prabowo-akan-mundur-jika-ada-kecurangan-pemilu ","sumber")</f>
        <v>sumber</v>
      </c>
      <c r="G80" s="231" t="s">
        <v>1</v>
      </c>
      <c r="H80" s="33">
        <v>394</v>
      </c>
      <c r="I80" s="33">
        <v>2</v>
      </c>
      <c r="J80" s="33">
        <v>2</v>
      </c>
      <c r="K80" s="131" t="s">
        <v>3034</v>
      </c>
      <c r="L80" s="33">
        <v>0</v>
      </c>
      <c r="M80" s="33">
        <v>0</v>
      </c>
      <c r="N80" s="33">
        <v>0</v>
      </c>
      <c r="O80" s="33">
        <v>0</v>
      </c>
      <c r="P80" s="33">
        <v>0</v>
      </c>
      <c r="Q80" s="33" t="s">
        <v>29</v>
      </c>
      <c r="R80" s="33" t="s">
        <v>748</v>
      </c>
      <c r="S80" s="131"/>
      <c r="T80" s="33">
        <v>0</v>
      </c>
      <c r="U80" s="33">
        <v>0</v>
      </c>
      <c r="V80" s="33">
        <v>0</v>
      </c>
      <c r="W80" s="24"/>
      <c r="X80" s="24"/>
      <c r="Y80" s="33"/>
    </row>
    <row r="81" spans="1:25" ht="14.25" customHeight="1">
      <c r="A81" s="148">
        <v>1</v>
      </c>
      <c r="B81" s="55" t="s">
        <v>3035</v>
      </c>
      <c r="C81" s="33">
        <v>81</v>
      </c>
      <c r="D81" s="33">
        <v>3</v>
      </c>
      <c r="E81" s="243">
        <v>43481</v>
      </c>
      <c r="F81" s="130" t="str">
        <f>HYPERLINK("https://news.detik.com/berita-jawa-timur/d-4386687/karena-sering-ngesot-lutut-dinda-bolak-balik-terluka ","sumber")</f>
        <v>sumber</v>
      </c>
      <c r="G81" s="231" t="s">
        <v>1</v>
      </c>
      <c r="H81" s="33">
        <v>197</v>
      </c>
      <c r="I81" s="33">
        <v>2</v>
      </c>
      <c r="J81" s="33">
        <v>2</v>
      </c>
      <c r="K81" s="131" t="s">
        <v>3036</v>
      </c>
      <c r="L81" s="33">
        <v>0</v>
      </c>
      <c r="M81" s="33">
        <v>0</v>
      </c>
      <c r="N81" s="33">
        <v>0</v>
      </c>
      <c r="O81" s="33">
        <v>0</v>
      </c>
      <c r="P81" s="33">
        <v>0</v>
      </c>
      <c r="Q81" s="33" t="s">
        <v>87</v>
      </c>
      <c r="R81" s="33" t="s">
        <v>29</v>
      </c>
      <c r="S81" s="131"/>
      <c r="T81" s="33">
        <v>0</v>
      </c>
      <c r="U81" s="33">
        <v>0</v>
      </c>
      <c r="V81" s="33">
        <v>0</v>
      </c>
      <c r="W81" s="24"/>
      <c r="X81" s="24"/>
      <c r="Y81" s="33"/>
    </row>
    <row r="82" spans="1:25" ht="14.25" customHeight="1">
      <c r="A82" s="171">
        <v>2</v>
      </c>
      <c r="B82" s="239" t="s">
        <v>3037</v>
      </c>
      <c r="C82" s="25">
        <v>82</v>
      </c>
      <c r="D82" s="25">
        <v>5</v>
      </c>
      <c r="E82" s="242">
        <v>43479</v>
      </c>
      <c r="F82" s="115" t="str">
        <f>HYPERLINK("https://tirto.id/bpn-prabowo-bukan-mundur-tapi-boikot-pilpres-bila-ada-kecurangan-deqH ","sumber")</f>
        <v>sumber</v>
      </c>
      <c r="G82" s="228" t="s">
        <v>1</v>
      </c>
      <c r="H82" s="26" t="s">
        <v>3038</v>
      </c>
      <c r="I82" s="26"/>
      <c r="J82" s="26"/>
      <c r="K82" s="116"/>
      <c r="L82" s="26"/>
      <c r="M82" s="26"/>
      <c r="N82" s="26"/>
      <c r="O82" s="26"/>
      <c r="P82" s="26"/>
      <c r="Q82" s="26"/>
      <c r="R82" s="26"/>
      <c r="S82" s="124"/>
      <c r="T82" s="26"/>
      <c r="U82" s="26"/>
      <c r="V82" s="26"/>
      <c r="W82" s="26"/>
      <c r="X82" s="26"/>
      <c r="Y82" s="25"/>
    </row>
    <row r="83" spans="1:25" ht="14.25" customHeight="1">
      <c r="A83" s="148">
        <v>1</v>
      </c>
      <c r="B83" s="55" t="s">
        <v>3039</v>
      </c>
      <c r="C83" s="33">
        <v>83</v>
      </c>
      <c r="D83" s="33">
        <v>1</v>
      </c>
      <c r="E83" s="243">
        <v>43495</v>
      </c>
      <c r="F83" s="130" t="str">
        <f>HYPERLINK("https://news.detik.com/berita-jawa-tengah/d-4407393/sering-mengeluh-rendah-diri-petani-ini-ditemukan-gantung-diri ","sumber")</f>
        <v>sumber</v>
      </c>
      <c r="G83" s="231" t="s">
        <v>1</v>
      </c>
      <c r="H83" s="33">
        <v>210</v>
      </c>
      <c r="I83" s="33">
        <v>1</v>
      </c>
      <c r="J83" s="33">
        <v>2</v>
      </c>
      <c r="K83" s="131" t="s">
        <v>3040</v>
      </c>
      <c r="L83" s="33">
        <v>0</v>
      </c>
      <c r="M83" s="33">
        <v>-1</v>
      </c>
      <c r="N83" s="33">
        <v>0</v>
      </c>
      <c r="O83" s="33">
        <v>0</v>
      </c>
      <c r="P83" s="33">
        <v>0</v>
      </c>
      <c r="Q83" s="33">
        <v>0</v>
      </c>
      <c r="R83" s="33">
        <v>0</v>
      </c>
      <c r="S83" s="131"/>
      <c r="T83" s="33">
        <v>0</v>
      </c>
      <c r="U83" s="33">
        <v>0</v>
      </c>
      <c r="V83" s="33">
        <v>0</v>
      </c>
      <c r="W83" s="24"/>
      <c r="X83" s="24"/>
      <c r="Y83" s="33"/>
    </row>
    <row r="84" spans="1:25" ht="14.25" customHeight="1">
      <c r="A84" s="148">
        <v>1</v>
      </c>
      <c r="B84" s="55" t="s">
        <v>1186</v>
      </c>
      <c r="C84" s="33">
        <v>84</v>
      </c>
      <c r="D84" s="33">
        <v>7</v>
      </c>
      <c r="E84" s="243">
        <v>43468</v>
      </c>
      <c r="F84" s="130" t="str">
        <f>HYPERLINK("http://www.tribunnews.com/metropolitan/2019/01/03/pria-diduga-mengidap-gangguan-jiwa-aniaya-bayi-2-tahun-hingga-tewas-di-pasar-rebo","sumber")</f>
        <v>sumber</v>
      </c>
      <c r="G84" s="231" t="s">
        <v>1</v>
      </c>
      <c r="H84" s="33">
        <v>307</v>
      </c>
      <c r="I84" s="33">
        <v>1</v>
      </c>
      <c r="J84" s="33">
        <v>2</v>
      </c>
      <c r="K84" s="131" t="s">
        <v>3041</v>
      </c>
      <c r="L84" s="33">
        <v>0</v>
      </c>
      <c r="M84" s="147">
        <v>0</v>
      </c>
      <c r="N84" s="33">
        <v>-1</v>
      </c>
      <c r="O84" s="33">
        <v>0</v>
      </c>
      <c r="P84" s="33">
        <v>0</v>
      </c>
      <c r="Q84" s="33">
        <v>0</v>
      </c>
      <c r="R84" s="33">
        <v>0</v>
      </c>
      <c r="S84" s="131"/>
      <c r="T84" s="33">
        <v>0</v>
      </c>
      <c r="U84" s="33">
        <v>0</v>
      </c>
      <c r="V84" s="33">
        <v>0</v>
      </c>
      <c r="W84" s="24"/>
      <c r="X84" s="24"/>
      <c r="Y84" s="33"/>
    </row>
    <row r="85" spans="1:25" ht="14.4">
      <c r="A85" s="148">
        <v>1</v>
      </c>
      <c r="B85" s="55" t="s">
        <v>2094</v>
      </c>
      <c r="C85" s="33">
        <v>85</v>
      </c>
      <c r="D85" s="33">
        <v>6</v>
      </c>
      <c r="E85" s="243">
        <v>43505</v>
      </c>
      <c r="F85" s="130" t="str">
        <f>HYPERLINK("https://megapolitan.kompas.com/read/2019/02/09/15080101/pemprov-dki-wajibkan-pengembang-sertakan-desain-fasilitas-khusus ","sumber")</f>
        <v>sumber</v>
      </c>
      <c r="G85" s="231" t="s">
        <v>1</v>
      </c>
      <c r="H85" s="33">
        <v>320</v>
      </c>
      <c r="I85" s="33">
        <v>4</v>
      </c>
      <c r="J85" s="33">
        <v>2</v>
      </c>
      <c r="K85" s="131" t="s">
        <v>3042</v>
      </c>
      <c r="L85" s="33">
        <v>0</v>
      </c>
      <c r="M85" s="33">
        <v>0</v>
      </c>
      <c r="N85" s="33">
        <v>0</v>
      </c>
      <c r="O85" s="33">
        <v>0</v>
      </c>
      <c r="P85" s="33">
        <v>0</v>
      </c>
      <c r="Q85" s="33">
        <v>0</v>
      </c>
      <c r="R85" s="33">
        <v>1</v>
      </c>
      <c r="S85" s="131"/>
      <c r="T85" s="33">
        <v>0</v>
      </c>
      <c r="U85" s="33">
        <v>0</v>
      </c>
      <c r="V85" s="33">
        <v>0</v>
      </c>
      <c r="W85" s="24"/>
      <c r="X85" s="24"/>
      <c r="Y85" s="33"/>
    </row>
    <row r="86" spans="1:25" ht="14.25" customHeight="1">
      <c r="A86" s="171">
        <v>2</v>
      </c>
      <c r="B86" s="239" t="s">
        <v>3043</v>
      </c>
      <c r="C86" s="25">
        <v>86</v>
      </c>
      <c r="D86" s="25">
        <v>3</v>
      </c>
      <c r="E86" s="242">
        <v>43498</v>
      </c>
      <c r="F86" s="115" t="str">
        <f>HYPERLINK("https://news.okezone.com/read/2019/02/02/605/2012943/jokowi-dapat-panggilan-cak-saat-kampanye-di-jawa-timur ","sumber")</f>
        <v>sumber</v>
      </c>
      <c r="G86" s="228" t="s">
        <v>1</v>
      </c>
      <c r="H86" s="26" t="s">
        <v>3044</v>
      </c>
      <c r="I86" s="26"/>
      <c r="J86" s="26"/>
      <c r="K86" s="124"/>
      <c r="L86" s="26"/>
      <c r="M86" s="26"/>
      <c r="N86" s="26"/>
      <c r="O86" s="26"/>
      <c r="P86" s="26"/>
      <c r="Q86" s="26"/>
      <c r="R86" s="26"/>
      <c r="S86" s="124"/>
      <c r="T86" s="26"/>
      <c r="U86" s="26"/>
      <c r="V86" s="26"/>
      <c r="W86" s="26"/>
      <c r="X86" s="26"/>
      <c r="Y86" s="25"/>
    </row>
    <row r="87" spans="1:25" ht="14.25" customHeight="1">
      <c r="A87" s="171">
        <v>2</v>
      </c>
      <c r="B87" s="239" t="s">
        <v>3045</v>
      </c>
      <c r="C87" s="25">
        <v>87</v>
      </c>
      <c r="D87" s="25">
        <v>5</v>
      </c>
      <c r="E87" s="242">
        <v>43508</v>
      </c>
      <c r="F87" s="115" t="str">
        <f>HYPERLINK("https://tirto.id/sehat-dan-bahagia-dengan-mencintai-kucing-dgGK ","sumber")</f>
        <v>sumber</v>
      </c>
      <c r="G87" s="228" t="s">
        <v>1</v>
      </c>
      <c r="H87" s="26" t="s">
        <v>3046</v>
      </c>
      <c r="I87" s="26"/>
      <c r="J87" s="26"/>
      <c r="K87" s="116"/>
      <c r="L87" s="26"/>
      <c r="M87" s="26"/>
      <c r="N87" s="26"/>
      <c r="O87" s="26"/>
      <c r="P87" s="26"/>
      <c r="Q87" s="26"/>
      <c r="R87" s="26"/>
      <c r="S87" s="124"/>
      <c r="T87" s="26"/>
      <c r="U87" s="26"/>
      <c r="V87" s="26"/>
      <c r="W87" s="26"/>
      <c r="X87" s="26"/>
      <c r="Y87" s="25"/>
    </row>
    <row r="88" spans="1:25" ht="14.25" customHeight="1">
      <c r="A88" s="171">
        <v>2</v>
      </c>
      <c r="B88" s="239" t="s">
        <v>3047</v>
      </c>
      <c r="C88" s="25">
        <v>88</v>
      </c>
      <c r="D88" s="25">
        <v>3</v>
      </c>
      <c r="E88" s="242">
        <v>43509</v>
      </c>
      <c r="F88" s="115" t="str">
        <f>HYPERLINK("https://bola.okezone.com/read/2019/02/13/49/2017557/laga-persib-vs-arema-di-kratingdaeng-piala-indonesia-alami-perubahan ","sumber")</f>
        <v>sumber</v>
      </c>
      <c r="G88" s="228" t="s">
        <v>1</v>
      </c>
      <c r="H88" s="26" t="s">
        <v>3048</v>
      </c>
      <c r="I88" s="26"/>
      <c r="J88" s="26"/>
      <c r="K88" s="116"/>
      <c r="L88" s="26"/>
      <c r="M88" s="26"/>
      <c r="N88" s="26"/>
      <c r="O88" s="26"/>
      <c r="P88" s="26"/>
      <c r="Q88" s="26"/>
      <c r="R88" s="26"/>
      <c r="S88" s="124"/>
      <c r="T88" s="26"/>
      <c r="U88" s="26"/>
      <c r="V88" s="26"/>
      <c r="W88" s="26"/>
      <c r="X88" s="26"/>
      <c r="Y88" s="25"/>
    </row>
    <row r="89" spans="1:25" ht="14.25" customHeight="1">
      <c r="A89" s="148">
        <v>1</v>
      </c>
      <c r="B89" s="55" t="s">
        <v>3049</v>
      </c>
      <c r="C89" s="33">
        <v>89</v>
      </c>
      <c r="D89" s="33">
        <v>5</v>
      </c>
      <c r="E89" s="243">
        <v>43499</v>
      </c>
      <c r="F89" s="130" t="str">
        <f>HYPERLINK("https://tirto.id/ppua-caleg-disabilitas-perlu-menyuarakan-hak-yang-belum-terwujud-dfPb ","sumber")</f>
        <v>sumber</v>
      </c>
      <c r="G89" s="231" t="s">
        <v>1</v>
      </c>
      <c r="H89" s="33">
        <v>254</v>
      </c>
      <c r="I89" s="33">
        <v>3</v>
      </c>
      <c r="J89" s="33">
        <v>2</v>
      </c>
      <c r="K89" s="131" t="s">
        <v>3050</v>
      </c>
      <c r="L89" s="33">
        <v>0</v>
      </c>
      <c r="M89" s="33">
        <v>0</v>
      </c>
      <c r="N89" s="33">
        <v>0</v>
      </c>
      <c r="O89" s="33">
        <v>0</v>
      </c>
      <c r="P89" s="33">
        <v>0</v>
      </c>
      <c r="Q89" s="33">
        <v>1</v>
      </c>
      <c r="R89" s="33">
        <v>1</v>
      </c>
      <c r="S89" s="131"/>
      <c r="T89" s="33">
        <v>0</v>
      </c>
      <c r="U89" s="33">
        <v>0</v>
      </c>
      <c r="V89" s="33">
        <v>0</v>
      </c>
      <c r="W89" s="24"/>
      <c r="X89" s="24"/>
      <c r="Y89" s="33"/>
    </row>
    <row r="90" spans="1:25" ht="14.25" customHeight="1">
      <c r="A90" s="171">
        <v>2</v>
      </c>
      <c r="B90" s="239" t="s">
        <v>3051</v>
      </c>
      <c r="C90" s="25">
        <v>90</v>
      </c>
      <c r="D90" s="25">
        <v>3</v>
      </c>
      <c r="E90" s="242">
        <v>43514</v>
      </c>
      <c r="F90" s="115" t="str">
        <f>HYPERLINK("https://bola.okezone.com/read/2019/02/18/49/2019498/hamka-hamzah-ajak-suporter-persib-dan-arema-penuhi-stadion-si-jalak-harupat ","sumber")</f>
        <v>sumber</v>
      </c>
      <c r="G90" s="228" t="s">
        <v>1</v>
      </c>
      <c r="H90" s="26" t="s">
        <v>3052</v>
      </c>
      <c r="I90" s="26"/>
      <c r="J90" s="26"/>
      <c r="K90" s="124"/>
      <c r="L90" s="26"/>
      <c r="M90" s="26"/>
      <c r="N90" s="26"/>
      <c r="O90" s="26"/>
      <c r="P90" s="26"/>
      <c r="Q90" s="26"/>
      <c r="R90" s="26"/>
      <c r="S90" s="124"/>
      <c r="T90" s="26"/>
      <c r="U90" s="26"/>
      <c r="V90" s="26"/>
      <c r="W90" s="26"/>
      <c r="X90" s="26"/>
      <c r="Y90" s="25"/>
    </row>
    <row r="91" spans="1:25" ht="14.25" customHeight="1">
      <c r="A91" s="171">
        <v>2</v>
      </c>
      <c r="B91" s="239" t="s">
        <v>3053</v>
      </c>
      <c r="C91" s="25">
        <v>91</v>
      </c>
      <c r="D91" s="25">
        <v>8</v>
      </c>
      <c r="E91" s="242">
        <v>43516</v>
      </c>
      <c r="F91" s="115" t="str">
        <f>HYPERLINK("https://www.suara.com/news/2019/02/20/144637/bela-slamet-maarif-zulkifli-hasan-kalau-ada-ulama-disakiti-kami-sakit ","sumber")</f>
        <v>sumber</v>
      </c>
      <c r="G91" s="228" t="s">
        <v>1</v>
      </c>
      <c r="H91" s="26" t="s">
        <v>3054</v>
      </c>
      <c r="I91" s="26"/>
      <c r="J91" s="26"/>
      <c r="K91" s="116"/>
      <c r="L91" s="26"/>
      <c r="M91" s="26"/>
      <c r="N91" s="26"/>
      <c r="O91" s="26"/>
      <c r="P91" s="26"/>
      <c r="Q91" s="26"/>
      <c r="R91" s="26"/>
      <c r="S91" s="124"/>
      <c r="T91" s="26"/>
      <c r="U91" s="26"/>
      <c r="V91" s="26"/>
      <c r="W91" s="26"/>
      <c r="X91" s="26"/>
      <c r="Y91" s="25"/>
    </row>
    <row r="92" spans="1:25" ht="14.25" customHeight="1">
      <c r="A92" s="171">
        <v>2</v>
      </c>
      <c r="B92" s="239" t="s">
        <v>3055</v>
      </c>
      <c r="C92" s="25">
        <v>92</v>
      </c>
      <c r="D92" s="25">
        <v>3</v>
      </c>
      <c r="E92" s="242">
        <v>43518</v>
      </c>
      <c r="F92" s="115" t="str">
        <f>HYPERLINK("https://index.okezone.com/read/2019/02/22/612/2021575/menjawab-kegalauan-kaum-millenials ","sumber")</f>
        <v>sumber</v>
      </c>
      <c r="G92" s="228" t="s">
        <v>1</v>
      </c>
      <c r="H92" s="26" t="s">
        <v>3056</v>
      </c>
      <c r="I92" s="26"/>
      <c r="J92" s="26"/>
      <c r="K92" s="124"/>
      <c r="L92" s="26"/>
      <c r="M92" s="26"/>
      <c r="N92" s="26"/>
      <c r="O92" s="26"/>
      <c r="P92" s="26"/>
      <c r="Q92" s="26"/>
      <c r="R92" s="26"/>
      <c r="S92" s="124"/>
      <c r="T92" s="26"/>
      <c r="U92" s="26"/>
      <c r="V92" s="26"/>
      <c r="W92" s="26"/>
      <c r="X92" s="26"/>
      <c r="Y92" s="25"/>
    </row>
    <row r="93" spans="1:25" ht="14.25" customHeight="1">
      <c r="A93" s="211">
        <v>1</v>
      </c>
      <c r="B93" s="252" t="s">
        <v>2114</v>
      </c>
      <c r="C93" s="33">
        <v>93</v>
      </c>
      <c r="D93" s="33">
        <v>10</v>
      </c>
      <c r="E93" s="243">
        <v>43505</v>
      </c>
      <c r="F93" s="130" t="str">
        <f>HYPERLINK("https://difabel.tempo.co/read/1173806/riset-penyandang-disabilitas-pria-lebih-rentan-bunuh-diri ","sumber")</f>
        <v>sumber</v>
      </c>
      <c r="G93" s="231" t="s">
        <v>1</v>
      </c>
      <c r="H93" s="33">
        <v>325</v>
      </c>
      <c r="I93" s="33">
        <v>5</v>
      </c>
      <c r="J93" s="33">
        <v>2</v>
      </c>
      <c r="K93" s="131" t="s">
        <v>3057</v>
      </c>
      <c r="L93" s="33">
        <v>0</v>
      </c>
      <c r="M93" s="33">
        <v>0</v>
      </c>
      <c r="N93" s="33">
        <v>0</v>
      </c>
      <c r="O93" s="33">
        <v>0</v>
      </c>
      <c r="P93" s="33">
        <v>0</v>
      </c>
      <c r="Q93" s="33">
        <v>1</v>
      </c>
      <c r="R93" s="33">
        <v>1</v>
      </c>
      <c r="S93" s="131"/>
      <c r="T93" s="33">
        <v>0</v>
      </c>
      <c r="U93" s="33">
        <v>0</v>
      </c>
      <c r="V93" s="33">
        <v>0</v>
      </c>
      <c r="W93" s="24"/>
      <c r="X93" s="24"/>
      <c r="Y93" s="33"/>
    </row>
    <row r="94" spans="1:25" ht="14.25" customHeight="1">
      <c r="A94" s="236">
        <v>1</v>
      </c>
      <c r="B94" s="237" t="s">
        <v>3058</v>
      </c>
      <c r="C94" s="22">
        <v>94</v>
      </c>
      <c r="D94" s="22">
        <v>2</v>
      </c>
      <c r="E94" s="241">
        <v>43522</v>
      </c>
      <c r="F94" s="121" t="str">
        <f>HYPERLINK("https://www.cnnindonesia.com/nasional/20190226140926-12-372720/pemuda-di-oku-sumsel-diduga-bunuh-ibu-kandung ","sumber")</f>
        <v>sumber</v>
      </c>
      <c r="G94" s="223" t="s">
        <v>1</v>
      </c>
      <c r="H94" s="23" t="s">
        <v>3059</v>
      </c>
      <c r="I94" s="22">
        <v>1</v>
      </c>
      <c r="J94" s="253">
        <v>43832</v>
      </c>
      <c r="K94" s="123" t="s">
        <v>3060</v>
      </c>
      <c r="L94" s="22">
        <v>0</v>
      </c>
      <c r="M94" s="22">
        <v>-1</v>
      </c>
      <c r="N94" s="22">
        <v>-1</v>
      </c>
      <c r="O94" s="22">
        <v>0</v>
      </c>
      <c r="P94" s="22">
        <v>0</v>
      </c>
      <c r="Q94" s="22">
        <v>0</v>
      </c>
      <c r="R94" s="22">
        <v>0</v>
      </c>
      <c r="S94" s="123"/>
      <c r="T94" s="22">
        <v>0</v>
      </c>
      <c r="U94" s="22">
        <v>0</v>
      </c>
      <c r="V94" s="22">
        <v>0</v>
      </c>
      <c r="W94" s="23"/>
      <c r="X94" s="23"/>
      <c r="Y94" s="23"/>
    </row>
    <row r="95" spans="1:25" ht="14.25" customHeight="1">
      <c r="A95" s="236">
        <v>1</v>
      </c>
      <c r="B95" s="237" t="s">
        <v>1224</v>
      </c>
      <c r="C95" s="22">
        <v>95</v>
      </c>
      <c r="D95" s="22">
        <v>10</v>
      </c>
      <c r="E95" s="241">
        <v>43529</v>
      </c>
      <c r="F95" s="121" t="str">
        <f>HYPERLINK("https://sport.tempo.co/read/1182101/kisah-robert-kubica-pembalap-penyandang-disabilitas-di-formula-1 ","sumber")</f>
        <v>sumber</v>
      </c>
      <c r="G95" s="223" t="s">
        <v>1</v>
      </c>
      <c r="H95" s="23" t="s">
        <v>2931</v>
      </c>
      <c r="I95" s="22">
        <v>2</v>
      </c>
      <c r="J95" s="22">
        <v>2</v>
      </c>
      <c r="K95" s="123" t="s">
        <v>3061</v>
      </c>
      <c r="L95" s="22">
        <v>0</v>
      </c>
      <c r="M95" s="22">
        <v>0</v>
      </c>
      <c r="N95" s="22">
        <v>0</v>
      </c>
      <c r="O95" s="22">
        <v>0</v>
      </c>
      <c r="P95" s="22">
        <v>0</v>
      </c>
      <c r="Q95" s="22" t="s">
        <v>48</v>
      </c>
      <c r="R95" s="22" t="s">
        <v>360</v>
      </c>
      <c r="S95" s="123" t="s">
        <v>3062</v>
      </c>
      <c r="T95" s="22">
        <v>1</v>
      </c>
      <c r="U95" s="22">
        <v>0</v>
      </c>
      <c r="V95" s="22">
        <v>0</v>
      </c>
      <c r="W95" s="23"/>
      <c r="X95" s="23"/>
      <c r="Y95" s="23"/>
    </row>
    <row r="96" spans="1:25" ht="14.25" customHeight="1">
      <c r="A96" s="236">
        <v>1</v>
      </c>
      <c r="B96" s="237" t="s">
        <v>3063</v>
      </c>
      <c r="C96" s="22">
        <v>96</v>
      </c>
      <c r="D96" s="22">
        <v>10</v>
      </c>
      <c r="E96" s="241">
        <v>43537</v>
      </c>
      <c r="F96" s="121" t="str">
        <f>HYPERLINK("https://metro.tempo.co/read/1184794/penyandang-disabilitas-ingin-menikmati-mrt-simak-tata-caranya ","sumber")</f>
        <v>sumber</v>
      </c>
      <c r="G96" s="223" t="s">
        <v>1</v>
      </c>
      <c r="H96" s="23" t="s">
        <v>2873</v>
      </c>
      <c r="I96" s="22">
        <v>2</v>
      </c>
      <c r="J96" s="22">
        <v>2</v>
      </c>
      <c r="K96" s="254" t="s">
        <v>3064</v>
      </c>
      <c r="L96" s="22">
        <v>0</v>
      </c>
      <c r="M96" s="22">
        <v>0</v>
      </c>
      <c r="N96" s="22">
        <v>0</v>
      </c>
      <c r="O96" s="22">
        <v>0</v>
      </c>
      <c r="P96" s="22">
        <v>0</v>
      </c>
      <c r="Q96" s="22" t="s">
        <v>21</v>
      </c>
      <c r="R96" s="22" t="s">
        <v>21</v>
      </c>
      <c r="S96" s="134"/>
      <c r="T96" s="22">
        <v>0</v>
      </c>
      <c r="U96" s="22">
        <v>0</v>
      </c>
      <c r="V96" s="22">
        <v>0</v>
      </c>
      <c r="W96" s="23"/>
      <c r="X96" s="23"/>
      <c r="Y96" s="23"/>
    </row>
    <row r="97" spans="1:25" ht="14.25" customHeight="1">
      <c r="A97" s="171">
        <v>2</v>
      </c>
      <c r="B97" s="239" t="s">
        <v>3065</v>
      </c>
      <c r="C97" s="25">
        <v>97</v>
      </c>
      <c r="D97" s="25">
        <v>2</v>
      </c>
      <c r="E97" s="242">
        <v>43542</v>
      </c>
      <c r="F97" s="115" t="str">
        <f>HYPERLINK("https://www.cnnindonesia.com/internasional/20190318121147-113-378286/usai-teror-kabinet-selandia-baru-sepakat-perketat-uu-senjata ","sumber")</f>
        <v>sumber</v>
      </c>
      <c r="G97" s="228" t="s">
        <v>1</v>
      </c>
      <c r="H97" s="26" t="s">
        <v>2953</v>
      </c>
      <c r="I97" s="26"/>
      <c r="J97" s="25">
        <v>2</v>
      </c>
      <c r="K97" s="124"/>
      <c r="L97" s="26"/>
      <c r="M97" s="26"/>
      <c r="N97" s="26"/>
      <c r="O97" s="26"/>
      <c r="P97" s="26"/>
      <c r="Q97" s="26"/>
      <c r="R97" s="26"/>
      <c r="S97" s="124"/>
      <c r="T97" s="26"/>
      <c r="U97" s="26"/>
      <c r="V97" s="26"/>
      <c r="W97" s="26"/>
      <c r="X97" s="26"/>
      <c r="Y97" s="25"/>
    </row>
    <row r="98" spans="1:25" ht="14.25" customHeight="1">
      <c r="A98" s="171">
        <v>2</v>
      </c>
      <c r="B98" s="239" t="s">
        <v>3066</v>
      </c>
      <c r="C98" s="25">
        <v>98</v>
      </c>
      <c r="D98" s="25">
        <v>1</v>
      </c>
      <c r="E98" s="242">
        <v>43542</v>
      </c>
      <c r="F98" s="115" t="str">
        <f>HYPERLINK("https://news.detik.com/bbc-world/d-4472422/siapa-saja-para-korban-serangan-teror-di-2-masjid-new-zealand ","sumber")</f>
        <v>sumber</v>
      </c>
      <c r="G98" s="228" t="s">
        <v>1</v>
      </c>
      <c r="H98" s="26" t="s">
        <v>3067</v>
      </c>
      <c r="I98" s="26"/>
      <c r="J98" s="25">
        <v>2</v>
      </c>
      <c r="K98" s="124"/>
      <c r="L98" s="26"/>
      <c r="M98" s="26"/>
      <c r="N98" s="26"/>
      <c r="O98" s="26"/>
      <c r="P98" s="26"/>
      <c r="Q98" s="26"/>
      <c r="R98" s="26"/>
      <c r="S98" s="124"/>
      <c r="T98" s="26"/>
      <c r="U98" s="26"/>
      <c r="V98" s="26"/>
      <c r="W98" s="26"/>
      <c r="X98" s="26"/>
      <c r="Y98" s="25"/>
    </row>
    <row r="99" spans="1:25" ht="14.25" customHeight="1">
      <c r="A99" s="171">
        <v>2</v>
      </c>
      <c r="B99" s="239" t="s">
        <v>3068</v>
      </c>
      <c r="C99" s="25">
        <v>99</v>
      </c>
      <c r="D99" s="25">
        <v>9</v>
      </c>
      <c r="E99" s="242">
        <v>43542</v>
      </c>
      <c r="F99" s="115" t="str">
        <f>HYPERLINK("https://nasional.republika.co.id/berita/nasional/politik/pokc3q384/bawaslu-depok-temukan-1324-surat-suara-rusak ","sumber")</f>
        <v>sumber</v>
      </c>
      <c r="G99" s="228" t="s">
        <v>1</v>
      </c>
      <c r="H99" s="26" t="s">
        <v>3069</v>
      </c>
      <c r="I99" s="26"/>
      <c r="J99" s="25">
        <v>2</v>
      </c>
      <c r="K99" s="124"/>
      <c r="L99" s="26"/>
      <c r="M99" s="26"/>
      <c r="N99" s="26"/>
      <c r="O99" s="26"/>
      <c r="P99" s="26"/>
      <c r="Q99" s="26"/>
      <c r="R99" s="26"/>
      <c r="S99" s="124"/>
      <c r="T99" s="26"/>
      <c r="U99" s="26"/>
      <c r="V99" s="26"/>
      <c r="W99" s="26"/>
      <c r="X99" s="26"/>
      <c r="Y99" s="25"/>
    </row>
    <row r="100" spans="1:25" ht="14.25" customHeight="1">
      <c r="A100" s="171">
        <v>2</v>
      </c>
      <c r="B100" s="239" t="s">
        <v>3070</v>
      </c>
      <c r="C100" s="25">
        <v>100</v>
      </c>
      <c r="D100" s="25">
        <v>2</v>
      </c>
      <c r="E100" s="242">
        <v>43545</v>
      </c>
      <c r="F100" s="115" t="str">
        <f>HYPERLINK("https://www.cnnindonesia.com/olahraga/20190320161950-142-379129/bernadeschi-gila-jika-uefa-hukum-ronaldo ","sumber")</f>
        <v>sumber</v>
      </c>
      <c r="G100" s="228" t="s">
        <v>1</v>
      </c>
      <c r="H100" s="26" t="s">
        <v>3071</v>
      </c>
      <c r="I100" s="26"/>
      <c r="J100" s="25">
        <v>2</v>
      </c>
      <c r="K100" s="124"/>
      <c r="L100" s="26"/>
      <c r="M100" s="26"/>
      <c r="N100" s="26"/>
      <c r="O100" s="26"/>
      <c r="P100" s="26"/>
      <c r="Q100" s="26"/>
      <c r="R100" s="26"/>
      <c r="S100" s="124"/>
      <c r="T100" s="26"/>
      <c r="U100" s="26"/>
      <c r="V100" s="26"/>
      <c r="W100" s="26"/>
      <c r="X100" s="26"/>
      <c r="Y100" s="25"/>
    </row>
    <row r="101" spans="1:25" ht="14.25" customHeight="1">
      <c r="A101" s="236">
        <v>1</v>
      </c>
      <c r="B101" s="237" t="s">
        <v>3072</v>
      </c>
      <c r="C101" s="22">
        <v>101</v>
      </c>
      <c r="D101" s="22">
        <v>4</v>
      </c>
      <c r="E101" s="241">
        <v>43548</v>
      </c>
      <c r="F101" s="121" t="str">
        <f>HYPERLINK("https://www.liputan6.com/bola/read/3924802/tim-basket-kursi-roda-putri-indonesia-ikut-turnamen-internasional-di-thailand ","sumber")</f>
        <v>sumber</v>
      </c>
      <c r="G101" s="223" t="s">
        <v>1</v>
      </c>
      <c r="H101" s="23" t="s">
        <v>3073</v>
      </c>
      <c r="I101" s="22">
        <v>3</v>
      </c>
      <c r="J101" s="22">
        <v>2</v>
      </c>
      <c r="K101" s="123" t="s">
        <v>3074</v>
      </c>
      <c r="L101" s="22">
        <v>0</v>
      </c>
      <c r="M101" s="22">
        <v>0</v>
      </c>
      <c r="N101" s="22">
        <v>0</v>
      </c>
      <c r="O101" s="22">
        <v>0</v>
      </c>
      <c r="P101" s="22">
        <v>0</v>
      </c>
      <c r="Q101" s="22">
        <v>2</v>
      </c>
      <c r="R101" s="22">
        <v>1</v>
      </c>
      <c r="S101" s="134"/>
      <c r="T101" s="22">
        <v>0</v>
      </c>
      <c r="U101" s="22">
        <v>0</v>
      </c>
      <c r="V101" s="22">
        <v>0</v>
      </c>
      <c r="W101" s="23"/>
      <c r="X101" s="23"/>
      <c r="Y101" s="23"/>
    </row>
    <row r="102" spans="1:25" ht="14.25" customHeight="1">
      <c r="A102" s="211">
        <v>1</v>
      </c>
      <c r="B102" s="46" t="s">
        <v>3075</v>
      </c>
      <c r="C102" s="33">
        <v>102</v>
      </c>
      <c r="D102" s="33">
        <v>6</v>
      </c>
      <c r="E102" s="243">
        <v>43536</v>
      </c>
      <c r="F102" s="130" t="str">
        <f>HYPERLINK("https://regional.kompas.com/read/2019/03/12/13293831/usai-pileg-ruang-rawat-inap-penderita-gangguan-jiwa-di-rsud-kendal-siap ","sumber")</f>
        <v>sumber</v>
      </c>
      <c r="G102" s="231" t="s">
        <v>1</v>
      </c>
      <c r="H102" s="33">
        <v>229</v>
      </c>
      <c r="I102" s="33">
        <v>2</v>
      </c>
      <c r="J102" s="33">
        <v>2</v>
      </c>
      <c r="K102" s="131" t="s">
        <v>3076</v>
      </c>
      <c r="L102" s="33">
        <v>0</v>
      </c>
      <c r="M102" s="33">
        <v>0</v>
      </c>
      <c r="N102" s="33">
        <v>0</v>
      </c>
      <c r="O102" s="33">
        <v>0</v>
      </c>
      <c r="P102" s="33">
        <v>0</v>
      </c>
      <c r="Q102" s="33" t="s">
        <v>29</v>
      </c>
      <c r="R102" s="33" t="s">
        <v>29</v>
      </c>
      <c r="S102" s="131" t="s">
        <v>3077</v>
      </c>
      <c r="T102" s="33">
        <v>2</v>
      </c>
      <c r="U102" s="33">
        <v>0</v>
      </c>
      <c r="V102" s="33">
        <v>0</v>
      </c>
      <c r="W102" s="24"/>
      <c r="X102" s="24"/>
      <c r="Y102" s="33"/>
    </row>
    <row r="103" spans="1:25" ht="14.25" customHeight="1">
      <c r="A103" s="236">
        <v>1</v>
      </c>
      <c r="B103" s="237" t="s">
        <v>3078</v>
      </c>
      <c r="C103" s="22">
        <v>103</v>
      </c>
      <c r="D103" s="22">
        <v>3</v>
      </c>
      <c r="E103" s="241">
        <v>43550</v>
      </c>
      <c r="F103" s="121" t="str">
        <f>HYPERLINK("https://news.okezone.com/read/2019/03/26/337/2035094/mnc-peduli-berikan-kaki-palsu-hingga-kursi-roda-untuk-warga-banten-dan-bali ","sumber")</f>
        <v>sumber</v>
      </c>
      <c r="G103" s="223" t="s">
        <v>1</v>
      </c>
      <c r="H103" s="23" t="s">
        <v>3079</v>
      </c>
      <c r="I103" s="22">
        <v>3</v>
      </c>
      <c r="J103" s="22">
        <v>2</v>
      </c>
      <c r="K103" s="123" t="s">
        <v>3080</v>
      </c>
      <c r="L103" s="22">
        <v>0</v>
      </c>
      <c r="M103" s="22">
        <v>0</v>
      </c>
      <c r="N103" s="22">
        <v>0</v>
      </c>
      <c r="O103" s="22">
        <v>0</v>
      </c>
      <c r="P103" s="22">
        <v>0</v>
      </c>
      <c r="Q103" s="22" t="s">
        <v>29</v>
      </c>
      <c r="R103" s="22" t="s">
        <v>160</v>
      </c>
      <c r="S103" s="134"/>
      <c r="T103" s="22">
        <v>0</v>
      </c>
      <c r="U103" s="22">
        <v>0</v>
      </c>
      <c r="V103" s="22">
        <v>0</v>
      </c>
      <c r="W103" s="23"/>
      <c r="X103" s="23"/>
      <c r="Y103" s="23"/>
    </row>
    <row r="104" spans="1:25" ht="14.25" customHeight="1">
      <c r="A104" s="171">
        <v>2</v>
      </c>
      <c r="B104" s="239" t="s">
        <v>3081</v>
      </c>
      <c r="C104" s="25">
        <v>104</v>
      </c>
      <c r="D104" s="25">
        <v>2</v>
      </c>
      <c r="E104" s="242">
        <v>43551</v>
      </c>
      <c r="F104" s="115" t="str">
        <f>HYPERLINK("https://www.cnnindonesia.com/teknologi/20190327184539-192-381249/netizen-bikin-petisi-tolak-fatwa-haram-gim-pubg ","sumber")</f>
        <v>sumber</v>
      </c>
      <c r="G104" s="228" t="s">
        <v>1</v>
      </c>
      <c r="H104" s="26" t="s">
        <v>3082</v>
      </c>
      <c r="I104" s="26"/>
      <c r="J104" s="25">
        <v>2</v>
      </c>
      <c r="K104" s="124"/>
      <c r="L104" s="26"/>
      <c r="M104" s="26"/>
      <c r="N104" s="26"/>
      <c r="O104" s="26"/>
      <c r="P104" s="26"/>
      <c r="Q104" s="26"/>
      <c r="R104" s="26"/>
      <c r="S104" s="116"/>
      <c r="T104" s="26"/>
      <c r="U104" s="26"/>
      <c r="V104" s="26"/>
      <c r="W104" s="26"/>
      <c r="X104" s="26"/>
      <c r="Y104" s="25"/>
    </row>
    <row r="105" spans="1:25" ht="14.25" customHeight="1">
      <c r="A105" s="236">
        <v>1</v>
      </c>
      <c r="B105" s="237" t="s">
        <v>3083</v>
      </c>
      <c r="C105" s="22">
        <v>105</v>
      </c>
      <c r="D105" s="22">
        <v>1</v>
      </c>
      <c r="E105" s="241">
        <v>43553</v>
      </c>
      <c r="F105" s="121" t="str">
        <f>HYPERLINK("https://news.detik.com/berita/d-4489040/polisi-hentikan-kasus-sudirman-pelaku-penusukan-di-halte-transj ","sumber")</f>
        <v>sumber</v>
      </c>
      <c r="G105" s="223" t="s">
        <v>1</v>
      </c>
      <c r="H105" s="23" t="s">
        <v>3084</v>
      </c>
      <c r="I105" s="22">
        <v>1</v>
      </c>
      <c r="J105" s="22">
        <v>2</v>
      </c>
      <c r="K105" s="123" t="s">
        <v>3085</v>
      </c>
      <c r="L105" s="22">
        <v>0</v>
      </c>
      <c r="M105" s="22">
        <v>-1</v>
      </c>
      <c r="N105" s="22">
        <v>-1</v>
      </c>
      <c r="O105" s="22">
        <v>0</v>
      </c>
      <c r="P105" s="22">
        <v>0</v>
      </c>
      <c r="Q105" s="22">
        <v>0</v>
      </c>
      <c r="R105" s="22">
        <v>0</v>
      </c>
      <c r="S105" s="123" t="s">
        <v>3086</v>
      </c>
      <c r="T105" s="22">
        <v>1</v>
      </c>
      <c r="U105" s="22">
        <v>0</v>
      </c>
      <c r="V105" s="22">
        <v>0</v>
      </c>
      <c r="W105" s="23"/>
      <c r="X105" s="23"/>
      <c r="Y105" s="23"/>
    </row>
    <row r="106" spans="1:25" ht="14.25" customHeight="1">
      <c r="A106" s="171">
        <v>2</v>
      </c>
      <c r="B106" s="239" t="s">
        <v>3087</v>
      </c>
      <c r="C106" s="25">
        <v>106</v>
      </c>
      <c r="D106" s="25">
        <v>9</v>
      </c>
      <c r="E106" s="242">
        <v>43555</v>
      </c>
      <c r="F106" s="115" t="str">
        <f>HYPERLINK("https://nasional.republika.co.id/berita/nasional/jabodetabek-nasional/pp8a1u366/besok-mrt-berbayar-beroperasi-mulai-pukul-0530-wib ","sumber")</f>
        <v>sumber</v>
      </c>
      <c r="G106" s="228" t="s">
        <v>1</v>
      </c>
      <c r="H106" s="26" t="s">
        <v>3088</v>
      </c>
      <c r="I106" s="26"/>
      <c r="J106" s="25">
        <v>2</v>
      </c>
      <c r="K106" s="124"/>
      <c r="L106" s="26"/>
      <c r="M106" s="26"/>
      <c r="N106" s="26"/>
      <c r="O106" s="26"/>
      <c r="P106" s="26"/>
      <c r="Q106" s="26"/>
      <c r="R106" s="26"/>
      <c r="S106" s="116"/>
      <c r="T106" s="26"/>
      <c r="U106" s="26"/>
      <c r="V106" s="26"/>
      <c r="W106" s="26"/>
      <c r="X106" s="26"/>
      <c r="Y106" s="25"/>
    </row>
    <row r="107" spans="1:25" ht="14.25" customHeight="1">
      <c r="A107" s="171">
        <v>2</v>
      </c>
      <c r="B107" s="239" t="s">
        <v>3089</v>
      </c>
      <c r="C107" s="25">
        <v>107</v>
      </c>
      <c r="D107" s="25">
        <v>4</v>
      </c>
      <c r="E107" s="242">
        <v>43558</v>
      </c>
      <c r="F107" s="115" t="str">
        <f>HYPERLINK("https://www.liputan6.com/bola/read/3932966/mbappe-diprediksi-berkostum-real-madrid-pada-2020 ","sumber")</f>
        <v>sumber</v>
      </c>
      <c r="G107" s="228" t="s">
        <v>1</v>
      </c>
      <c r="H107" s="26" t="s">
        <v>3090</v>
      </c>
      <c r="I107" s="26"/>
      <c r="J107" s="25">
        <v>2</v>
      </c>
      <c r="K107" s="124"/>
      <c r="L107" s="26"/>
      <c r="M107" s="26"/>
      <c r="N107" s="26"/>
      <c r="O107" s="26"/>
      <c r="P107" s="26"/>
      <c r="Q107" s="26"/>
      <c r="R107" s="26"/>
      <c r="S107" s="124"/>
      <c r="T107" s="26"/>
      <c r="U107" s="26"/>
      <c r="V107" s="26"/>
      <c r="W107" s="26"/>
      <c r="X107" s="26"/>
      <c r="Y107" s="25"/>
    </row>
    <row r="108" spans="1:25" ht="14.25" customHeight="1">
      <c r="A108" s="171">
        <v>2</v>
      </c>
      <c r="B108" s="239" t="s">
        <v>3091</v>
      </c>
      <c r="C108" s="25">
        <v>108</v>
      </c>
      <c r="D108" s="25">
        <v>5</v>
      </c>
      <c r="E108" s="242">
        <v>43562</v>
      </c>
      <c r="F108" s="115" t="str">
        <f>HYPERLINK("https://tirto.id/respons-pernyataan-prabowo-jokowi-ibu-pertiwi-sedang-berprestasi-dllQ ","sumber")</f>
        <v>sumber</v>
      </c>
      <c r="G108" s="228" t="s">
        <v>1</v>
      </c>
      <c r="H108" s="26" t="s">
        <v>3092</v>
      </c>
      <c r="I108" s="26"/>
      <c r="J108" s="25">
        <v>2</v>
      </c>
      <c r="K108" s="124"/>
      <c r="L108" s="26"/>
      <c r="M108" s="26"/>
      <c r="N108" s="26"/>
      <c r="O108" s="26"/>
      <c r="P108" s="26"/>
      <c r="Q108" s="26"/>
      <c r="R108" s="26"/>
      <c r="S108" s="124"/>
      <c r="T108" s="26"/>
      <c r="U108" s="26"/>
      <c r="V108" s="26"/>
      <c r="W108" s="26"/>
      <c r="X108" s="26"/>
      <c r="Y108" s="25"/>
    </row>
    <row r="109" spans="1:25" ht="14.25" customHeight="1">
      <c r="A109" s="236">
        <v>1</v>
      </c>
      <c r="B109" s="237" t="s">
        <v>3093</v>
      </c>
      <c r="C109" s="22">
        <v>109</v>
      </c>
      <c r="D109" s="22">
        <v>6</v>
      </c>
      <c r="E109" s="241">
        <v>43567</v>
      </c>
      <c r="F109" s="121" t="str">
        <f>HYPERLINK("https://regional.kompas.com/read/2019/04/12/14321871/sosialisasi-pemilu-kpu-terima-sejumlah-pertanyaan-dari-pasien-rsj-surakarta ","sumber")</f>
        <v>sumber</v>
      </c>
      <c r="G109" s="223" t="s">
        <v>1</v>
      </c>
      <c r="H109" s="23" t="s">
        <v>3094</v>
      </c>
      <c r="I109" s="22">
        <v>2</v>
      </c>
      <c r="J109" s="22">
        <v>2</v>
      </c>
      <c r="K109" s="123" t="s">
        <v>3095</v>
      </c>
      <c r="L109" s="22">
        <v>0</v>
      </c>
      <c r="M109" s="22">
        <v>0</v>
      </c>
      <c r="N109" s="22">
        <v>0</v>
      </c>
      <c r="O109" s="22">
        <v>0</v>
      </c>
      <c r="P109" s="22">
        <v>0</v>
      </c>
      <c r="Q109" s="22" t="s">
        <v>3096</v>
      </c>
      <c r="R109" s="22" t="s">
        <v>57</v>
      </c>
      <c r="S109" s="123" t="s">
        <v>3097</v>
      </c>
      <c r="T109" s="22">
        <v>1</v>
      </c>
      <c r="U109" s="22">
        <v>0</v>
      </c>
      <c r="V109" s="22">
        <v>0</v>
      </c>
      <c r="W109" s="23"/>
      <c r="X109" s="23"/>
      <c r="Y109" s="22"/>
    </row>
    <row r="110" spans="1:25" ht="14.25" customHeight="1">
      <c r="A110" s="236">
        <v>1</v>
      </c>
      <c r="B110" s="237" t="s">
        <v>3098</v>
      </c>
      <c r="C110" s="22">
        <v>110</v>
      </c>
      <c r="D110" s="22">
        <v>6</v>
      </c>
      <c r="E110" s="241">
        <v>43576</v>
      </c>
      <c r="F110" s="121" t="str">
        <f>HYPERLINK("https://regional.kompas.com/read/2019/04/21/20193941/meninggal-bayi-yang-dikubur-hidup-hidup-oleh-ibunya-di-purwakarta ","sumber")</f>
        <v>sumber</v>
      </c>
      <c r="G110" s="223" t="s">
        <v>1</v>
      </c>
      <c r="H110" s="23" t="s">
        <v>3099</v>
      </c>
      <c r="I110" s="22">
        <v>1</v>
      </c>
      <c r="J110" s="22">
        <v>2</v>
      </c>
      <c r="K110" s="123" t="s">
        <v>3100</v>
      </c>
      <c r="L110" s="22">
        <v>0</v>
      </c>
      <c r="M110" s="22">
        <v>-1</v>
      </c>
      <c r="N110" s="22">
        <v>0</v>
      </c>
      <c r="O110" s="22">
        <v>0</v>
      </c>
      <c r="P110" s="22">
        <v>0</v>
      </c>
      <c r="Q110" s="22" t="s">
        <v>29</v>
      </c>
      <c r="R110" s="22" t="s">
        <v>29</v>
      </c>
      <c r="S110" s="123" t="s">
        <v>2215</v>
      </c>
      <c r="T110" s="22">
        <v>1</v>
      </c>
      <c r="U110" s="22">
        <v>0</v>
      </c>
      <c r="V110" s="22">
        <v>0</v>
      </c>
      <c r="W110" s="23"/>
      <c r="X110" s="23"/>
      <c r="Y110" s="23"/>
    </row>
    <row r="111" spans="1:25" ht="14.25" customHeight="1">
      <c r="A111" s="211">
        <v>1</v>
      </c>
      <c r="B111" s="46" t="s">
        <v>3101</v>
      </c>
      <c r="C111" s="33">
        <v>111</v>
      </c>
      <c r="D111" s="33">
        <v>8</v>
      </c>
      <c r="E111" s="249">
        <v>43577</v>
      </c>
      <c r="F111" s="130" t="str">
        <f>HYPERLINK("https://www.suara.com/lifestyle/2019/04/22/173000/model-disabilitas-ini-unjuk-gigi-di-panggung-london-fashion-week ","sumber")</f>
        <v>sumber</v>
      </c>
      <c r="G111" s="231" t="s">
        <v>1</v>
      </c>
      <c r="H111" s="33">
        <v>404</v>
      </c>
      <c r="I111" s="33">
        <v>3</v>
      </c>
      <c r="J111" s="33">
        <v>2</v>
      </c>
      <c r="K111" s="131" t="s">
        <v>3102</v>
      </c>
      <c r="L111" s="33">
        <v>0</v>
      </c>
      <c r="M111" s="33">
        <v>0</v>
      </c>
      <c r="N111" s="33">
        <v>0</v>
      </c>
      <c r="O111" s="33">
        <v>0</v>
      </c>
      <c r="P111" s="33">
        <v>0</v>
      </c>
      <c r="Q111" s="33" t="s">
        <v>87</v>
      </c>
      <c r="R111" s="33" t="s">
        <v>182</v>
      </c>
      <c r="S111" s="131" t="s">
        <v>3103</v>
      </c>
      <c r="T111" s="33">
        <v>2</v>
      </c>
      <c r="U111" s="33">
        <v>0</v>
      </c>
      <c r="V111" s="33">
        <v>0</v>
      </c>
      <c r="W111" s="24"/>
      <c r="X111" s="24"/>
      <c r="Y111" s="33"/>
    </row>
    <row r="112" spans="1:25" ht="14.25" customHeight="1">
      <c r="A112" s="211">
        <v>1</v>
      </c>
      <c r="B112" s="46" t="s">
        <v>3104</v>
      </c>
      <c r="C112" s="33">
        <v>112</v>
      </c>
      <c r="D112" s="33">
        <v>2</v>
      </c>
      <c r="E112" s="243">
        <v>43572</v>
      </c>
      <c r="F112" s="130" t="str">
        <f>HYPERLINK("https://www.cnnindonesia.com/nasional/20190417085348-32-387063/pemilih-tunanetra-di-biak-keluhkan-surat-suara-pemilu ","sumber")</f>
        <v>sumber</v>
      </c>
      <c r="G112" s="231" t="s">
        <v>1</v>
      </c>
      <c r="H112" s="33">
        <v>273</v>
      </c>
      <c r="I112" s="33">
        <v>2</v>
      </c>
      <c r="J112" s="33">
        <v>2</v>
      </c>
      <c r="K112" s="131" t="s">
        <v>3105</v>
      </c>
      <c r="L112" s="33">
        <v>0</v>
      </c>
      <c r="M112" s="33">
        <v>0</v>
      </c>
      <c r="N112" s="33">
        <v>0</v>
      </c>
      <c r="O112" s="33">
        <v>0</v>
      </c>
      <c r="P112" s="33">
        <v>0</v>
      </c>
      <c r="Q112" s="33" t="s">
        <v>159</v>
      </c>
      <c r="R112" s="33" t="s">
        <v>68</v>
      </c>
      <c r="S112" s="131"/>
      <c r="T112" s="33">
        <v>0</v>
      </c>
      <c r="U112" s="33">
        <v>0</v>
      </c>
      <c r="V112" s="33">
        <v>0</v>
      </c>
      <c r="W112" s="24"/>
      <c r="X112" s="24"/>
      <c r="Y112" s="33"/>
    </row>
    <row r="113" spans="1:25" ht="14.25" customHeight="1">
      <c r="A113" s="171">
        <v>2</v>
      </c>
      <c r="B113" s="239" t="s">
        <v>3106</v>
      </c>
      <c r="C113" s="25">
        <v>113</v>
      </c>
      <c r="D113" s="25">
        <v>8</v>
      </c>
      <c r="E113" s="242">
        <v>43585</v>
      </c>
      <c r="F113" s="115" t="str">
        <f>HYPERLINK("https://www.suara.com/news/2019/04/30/182110/update-kpu-331-petugas-kpps-meninggal-dunia-jawa-barat-terbanyak ","sumber")</f>
        <v>sumber</v>
      </c>
      <c r="G113" s="228" t="s">
        <v>1</v>
      </c>
      <c r="H113" s="26" t="s">
        <v>3107</v>
      </c>
      <c r="I113" s="26"/>
      <c r="J113" s="25">
        <v>2</v>
      </c>
      <c r="K113" s="124"/>
      <c r="L113" s="26"/>
      <c r="M113" s="26"/>
      <c r="N113" s="26"/>
      <c r="O113" s="26"/>
      <c r="P113" s="26"/>
      <c r="Q113" s="26"/>
      <c r="R113" s="26"/>
      <c r="S113" s="124"/>
      <c r="T113" s="26"/>
      <c r="U113" s="26"/>
      <c r="V113" s="26"/>
      <c r="W113" s="26"/>
      <c r="X113" s="26"/>
      <c r="Y113" s="25"/>
    </row>
    <row r="114" spans="1:25" ht="14.25" customHeight="1">
      <c r="A114" s="236">
        <v>1</v>
      </c>
      <c r="B114" s="237" t="s">
        <v>3108</v>
      </c>
      <c r="C114" s="22">
        <v>114</v>
      </c>
      <c r="D114" s="22">
        <v>7</v>
      </c>
      <c r="E114" s="241">
        <v>43587</v>
      </c>
      <c r="F114" s="121" t="str">
        <f>HYPERLINK("http://www.tribunnews.com/regional/2019/05/02/warga-siantar-ini-empat-hari-tersesat-di-hutan-pijay ","sumber")</f>
        <v>sumber</v>
      </c>
      <c r="G114" s="223" t="s">
        <v>1</v>
      </c>
      <c r="H114" s="23" t="s">
        <v>3109</v>
      </c>
      <c r="I114" s="22">
        <v>1</v>
      </c>
      <c r="J114" s="22">
        <v>2</v>
      </c>
      <c r="K114" s="123" t="s">
        <v>3110</v>
      </c>
      <c r="L114" s="22">
        <v>0</v>
      </c>
      <c r="M114" s="22">
        <v>-1</v>
      </c>
      <c r="N114" s="22">
        <v>-1</v>
      </c>
      <c r="O114" s="22">
        <v>0</v>
      </c>
      <c r="P114" s="22">
        <v>0</v>
      </c>
      <c r="Q114" s="22">
        <v>0</v>
      </c>
      <c r="R114" s="22">
        <v>0</v>
      </c>
      <c r="S114" s="123" t="s">
        <v>1244</v>
      </c>
      <c r="T114" s="22">
        <v>1</v>
      </c>
      <c r="U114" s="22">
        <v>0</v>
      </c>
      <c r="V114" s="22">
        <v>0</v>
      </c>
      <c r="W114" s="23"/>
      <c r="X114" s="23"/>
      <c r="Y114" s="23"/>
    </row>
    <row r="115" spans="1:25" ht="14.25" customHeight="1">
      <c r="A115" s="171">
        <v>2</v>
      </c>
      <c r="B115" s="239" t="s">
        <v>3111</v>
      </c>
      <c r="C115" s="25">
        <v>115</v>
      </c>
      <c r="D115" s="25">
        <v>2</v>
      </c>
      <c r="E115" s="242">
        <v>43588</v>
      </c>
      <c r="F115" s="115" t="str">
        <f>HYPERLINK("https://www.cnnindonesia.com/nasional/20190503175852-32-391780/fadli-zon-sebut-412-petugas-kpps-tewas-bukan-hanya-kelelahan ","sumber")</f>
        <v>sumber</v>
      </c>
      <c r="G115" s="228" t="s">
        <v>1</v>
      </c>
      <c r="H115" s="26" t="s">
        <v>3112</v>
      </c>
      <c r="I115" s="26"/>
      <c r="J115" s="25">
        <v>2</v>
      </c>
      <c r="K115" s="124"/>
      <c r="L115" s="26"/>
      <c r="M115" s="26"/>
      <c r="N115" s="26"/>
      <c r="O115" s="26"/>
      <c r="P115" s="26"/>
      <c r="Q115" s="26"/>
      <c r="R115" s="26"/>
      <c r="S115" s="124"/>
      <c r="T115" s="26"/>
      <c r="U115" s="26"/>
      <c r="V115" s="26"/>
      <c r="W115" s="26"/>
      <c r="X115" s="26"/>
      <c r="Y115" s="25"/>
    </row>
    <row r="116" spans="1:25" ht="14.25" customHeight="1">
      <c r="A116" s="171">
        <v>2</v>
      </c>
      <c r="B116" s="239" t="s">
        <v>3113</v>
      </c>
      <c r="C116" s="25">
        <v>116</v>
      </c>
      <c r="D116" s="25">
        <v>3</v>
      </c>
      <c r="E116" s="242">
        <v>43590</v>
      </c>
      <c r="F116" s="115" t="str">
        <f>HYPERLINK("https://economy.okezone.com/read/2019/05/03/320/2051106/jangan-minder-ini-keunggulan-fresh-graduate-di-mata-perusahaan ","sumber")</f>
        <v>sumber</v>
      </c>
      <c r="G116" s="228" t="s">
        <v>1</v>
      </c>
      <c r="H116" s="26" t="s">
        <v>2858</v>
      </c>
      <c r="I116" s="26"/>
      <c r="J116" s="25">
        <v>2</v>
      </c>
      <c r="K116" s="124"/>
      <c r="L116" s="26"/>
      <c r="M116" s="26"/>
      <c r="N116" s="26"/>
      <c r="O116" s="26"/>
      <c r="P116" s="26"/>
      <c r="Q116" s="26"/>
      <c r="R116" s="26"/>
      <c r="S116" s="124"/>
      <c r="T116" s="26"/>
      <c r="U116" s="26"/>
      <c r="V116" s="26"/>
      <c r="W116" s="26"/>
      <c r="X116" s="26"/>
      <c r="Y116" s="25"/>
    </row>
    <row r="117" spans="1:25" ht="14.25" customHeight="1">
      <c r="A117" s="171">
        <v>2</v>
      </c>
      <c r="B117" s="239" t="s">
        <v>3114</v>
      </c>
      <c r="C117" s="25">
        <v>117</v>
      </c>
      <c r="D117" s="25">
        <v>9</v>
      </c>
      <c r="E117" s="242">
        <v>43590</v>
      </c>
      <c r="F117" s="115" t="str">
        <f>HYPERLINK("https://nasional.republika.co.id/berita/nasional/daerah/pr0kfj396/ini-aturan-pemkot-malang-selama-ramadhan ","sumber")</f>
        <v>sumber</v>
      </c>
      <c r="G117" s="228" t="s">
        <v>1</v>
      </c>
      <c r="H117" s="26" t="s">
        <v>2992</v>
      </c>
      <c r="I117" s="26"/>
      <c r="J117" s="25">
        <v>2</v>
      </c>
      <c r="K117" s="124"/>
      <c r="L117" s="26"/>
      <c r="M117" s="26"/>
      <c r="N117" s="26"/>
      <c r="O117" s="26"/>
      <c r="P117" s="26"/>
      <c r="Q117" s="26"/>
      <c r="R117" s="26"/>
      <c r="S117" s="124"/>
      <c r="T117" s="26"/>
      <c r="U117" s="26"/>
      <c r="V117" s="26"/>
      <c r="W117" s="26"/>
      <c r="X117" s="26"/>
      <c r="Y117" s="25"/>
    </row>
    <row r="118" spans="1:25" ht="14.25" customHeight="1">
      <c r="A118" s="236">
        <v>1</v>
      </c>
      <c r="B118" s="237" t="s">
        <v>3115</v>
      </c>
      <c r="C118" s="22">
        <v>118</v>
      </c>
      <c r="D118" s="22">
        <v>6</v>
      </c>
      <c r="E118" s="241">
        <v>43591</v>
      </c>
      <c r="F118" s="121" t="str">
        <f>HYPERLINK("https://tekno.kompas.com/read/2019/05/06/12340037/2-startup-indonesia-bakal-tampil-di-future-makers-2019-di-singapura ","sumber")</f>
        <v>sumber</v>
      </c>
      <c r="G118" s="223" t="s">
        <v>3116</v>
      </c>
      <c r="H118" s="23" t="s">
        <v>3004</v>
      </c>
      <c r="I118" s="22">
        <v>3</v>
      </c>
      <c r="J118" s="22">
        <v>2</v>
      </c>
      <c r="K118" s="123" t="s">
        <v>3117</v>
      </c>
      <c r="L118" s="22">
        <v>0</v>
      </c>
      <c r="M118" s="22">
        <v>0</v>
      </c>
      <c r="N118" s="22">
        <v>0</v>
      </c>
      <c r="O118" s="22">
        <v>0</v>
      </c>
      <c r="P118" s="22">
        <v>0</v>
      </c>
      <c r="Q118" s="22">
        <v>0</v>
      </c>
      <c r="R118" s="22">
        <v>0</v>
      </c>
      <c r="S118" s="134"/>
      <c r="T118" s="22">
        <v>0</v>
      </c>
      <c r="U118" s="22">
        <v>0</v>
      </c>
      <c r="V118" s="22">
        <v>0</v>
      </c>
      <c r="W118" s="23"/>
      <c r="X118" s="23"/>
      <c r="Y118" s="23"/>
    </row>
    <row r="119" spans="1:25" ht="14.25" customHeight="1">
      <c r="A119" s="171">
        <v>2</v>
      </c>
      <c r="B119" s="239" t="s">
        <v>3118</v>
      </c>
      <c r="C119" s="25">
        <v>119</v>
      </c>
      <c r="D119" s="25">
        <v>9</v>
      </c>
      <c r="E119" s="242">
        <v>43592</v>
      </c>
      <c r="F119" s="115" t="str">
        <f>HYPERLINK("https://republika.co.id/berita/retizen/info-warga/pr4acm349/setan-gundul-hingga-romi-jadi-berita-teratas-versi-ltemgtretizenltemgt ","sumber")</f>
        <v>sumber</v>
      </c>
      <c r="G119" s="228" t="s">
        <v>1</v>
      </c>
      <c r="H119" s="26" t="s">
        <v>3119</v>
      </c>
      <c r="I119" s="26"/>
      <c r="J119" s="25">
        <v>2</v>
      </c>
      <c r="K119" s="124"/>
      <c r="L119" s="26"/>
      <c r="M119" s="26"/>
      <c r="N119" s="26"/>
      <c r="O119" s="26"/>
      <c r="P119" s="26"/>
      <c r="Q119" s="26"/>
      <c r="R119" s="26"/>
      <c r="S119" s="124"/>
      <c r="T119" s="26"/>
      <c r="U119" s="26"/>
      <c r="V119" s="26"/>
      <c r="W119" s="26"/>
      <c r="X119" s="26"/>
      <c r="Y119" s="25"/>
    </row>
    <row r="120" spans="1:25" ht="14.25" customHeight="1">
      <c r="A120" s="171">
        <v>2</v>
      </c>
      <c r="B120" s="239" t="s">
        <v>3120</v>
      </c>
      <c r="C120" s="25">
        <v>120</v>
      </c>
      <c r="D120" s="25">
        <v>9</v>
      </c>
      <c r="E120" s="242">
        <v>43594</v>
      </c>
      <c r="F120" s="115" t="str">
        <f>HYPERLINK("https://internasional.republika.co.id/berita/internasional/amerika/pr7uhy366/sanksi-as-sasar-sektor-logam-industri-iran ","sumber")</f>
        <v>sumber</v>
      </c>
      <c r="G120" s="228" t="s">
        <v>1</v>
      </c>
      <c r="H120" s="26" t="s">
        <v>3121</v>
      </c>
      <c r="I120" s="26"/>
      <c r="J120" s="25">
        <v>2</v>
      </c>
      <c r="K120" s="124"/>
      <c r="L120" s="26"/>
      <c r="M120" s="26"/>
      <c r="N120" s="26"/>
      <c r="O120" s="26"/>
      <c r="P120" s="26"/>
      <c r="Q120" s="26"/>
      <c r="R120" s="26"/>
      <c r="S120" s="124"/>
      <c r="T120" s="26"/>
      <c r="U120" s="26"/>
      <c r="V120" s="26"/>
      <c r="W120" s="26"/>
      <c r="X120" s="26"/>
      <c r="Y120" s="25"/>
    </row>
    <row r="121" spans="1:25" ht="14.25" customHeight="1">
      <c r="A121" s="211">
        <v>1</v>
      </c>
      <c r="B121" s="46" t="s">
        <v>3122</v>
      </c>
      <c r="C121" s="33">
        <v>121</v>
      </c>
      <c r="D121" s="33">
        <v>2</v>
      </c>
      <c r="E121" s="243">
        <v>43572</v>
      </c>
      <c r="F121" s="153" t="s">
        <v>2163</v>
      </c>
      <c r="G121" s="231" t="s">
        <v>1</v>
      </c>
      <c r="H121" s="33">
        <v>273</v>
      </c>
      <c r="I121" s="33">
        <v>2</v>
      </c>
      <c r="J121" s="33">
        <v>2</v>
      </c>
      <c r="K121" s="131" t="s">
        <v>3123</v>
      </c>
      <c r="L121" s="33">
        <v>0</v>
      </c>
      <c r="M121" s="33">
        <v>0</v>
      </c>
      <c r="N121" s="33">
        <v>0</v>
      </c>
      <c r="O121" s="33">
        <v>0</v>
      </c>
      <c r="P121" s="33">
        <v>0</v>
      </c>
      <c r="Q121" s="33">
        <v>0</v>
      </c>
      <c r="R121" s="33">
        <v>0</v>
      </c>
      <c r="S121" s="131"/>
      <c r="T121" s="33">
        <v>0</v>
      </c>
      <c r="U121" s="33">
        <v>0</v>
      </c>
      <c r="V121" s="33">
        <v>0</v>
      </c>
      <c r="W121" s="24"/>
      <c r="X121" s="24"/>
      <c r="Y121" s="33"/>
    </row>
    <row r="122" spans="1:25" ht="14.25" customHeight="1">
      <c r="A122" s="236">
        <v>1</v>
      </c>
      <c r="B122" s="237" t="s">
        <v>3124</v>
      </c>
      <c r="C122" s="22">
        <v>122</v>
      </c>
      <c r="D122" s="22">
        <v>9</v>
      </c>
      <c r="E122" s="241">
        <v>43603</v>
      </c>
      <c r="F122" s="121" t="str">
        <f>HYPERLINK("https://nasional.republika.co.id/berita/nasional/politik/prp6r9430/bawaslu-catat-8000-temuan-dan-laporan-pascapemungutan-suara ","sumber")</f>
        <v>sumber</v>
      </c>
      <c r="G122" s="223" t="s">
        <v>1</v>
      </c>
      <c r="H122" s="23" t="s">
        <v>3125</v>
      </c>
      <c r="I122" s="22">
        <v>2</v>
      </c>
      <c r="J122" s="22">
        <v>2</v>
      </c>
      <c r="K122" s="123" t="s">
        <v>3126</v>
      </c>
      <c r="L122" s="22">
        <v>0</v>
      </c>
      <c r="M122" s="22">
        <v>0</v>
      </c>
      <c r="N122" s="22">
        <v>0</v>
      </c>
      <c r="O122" s="22">
        <v>0</v>
      </c>
      <c r="P122" s="22">
        <v>0</v>
      </c>
      <c r="Q122" s="22">
        <v>0</v>
      </c>
      <c r="R122" s="22">
        <v>0</v>
      </c>
      <c r="S122" s="134"/>
      <c r="T122" s="22">
        <v>0</v>
      </c>
      <c r="U122" s="22">
        <v>0</v>
      </c>
      <c r="V122" s="22">
        <v>0</v>
      </c>
      <c r="W122" s="23"/>
      <c r="X122" s="23"/>
      <c r="Y122" s="23"/>
    </row>
    <row r="123" spans="1:25" ht="14.25" customHeight="1">
      <c r="A123" s="236">
        <v>1</v>
      </c>
      <c r="B123" s="237" t="s">
        <v>3127</v>
      </c>
      <c r="C123" s="22">
        <v>123</v>
      </c>
      <c r="D123" s="22">
        <v>10</v>
      </c>
      <c r="E123" s="241">
        <v>43604</v>
      </c>
      <c r="F123" s="121" t="str">
        <f>HYPERLINK("https://difabel.tempo.co/read/1206990/tempat-wudu-masjid-el-shifa-ciganjur-ramah-penyandang-disabilitas","sumber")</f>
        <v>sumber</v>
      </c>
      <c r="G123" s="223" t="s">
        <v>1</v>
      </c>
      <c r="H123" s="23" t="s">
        <v>3128</v>
      </c>
      <c r="I123" s="22">
        <v>2</v>
      </c>
      <c r="J123" s="22">
        <v>2</v>
      </c>
      <c r="K123" s="123" t="s">
        <v>3129</v>
      </c>
      <c r="L123" s="22">
        <v>0</v>
      </c>
      <c r="M123" s="22">
        <v>0</v>
      </c>
      <c r="N123" s="22">
        <v>0</v>
      </c>
      <c r="O123" s="22">
        <v>0</v>
      </c>
      <c r="P123" s="22">
        <v>0</v>
      </c>
      <c r="Q123" s="22" t="s">
        <v>21</v>
      </c>
      <c r="R123" s="22" t="s">
        <v>106</v>
      </c>
      <c r="S123" s="134"/>
      <c r="T123" s="22">
        <v>0</v>
      </c>
      <c r="U123" s="22">
        <v>0</v>
      </c>
      <c r="V123" s="22">
        <v>0</v>
      </c>
      <c r="W123" s="23"/>
      <c r="X123" s="23"/>
      <c r="Y123" s="23"/>
    </row>
    <row r="124" spans="1:25" ht="14.25" customHeight="1">
      <c r="A124" s="171">
        <v>2</v>
      </c>
      <c r="B124" s="239" t="s">
        <v>3130</v>
      </c>
      <c r="C124" s="25">
        <v>124</v>
      </c>
      <c r="D124" s="25">
        <v>8</v>
      </c>
      <c r="E124" s="242">
        <v>43610</v>
      </c>
      <c r="F124" s="115" t="str">
        <f>HYPERLINK("https://www.suara.com/news/2019/05/25/215456/banyak-korban-22-mei-bpn-komnas-ham-makan-gaji-buta-bubarkan-saja ","sumber")</f>
        <v>sumber</v>
      </c>
      <c r="G124" s="228" t="s">
        <v>1</v>
      </c>
      <c r="H124" s="26" t="s">
        <v>3131</v>
      </c>
      <c r="I124" s="25">
        <v>1</v>
      </c>
      <c r="J124" s="25">
        <v>2</v>
      </c>
      <c r="K124" s="124"/>
      <c r="L124" s="26"/>
      <c r="M124" s="26"/>
      <c r="N124" s="26"/>
      <c r="O124" s="26"/>
      <c r="P124" s="26"/>
      <c r="Q124" s="26"/>
      <c r="R124" s="26"/>
      <c r="S124" s="124"/>
      <c r="T124" s="26"/>
      <c r="U124" s="26"/>
      <c r="V124" s="26"/>
      <c r="W124" s="26"/>
      <c r="X124" s="26"/>
      <c r="Y124" s="25"/>
    </row>
    <row r="125" spans="1:25" ht="14.25" customHeight="1">
      <c r="A125" s="211">
        <v>1</v>
      </c>
      <c r="B125" s="46" t="s">
        <v>3132</v>
      </c>
      <c r="C125" s="33">
        <v>125</v>
      </c>
      <c r="D125" s="33">
        <v>1</v>
      </c>
      <c r="E125" s="243">
        <v>43604</v>
      </c>
      <c r="F125" s="130" t="str">
        <f>HYPERLINK("https://news.detik.com/berita-jawa-barat/d-4556080/puluhan-bobotoh-difabel-bandung-barat-bagi-takjil-gratis ","sumber")</f>
        <v>sumber</v>
      </c>
      <c r="G125" s="231" t="s">
        <v>1</v>
      </c>
      <c r="H125" s="33">
        <v>213</v>
      </c>
      <c r="I125" s="33">
        <v>2</v>
      </c>
      <c r="J125" s="33">
        <v>2</v>
      </c>
      <c r="K125" s="131" t="s">
        <v>3133</v>
      </c>
      <c r="L125" s="33">
        <v>0</v>
      </c>
      <c r="M125" s="33">
        <v>0</v>
      </c>
      <c r="N125" s="33">
        <v>0</v>
      </c>
      <c r="O125" s="33">
        <v>0</v>
      </c>
      <c r="P125" s="33">
        <v>0</v>
      </c>
      <c r="Q125" s="33">
        <v>1</v>
      </c>
      <c r="R125" s="33">
        <v>1</v>
      </c>
      <c r="S125" s="131"/>
      <c r="T125" s="33">
        <v>0</v>
      </c>
      <c r="U125" s="33">
        <v>0</v>
      </c>
      <c r="V125" s="33">
        <v>0</v>
      </c>
      <c r="W125" s="24"/>
      <c r="X125" s="24"/>
      <c r="Y125" s="33"/>
    </row>
    <row r="126" spans="1:25" ht="14.25" customHeight="1">
      <c r="A126" s="171">
        <v>2</v>
      </c>
      <c r="B126" s="239" t="s">
        <v>3134</v>
      </c>
      <c r="C126" s="25">
        <v>126</v>
      </c>
      <c r="D126" s="25">
        <v>8</v>
      </c>
      <c r="E126" s="242">
        <v>43612</v>
      </c>
      <c r="F126" s="115" t="str">
        <f>HYPERLINK("https://www.suara.com/entertainment/2019/05/27/121210/cerita-perjalanan-bisnis-ashanty-dari-ditipu-hingga-pilih-kuliah-lagi ","sumber")</f>
        <v>sumber</v>
      </c>
      <c r="G126" s="228" t="s">
        <v>1</v>
      </c>
      <c r="H126" s="26" t="s">
        <v>2987</v>
      </c>
      <c r="I126" s="25">
        <v>5</v>
      </c>
      <c r="J126" s="25">
        <v>2</v>
      </c>
      <c r="K126" s="124"/>
      <c r="L126" s="26"/>
      <c r="M126" s="26"/>
      <c r="N126" s="26"/>
      <c r="O126" s="26"/>
      <c r="P126" s="26"/>
      <c r="Q126" s="26"/>
      <c r="R126" s="26"/>
      <c r="S126" s="124"/>
      <c r="T126" s="26"/>
      <c r="U126" s="26"/>
      <c r="V126" s="26"/>
      <c r="W126" s="26"/>
      <c r="X126" s="26"/>
      <c r="Y126" s="25"/>
    </row>
    <row r="127" spans="1:25" ht="14.25" customHeight="1">
      <c r="A127" s="211">
        <v>1</v>
      </c>
      <c r="B127" s="46" t="s">
        <v>3135</v>
      </c>
      <c r="C127" s="33">
        <v>127</v>
      </c>
      <c r="D127" s="33">
        <v>10</v>
      </c>
      <c r="E127" s="249">
        <v>43615</v>
      </c>
      <c r="F127" s="130" t="str">
        <f>HYPERLINK("https://difabel.tempo.co/read/1210714/cara-pengguna-kursi-roda-menyetir-mobil ","sumber")</f>
        <v>sumber</v>
      </c>
      <c r="G127" s="231" t="s">
        <v>1</v>
      </c>
      <c r="H127" s="33">
        <v>295</v>
      </c>
      <c r="I127" s="33">
        <v>2</v>
      </c>
      <c r="J127" s="33">
        <v>2</v>
      </c>
      <c r="K127" s="131" t="s">
        <v>3136</v>
      </c>
      <c r="L127" s="33">
        <v>0</v>
      </c>
      <c r="M127" s="33">
        <v>0</v>
      </c>
      <c r="N127" s="33">
        <v>0</v>
      </c>
      <c r="O127" s="33">
        <v>0</v>
      </c>
      <c r="P127" s="33">
        <v>0</v>
      </c>
      <c r="Q127" s="33" t="s">
        <v>159</v>
      </c>
      <c r="R127" s="33" t="s">
        <v>160</v>
      </c>
      <c r="S127" s="131"/>
      <c r="T127" s="33">
        <v>0</v>
      </c>
      <c r="U127" s="33">
        <v>0</v>
      </c>
      <c r="V127" s="33">
        <v>0</v>
      </c>
      <c r="W127" s="24"/>
      <c r="X127" s="24"/>
      <c r="Y127" s="33"/>
    </row>
    <row r="128" spans="1:25" ht="14.25" customHeight="1">
      <c r="A128" s="171">
        <v>2</v>
      </c>
      <c r="B128" s="239" t="s">
        <v>3137</v>
      </c>
      <c r="C128" s="25">
        <v>128</v>
      </c>
      <c r="D128" s="25">
        <v>4</v>
      </c>
      <c r="E128" s="242">
        <v>43617</v>
      </c>
      <c r="F128" s="115" t="str">
        <f>HYPERLINK("https://www.liputan6.com/tekno/read/3981262/ani-yudhoyono-meninggal-dunia-ini-unggahan-terakhirnya-di-instagram ","sumber")</f>
        <v>sumber</v>
      </c>
      <c r="G128" s="228" t="s">
        <v>1</v>
      </c>
      <c r="H128" s="26" t="s">
        <v>3138</v>
      </c>
      <c r="I128" s="25">
        <v>5</v>
      </c>
      <c r="J128" s="25">
        <v>2</v>
      </c>
      <c r="K128" s="124"/>
      <c r="L128" s="26"/>
      <c r="M128" s="26"/>
      <c r="N128" s="26"/>
      <c r="O128" s="26"/>
      <c r="P128" s="26"/>
      <c r="Q128" s="26"/>
      <c r="R128" s="26"/>
      <c r="S128" s="124"/>
      <c r="T128" s="26"/>
      <c r="U128" s="26"/>
      <c r="V128" s="26"/>
      <c r="W128" s="26"/>
      <c r="X128" s="26"/>
      <c r="Y128" s="25"/>
    </row>
    <row r="129" spans="1:25" ht="14.25" customHeight="1">
      <c r="A129" s="250">
        <v>2</v>
      </c>
      <c r="B129" s="237" t="s">
        <v>2188</v>
      </c>
      <c r="C129" s="22">
        <v>129</v>
      </c>
      <c r="D129" s="22">
        <v>5</v>
      </c>
      <c r="E129" s="241">
        <v>43624</v>
      </c>
      <c r="F129" s="121" t="str">
        <f>HYPERLINK("https://tirto.id/104066-wisatawan-kunjungi-gunungkidul-saat-lebaran-2019-d9Al ","sumber")</f>
        <v>sumber</v>
      </c>
      <c r="G129" s="223" t="s">
        <v>1</v>
      </c>
      <c r="H129" s="23" t="s">
        <v>2882</v>
      </c>
      <c r="I129" s="22">
        <v>2</v>
      </c>
      <c r="J129" s="22">
        <v>2</v>
      </c>
      <c r="K129" s="123" t="s">
        <v>3139</v>
      </c>
      <c r="L129" s="22">
        <v>0</v>
      </c>
      <c r="M129" s="22">
        <v>0</v>
      </c>
      <c r="N129" s="22">
        <v>0</v>
      </c>
      <c r="O129" s="22">
        <v>0</v>
      </c>
      <c r="P129" s="22">
        <v>0</v>
      </c>
      <c r="Q129" s="22" t="s">
        <v>29</v>
      </c>
      <c r="R129" s="22" t="s">
        <v>29</v>
      </c>
      <c r="S129" s="123"/>
      <c r="T129" s="22">
        <v>0</v>
      </c>
      <c r="U129" s="22">
        <v>0</v>
      </c>
      <c r="V129" s="22">
        <v>0</v>
      </c>
      <c r="W129" s="23"/>
      <c r="X129" s="23"/>
      <c r="Y129" s="23"/>
    </row>
    <row r="130" spans="1:25" ht="14.25" customHeight="1">
      <c r="A130" s="236">
        <v>1</v>
      </c>
      <c r="B130" s="237" t="s">
        <v>3140</v>
      </c>
      <c r="C130" s="22">
        <v>130</v>
      </c>
      <c r="D130" s="22">
        <v>6</v>
      </c>
      <c r="E130" s="241">
        <v>43625</v>
      </c>
      <c r="F130" s="121" t="str">
        <f>HYPERLINK("https://entertainment.kompas.com/read/2019/06/09/125736510/melompat-dari-panggung-jungkook-bts-temui-penonton-berkursi-roda ","sumber")</f>
        <v>sumber</v>
      </c>
      <c r="G130" s="223" t="s">
        <v>1</v>
      </c>
      <c r="H130" s="23" t="s">
        <v>3141</v>
      </c>
      <c r="I130" s="22">
        <v>2</v>
      </c>
      <c r="J130" s="22">
        <v>2</v>
      </c>
      <c r="K130" s="123" t="s">
        <v>3142</v>
      </c>
      <c r="L130" s="22">
        <v>0</v>
      </c>
      <c r="M130" s="22">
        <v>0</v>
      </c>
      <c r="N130" s="22">
        <v>0</v>
      </c>
      <c r="O130" s="22">
        <v>0</v>
      </c>
      <c r="P130" s="22">
        <v>0</v>
      </c>
      <c r="Q130" s="22" t="s">
        <v>29</v>
      </c>
      <c r="R130" s="22" t="s">
        <v>29</v>
      </c>
      <c r="S130" s="123"/>
      <c r="T130" s="22">
        <v>0</v>
      </c>
      <c r="U130" s="22">
        <v>0</v>
      </c>
      <c r="V130" s="22">
        <v>0</v>
      </c>
      <c r="W130" s="23"/>
      <c r="X130" s="23"/>
      <c r="Y130" s="23"/>
    </row>
    <row r="131" spans="1:25" ht="14.25" customHeight="1">
      <c r="A131" s="171">
        <v>2</v>
      </c>
      <c r="B131" s="239" t="s">
        <v>3143</v>
      </c>
      <c r="C131" s="25">
        <v>131</v>
      </c>
      <c r="D131" s="25">
        <v>6</v>
      </c>
      <c r="E131" s="242">
        <v>43628</v>
      </c>
      <c r="F131" s="115" t="str">
        <f>HYPERLINK("https://properti.kompas.com/read/2019/06/12/121943921/sebelum-ibu-kota-direlokasi-belajarlah-dari-london ","sumber")</f>
        <v>sumber</v>
      </c>
      <c r="G131" s="228" t="s">
        <v>1</v>
      </c>
      <c r="H131" s="26" t="s">
        <v>3144</v>
      </c>
      <c r="I131" s="25">
        <v>5</v>
      </c>
      <c r="J131" s="25">
        <v>2</v>
      </c>
      <c r="K131" s="124"/>
      <c r="L131" s="26"/>
      <c r="M131" s="26"/>
      <c r="N131" s="26"/>
      <c r="O131" s="26"/>
      <c r="P131" s="26"/>
      <c r="Q131" s="26"/>
      <c r="R131" s="26"/>
      <c r="S131" s="124"/>
      <c r="T131" s="26"/>
      <c r="U131" s="26"/>
      <c r="V131" s="26"/>
      <c r="W131" s="26"/>
      <c r="X131" s="26"/>
      <c r="Y131" s="25"/>
    </row>
    <row r="132" spans="1:25" ht="14.25" customHeight="1">
      <c r="A132" s="211">
        <v>1</v>
      </c>
      <c r="B132" s="46" t="s">
        <v>3145</v>
      </c>
      <c r="C132" s="33">
        <v>132</v>
      </c>
      <c r="D132" s="33">
        <v>4</v>
      </c>
      <c r="E132" s="243">
        <v>43621</v>
      </c>
      <c r="F132" s="130" t="str">
        <f>HYPERLINK("https://www.liputan6.com/bisnis/read/3983959/open-house-gubernur-bi-sambut-komunitas-penyandang-disabilitas ","sumber")</f>
        <v>sumber</v>
      </c>
      <c r="G132" s="231" t="s">
        <v>1</v>
      </c>
      <c r="H132" s="33">
        <v>543</v>
      </c>
      <c r="I132" s="33">
        <v>3</v>
      </c>
      <c r="J132" s="33">
        <v>2</v>
      </c>
      <c r="K132" s="131" t="s">
        <v>3146</v>
      </c>
      <c r="L132" s="33">
        <v>0</v>
      </c>
      <c r="M132" s="33">
        <v>0</v>
      </c>
      <c r="N132" s="33">
        <v>0</v>
      </c>
      <c r="O132" s="33">
        <v>0</v>
      </c>
      <c r="P132" s="33">
        <v>0</v>
      </c>
      <c r="Q132" s="33" t="s">
        <v>3147</v>
      </c>
      <c r="R132" s="131" t="s">
        <v>57</v>
      </c>
      <c r="S132" s="131"/>
      <c r="T132" s="33">
        <v>0</v>
      </c>
      <c r="U132" s="33">
        <v>0</v>
      </c>
      <c r="V132" s="33">
        <v>0</v>
      </c>
      <c r="W132" s="24"/>
      <c r="X132" s="24"/>
      <c r="Y132" s="33"/>
    </row>
    <row r="133" spans="1:25" ht="14.25" customHeight="1">
      <c r="A133" s="211">
        <v>1</v>
      </c>
      <c r="B133" s="46" t="s">
        <v>1296</v>
      </c>
      <c r="C133" s="33">
        <v>133</v>
      </c>
      <c r="D133" s="33">
        <v>9</v>
      </c>
      <c r="E133" s="243">
        <v>43635</v>
      </c>
      <c r="F133" s="130" t="str">
        <f>HYPERLINK("https://nasional.republika.co.id/berita/nasional/daerah/ptchht396/pertamina-ru-vi-latih-kemandirian-siswa-disabilitas ","sumber")</f>
        <v>sumber</v>
      </c>
      <c r="G133" s="231" t="s">
        <v>1</v>
      </c>
      <c r="H133" s="33">
        <v>282</v>
      </c>
      <c r="I133" s="33">
        <v>3</v>
      </c>
      <c r="J133" s="33">
        <v>2</v>
      </c>
      <c r="K133" s="131" t="s">
        <v>3148</v>
      </c>
      <c r="L133" s="33">
        <v>0</v>
      </c>
      <c r="M133" s="33">
        <v>0</v>
      </c>
      <c r="N133" s="33">
        <v>0</v>
      </c>
      <c r="O133" s="33">
        <v>0</v>
      </c>
      <c r="P133" s="33">
        <v>0</v>
      </c>
      <c r="Q133" s="33" t="s">
        <v>1655</v>
      </c>
      <c r="R133" s="33" t="s">
        <v>1552</v>
      </c>
      <c r="S133" s="131" t="s">
        <v>3149</v>
      </c>
      <c r="T133" s="33">
        <v>1</v>
      </c>
      <c r="U133" s="33">
        <v>0</v>
      </c>
      <c r="V133" s="33">
        <v>0</v>
      </c>
      <c r="W133" s="24"/>
      <c r="X133" s="24"/>
      <c r="Y133" s="33"/>
    </row>
    <row r="134" spans="1:25" ht="14.25" customHeight="1">
      <c r="A134" s="211">
        <v>1</v>
      </c>
      <c r="B134" s="46" t="s">
        <v>1326</v>
      </c>
      <c r="C134" s="33">
        <v>134</v>
      </c>
      <c r="D134" s="33">
        <v>10</v>
      </c>
      <c r="E134" s="243">
        <v>43672</v>
      </c>
      <c r="F134" s="130" t="str">
        <f>HYPERLINK("https://gayahidup.republika.co.id/berita/pv7b71459/sulit-konsentrasi-bisa-jadi-tanda-disabilitas-psikososial ","sumber")</f>
        <v>sumber</v>
      </c>
      <c r="G134" s="231" t="s">
        <v>1</v>
      </c>
      <c r="H134" s="33">
        <v>37</v>
      </c>
      <c r="I134" s="33">
        <v>2</v>
      </c>
      <c r="J134" s="33">
        <v>2</v>
      </c>
      <c r="K134" s="131" t="s">
        <v>1328</v>
      </c>
      <c r="L134" s="33">
        <v>0</v>
      </c>
      <c r="M134" s="33">
        <v>0</v>
      </c>
      <c r="N134" s="33">
        <v>0</v>
      </c>
      <c r="O134" s="33">
        <v>0</v>
      </c>
      <c r="P134" s="33">
        <v>0</v>
      </c>
      <c r="Q134" s="33" t="s">
        <v>160</v>
      </c>
      <c r="R134" s="33" t="s">
        <v>182</v>
      </c>
      <c r="S134" s="131"/>
      <c r="T134" s="33">
        <v>0</v>
      </c>
      <c r="U134" s="33">
        <v>0</v>
      </c>
      <c r="V134" s="33">
        <v>0</v>
      </c>
      <c r="W134" s="24"/>
      <c r="X134" s="24"/>
      <c r="Y134" s="33"/>
    </row>
    <row r="135" spans="1:25" ht="14.25" customHeight="1">
      <c r="A135" s="211">
        <v>1</v>
      </c>
      <c r="B135" s="46" t="s">
        <v>3150</v>
      </c>
      <c r="C135" s="33">
        <v>135</v>
      </c>
      <c r="D135" s="33">
        <v>9</v>
      </c>
      <c r="E135" s="249">
        <v>43632</v>
      </c>
      <c r="F135" s="130" t="str">
        <f>HYPERLINK("https://nasional.republika.co.id/berita/nasional/daerah/pt6w7g409/akui-sensen-sebagai-rasul-warga-garut-diamankan ","sumber")</f>
        <v>sumber</v>
      </c>
      <c r="G135" s="231" t="s">
        <v>1</v>
      </c>
      <c r="H135" s="33">
        <v>234</v>
      </c>
      <c r="I135" s="33">
        <v>1</v>
      </c>
      <c r="J135" s="33">
        <v>2</v>
      </c>
      <c r="K135" s="131" t="s">
        <v>3151</v>
      </c>
      <c r="L135" s="33">
        <v>0</v>
      </c>
      <c r="M135" s="33">
        <v>-1</v>
      </c>
      <c r="N135" s="33">
        <v>0</v>
      </c>
      <c r="O135" s="33">
        <v>0</v>
      </c>
      <c r="P135" s="33">
        <v>0</v>
      </c>
      <c r="Q135" s="33">
        <v>0</v>
      </c>
      <c r="R135" s="33">
        <v>0</v>
      </c>
      <c r="S135" s="131"/>
      <c r="T135" s="33">
        <v>0</v>
      </c>
      <c r="U135" s="33">
        <v>0</v>
      </c>
      <c r="V135" s="33">
        <v>0</v>
      </c>
      <c r="W135" s="24"/>
      <c r="X135" s="24"/>
      <c r="Y135" s="33"/>
    </row>
    <row r="136" spans="1:25" ht="14.25" customHeight="1">
      <c r="A136" s="171">
        <v>2</v>
      </c>
      <c r="B136" s="239" t="s">
        <v>3152</v>
      </c>
      <c r="C136" s="25">
        <v>136</v>
      </c>
      <c r="D136" s="25">
        <v>5</v>
      </c>
      <c r="E136" s="242">
        <v>43632</v>
      </c>
      <c r="F136" s="115" t="str">
        <f>HYPERLINK("https://tirto.id/kronologi-penyalahgunaan-izin-berobat-setnov-menurut-ditjen-pas-ectk ","sumber")</f>
        <v>sumber</v>
      </c>
      <c r="G136" s="228" t="s">
        <v>1</v>
      </c>
      <c r="H136" s="26" t="s">
        <v>3153</v>
      </c>
      <c r="I136" s="25">
        <v>2</v>
      </c>
      <c r="J136" s="25">
        <v>2</v>
      </c>
      <c r="K136" s="124"/>
      <c r="L136" s="26"/>
      <c r="M136" s="26"/>
      <c r="N136" s="26"/>
      <c r="O136" s="26"/>
      <c r="P136" s="26"/>
      <c r="Q136" s="26"/>
      <c r="R136" s="26"/>
      <c r="S136" s="124"/>
      <c r="T136" s="26"/>
      <c r="U136" s="26"/>
      <c r="V136" s="26"/>
      <c r="W136" s="26"/>
      <c r="X136" s="26"/>
      <c r="Y136" s="25"/>
    </row>
    <row r="137" spans="1:25" ht="14.25" customHeight="1">
      <c r="A137" s="211">
        <v>1</v>
      </c>
      <c r="B137" s="46" t="s">
        <v>3154</v>
      </c>
      <c r="C137" s="33">
        <v>137</v>
      </c>
      <c r="D137" s="33">
        <v>7</v>
      </c>
      <c r="E137" s="249">
        <v>43632</v>
      </c>
      <c r="F137" s="130" t="str">
        <f>HYPERLINK("http://www.tribunnews.com/seleb/2019/06/16/baim-wong-akan-temui-netizen-yang-terima-tamu-orang-gila ","sumber")</f>
        <v>sumber</v>
      </c>
      <c r="G137" s="231" t="s">
        <v>1</v>
      </c>
      <c r="H137" s="33">
        <v>249</v>
      </c>
      <c r="I137" s="33">
        <v>2</v>
      </c>
      <c r="J137" s="33">
        <v>2</v>
      </c>
      <c r="K137" s="131" t="s">
        <v>1302</v>
      </c>
      <c r="L137" s="33">
        <v>0</v>
      </c>
      <c r="M137" s="33">
        <v>0</v>
      </c>
      <c r="N137" s="33">
        <v>0</v>
      </c>
      <c r="O137" s="33">
        <v>0</v>
      </c>
      <c r="P137" s="33">
        <v>0</v>
      </c>
      <c r="Q137" s="33">
        <v>0</v>
      </c>
      <c r="R137" s="33">
        <v>0</v>
      </c>
      <c r="S137" s="131" t="s">
        <v>3155</v>
      </c>
      <c r="T137" s="33">
        <v>4</v>
      </c>
      <c r="U137" s="33">
        <v>0</v>
      </c>
      <c r="V137" s="33">
        <v>0</v>
      </c>
      <c r="W137" s="24"/>
      <c r="X137" s="24"/>
      <c r="Y137" s="33"/>
    </row>
    <row r="138" spans="1:25" ht="14.25" customHeight="1">
      <c r="A138" s="236">
        <v>1</v>
      </c>
      <c r="B138" s="237" t="s">
        <v>574</v>
      </c>
      <c r="C138" s="22">
        <v>138</v>
      </c>
      <c r="D138" s="22">
        <v>8</v>
      </c>
      <c r="E138" s="241">
        <v>43635</v>
      </c>
      <c r="F138" s="121" t="str">
        <f>HYPERLINK("https://jatim.suara.com/read/2019/06/19/072916/ayah-setahun-hilang-misterius-polisi-temukan-gundukan-aneh-di-rumah-anak","sumber")</f>
        <v>sumber</v>
      </c>
      <c r="G138" s="223" t="s">
        <v>1</v>
      </c>
      <c r="H138" s="23" t="s">
        <v>3156</v>
      </c>
      <c r="I138" s="22">
        <v>1</v>
      </c>
      <c r="J138" s="22">
        <v>2</v>
      </c>
      <c r="K138" s="123" t="s">
        <v>3157</v>
      </c>
      <c r="L138" s="22">
        <v>0</v>
      </c>
      <c r="M138" s="22">
        <v>0</v>
      </c>
      <c r="N138" s="22">
        <v>0</v>
      </c>
      <c r="O138" s="22">
        <v>0</v>
      </c>
      <c r="P138" s="22">
        <v>-1</v>
      </c>
      <c r="Q138" s="22">
        <v>0</v>
      </c>
      <c r="R138" s="22">
        <v>0</v>
      </c>
      <c r="S138" s="123"/>
      <c r="T138" s="22">
        <v>0</v>
      </c>
      <c r="U138" s="22">
        <v>0</v>
      </c>
      <c r="V138" s="22">
        <v>0</v>
      </c>
      <c r="W138" s="23"/>
      <c r="X138" s="23"/>
      <c r="Y138" s="22"/>
    </row>
    <row r="139" spans="1:25" ht="14.25" customHeight="1">
      <c r="A139" s="171">
        <v>2</v>
      </c>
      <c r="B139" s="239" t="s">
        <v>3158</v>
      </c>
      <c r="C139" s="25">
        <v>139</v>
      </c>
      <c r="D139" s="25">
        <v>1</v>
      </c>
      <c r="E139" s="242">
        <v>43636</v>
      </c>
      <c r="F139" s="115" t="str">
        <f>HYPERLINK("https://hot.detik.com/celeb/d-4593956/omesh-dan-dian-ayu-lestari-suka-beli-motor-langka-untuk-investasi ","sumber")</f>
        <v>sumber</v>
      </c>
      <c r="G139" s="228" t="s">
        <v>1</v>
      </c>
      <c r="H139" s="26" t="s">
        <v>3159</v>
      </c>
      <c r="I139" s="25">
        <v>2</v>
      </c>
      <c r="J139" s="25">
        <v>2</v>
      </c>
      <c r="K139" s="124"/>
      <c r="L139" s="26"/>
      <c r="M139" s="26"/>
      <c r="N139" s="26"/>
      <c r="O139" s="26"/>
      <c r="P139" s="26"/>
      <c r="Q139" s="26"/>
      <c r="R139" s="26"/>
      <c r="S139" s="124"/>
      <c r="T139" s="26"/>
      <c r="U139" s="26"/>
      <c r="V139" s="26"/>
      <c r="W139" s="26"/>
      <c r="X139" s="26"/>
      <c r="Y139" s="25"/>
    </row>
    <row r="140" spans="1:25" ht="14.25" customHeight="1">
      <c r="A140" s="171">
        <v>2</v>
      </c>
      <c r="B140" s="239" t="s">
        <v>3160</v>
      </c>
      <c r="C140" s="25">
        <v>140</v>
      </c>
      <c r="D140" s="25">
        <v>3</v>
      </c>
      <c r="E140" s="242">
        <v>43636</v>
      </c>
      <c r="F140" s="115" t="str">
        <f>HYPERLINK("https://lifestyle.okezone.com/read/2019/06/20/31/2068596/layaknya-amanda-winarko-6-zodiak-ini-ditakdirkan-jadi-orang-kaya?page=3","sumber")</f>
        <v>sumber</v>
      </c>
      <c r="G140" s="228" t="s">
        <v>1</v>
      </c>
      <c r="H140" s="26" t="s">
        <v>3161</v>
      </c>
      <c r="I140" s="25">
        <v>5</v>
      </c>
      <c r="J140" s="25">
        <v>2</v>
      </c>
      <c r="K140" s="124"/>
      <c r="L140" s="26"/>
      <c r="M140" s="26"/>
      <c r="N140" s="26"/>
      <c r="O140" s="26"/>
      <c r="P140" s="26"/>
      <c r="Q140" s="26"/>
      <c r="R140" s="26"/>
      <c r="S140" s="124"/>
      <c r="T140" s="26"/>
      <c r="U140" s="26"/>
      <c r="V140" s="26"/>
      <c r="W140" s="26"/>
      <c r="X140" s="26"/>
      <c r="Y140" s="25"/>
    </row>
    <row r="141" spans="1:25" ht="14.25" customHeight="1">
      <c r="A141" s="171">
        <v>2</v>
      </c>
      <c r="B141" s="239" t="s">
        <v>3162</v>
      </c>
      <c r="C141" s="25">
        <v>141</v>
      </c>
      <c r="D141" s="25">
        <v>4</v>
      </c>
      <c r="E141" s="242">
        <v>43637</v>
      </c>
      <c r="F141" s="115" t="str">
        <f>HYPERLINK("https://hot.liputan6.com/read/3994985/jarang-disadari-ini-6-jenis-penyakit-keturunan-yang-harus-diwaspadai ","sumber")</f>
        <v>sumber</v>
      </c>
      <c r="G141" s="228" t="s">
        <v>1</v>
      </c>
      <c r="H141" s="26" t="s">
        <v>3163</v>
      </c>
      <c r="I141" s="25">
        <v>2</v>
      </c>
      <c r="J141" s="25">
        <v>2</v>
      </c>
      <c r="K141" s="116" t="s">
        <v>3164</v>
      </c>
      <c r="L141" s="25">
        <v>0</v>
      </c>
      <c r="M141" s="25">
        <v>0</v>
      </c>
      <c r="N141" s="25">
        <v>0</v>
      </c>
      <c r="O141" s="25">
        <v>0</v>
      </c>
      <c r="P141" s="25">
        <v>0</v>
      </c>
      <c r="Q141" s="25" t="s">
        <v>106</v>
      </c>
      <c r="R141" s="25" t="s">
        <v>21</v>
      </c>
      <c r="S141" s="116" t="s">
        <v>3165</v>
      </c>
      <c r="T141" s="25">
        <v>1</v>
      </c>
      <c r="U141" s="26"/>
      <c r="V141" s="26"/>
      <c r="W141" s="26"/>
      <c r="X141" s="26"/>
      <c r="Y141" s="26"/>
    </row>
    <row r="142" spans="1:25" ht="14.25" customHeight="1">
      <c r="A142" s="171">
        <v>2</v>
      </c>
      <c r="B142" s="239" t="s">
        <v>3166</v>
      </c>
      <c r="C142" s="25">
        <v>142</v>
      </c>
      <c r="D142" s="25">
        <v>4</v>
      </c>
      <c r="E142" s="242">
        <v>43639</v>
      </c>
      <c r="F142" s="115" t="str">
        <f>HYPERLINK("https://www.liputan6.com/bola/read/3996248/prediksi-qatar-vs-argentina-jalan-terakhir-ke-perempat-final-copa-america-2019 ","sumber")</f>
        <v>sumber</v>
      </c>
      <c r="G142" s="228" t="s">
        <v>1</v>
      </c>
      <c r="H142" s="26" t="s">
        <v>3167</v>
      </c>
      <c r="I142" s="25">
        <v>5</v>
      </c>
      <c r="J142" s="25">
        <v>2</v>
      </c>
      <c r="K142" s="124"/>
      <c r="L142" s="26"/>
      <c r="M142" s="26"/>
      <c r="N142" s="26"/>
      <c r="O142" s="26"/>
      <c r="P142" s="26"/>
      <c r="Q142" s="26"/>
      <c r="R142" s="26"/>
      <c r="S142" s="124"/>
      <c r="T142" s="26"/>
      <c r="U142" s="26"/>
      <c r="V142" s="26"/>
      <c r="W142" s="26"/>
      <c r="X142" s="26"/>
      <c r="Y142" s="25"/>
    </row>
    <row r="143" spans="1:25" ht="14.25" customHeight="1">
      <c r="A143" s="236">
        <v>1</v>
      </c>
      <c r="B143" s="237" t="s">
        <v>3168</v>
      </c>
      <c r="C143" s="22">
        <v>143</v>
      </c>
      <c r="D143" s="22">
        <v>3</v>
      </c>
      <c r="E143" s="241">
        <v>43639</v>
      </c>
      <c r="F143" s="121" t="str">
        <f>HYPERLINK("https://news.okezone.com/read/2019/06/22/340/2069748/sedang-bersihkan-lingkungan-gereja-pendeta-ini-ditusuk-otk ","sumber")</f>
        <v>sumber</v>
      </c>
      <c r="G143" s="223" t="s">
        <v>1</v>
      </c>
      <c r="H143" s="23" t="s">
        <v>3169</v>
      </c>
      <c r="I143" s="22">
        <v>1</v>
      </c>
      <c r="J143" s="22">
        <v>2</v>
      </c>
      <c r="K143" s="123" t="s">
        <v>3170</v>
      </c>
      <c r="L143" s="22">
        <v>0</v>
      </c>
      <c r="M143" s="22">
        <v>1</v>
      </c>
      <c r="N143" s="22">
        <v>0</v>
      </c>
      <c r="O143" s="22">
        <v>0</v>
      </c>
      <c r="P143" s="22">
        <v>0</v>
      </c>
      <c r="Q143" s="185" t="s">
        <v>29</v>
      </c>
      <c r="R143" s="22" t="s">
        <v>29</v>
      </c>
      <c r="S143" s="123" t="s">
        <v>1247</v>
      </c>
      <c r="T143" s="22">
        <v>1</v>
      </c>
      <c r="U143" s="22">
        <v>0</v>
      </c>
      <c r="V143" s="22">
        <v>0</v>
      </c>
      <c r="W143" s="23"/>
      <c r="X143" s="23"/>
      <c r="Y143" s="22"/>
    </row>
    <row r="144" spans="1:25" ht="14.25" customHeight="1">
      <c r="A144" s="236">
        <v>1</v>
      </c>
      <c r="B144" s="237" t="s">
        <v>3171</v>
      </c>
      <c r="C144" s="22">
        <v>144</v>
      </c>
      <c r="D144" s="22">
        <v>10</v>
      </c>
      <c r="E144" s="241">
        <v>43651</v>
      </c>
      <c r="F144" s="121" t="str">
        <f>HYPERLINK("https://cantik.tempo.co/read/1221589/gejala-skizofrenia-ada-yang-positif-dan-negatif ","sumber")</f>
        <v>sumber</v>
      </c>
      <c r="G144" s="223" t="s">
        <v>1</v>
      </c>
      <c r="H144" s="23" t="s">
        <v>3172</v>
      </c>
      <c r="I144" s="22">
        <v>2</v>
      </c>
      <c r="J144" s="22">
        <v>2</v>
      </c>
      <c r="K144" s="123" t="s">
        <v>3173</v>
      </c>
      <c r="L144" s="22">
        <v>0</v>
      </c>
      <c r="M144" s="22">
        <v>0</v>
      </c>
      <c r="N144" s="22">
        <v>0</v>
      </c>
      <c r="O144" s="22">
        <v>0</v>
      </c>
      <c r="P144" s="22">
        <v>0</v>
      </c>
      <c r="Q144" s="22">
        <v>0</v>
      </c>
      <c r="R144" s="22">
        <v>0</v>
      </c>
      <c r="S144" s="134"/>
      <c r="T144" s="22">
        <v>0</v>
      </c>
      <c r="U144" s="22">
        <v>0</v>
      </c>
      <c r="V144" s="22">
        <v>1</v>
      </c>
      <c r="W144" s="23"/>
      <c r="X144" s="23"/>
      <c r="Y144" s="22"/>
    </row>
    <row r="145" spans="1:25" ht="14.25" customHeight="1">
      <c r="A145" s="171">
        <v>2</v>
      </c>
      <c r="B145" s="239" t="s">
        <v>3174</v>
      </c>
      <c r="C145" s="25">
        <v>145</v>
      </c>
      <c r="D145" s="25">
        <v>9</v>
      </c>
      <c r="E145" s="242">
        <v>43656</v>
      </c>
      <c r="F145" s="115" t="str">
        <f>HYPERLINK("https://khazanah.republika.co.id/berita/pufbh0320/6-rekomendasi-ijtima-ulama-alquran-perlu-tafsir-difabel ","sumber")</f>
        <v>sumber</v>
      </c>
      <c r="G145" s="228" t="s">
        <v>1</v>
      </c>
      <c r="H145" s="26" t="s">
        <v>3175</v>
      </c>
      <c r="I145" s="25">
        <v>2</v>
      </c>
      <c r="J145" s="25">
        <v>2</v>
      </c>
      <c r="K145" s="124"/>
      <c r="L145" s="26"/>
      <c r="M145" s="26"/>
      <c r="N145" s="26"/>
      <c r="O145" s="26"/>
      <c r="P145" s="26"/>
      <c r="Q145" s="26"/>
      <c r="R145" s="26"/>
      <c r="S145" s="124"/>
      <c r="T145" s="26"/>
      <c r="U145" s="26"/>
      <c r="V145" s="26"/>
      <c r="W145" s="26"/>
      <c r="X145" s="26"/>
      <c r="Y145" s="26"/>
    </row>
    <row r="146" spans="1:25" ht="14.25" customHeight="1">
      <c r="A146" s="211">
        <v>1</v>
      </c>
      <c r="B146" s="46" t="s">
        <v>3176</v>
      </c>
      <c r="C146" s="33">
        <v>146</v>
      </c>
      <c r="D146" s="33">
        <v>4</v>
      </c>
      <c r="E146" s="243">
        <v>43676</v>
      </c>
      <c r="F146" s="130" t="str">
        <f>HYPERLINK("https://www.liputan6.com/health/read/4025322/menpora-kunjungi-diklat-paskibraka-nasional-2019 ","sumber")</f>
        <v>sumber</v>
      </c>
      <c r="G146" s="231" t="s">
        <v>1</v>
      </c>
      <c r="H146" s="33">
        <v>310</v>
      </c>
      <c r="I146" s="33">
        <v>3</v>
      </c>
      <c r="J146" s="33">
        <v>2</v>
      </c>
      <c r="K146" s="131" t="s">
        <v>3177</v>
      </c>
      <c r="L146" s="33">
        <v>0</v>
      </c>
      <c r="M146" s="33">
        <v>0</v>
      </c>
      <c r="N146" s="33">
        <v>0</v>
      </c>
      <c r="O146" s="33">
        <v>0</v>
      </c>
      <c r="P146" s="33">
        <v>0</v>
      </c>
      <c r="Q146" s="33" t="s">
        <v>87</v>
      </c>
      <c r="R146" s="33" t="s">
        <v>182</v>
      </c>
      <c r="S146" s="131"/>
      <c r="T146" s="33">
        <v>0</v>
      </c>
      <c r="U146" s="33">
        <v>0</v>
      </c>
      <c r="V146" s="33">
        <v>0</v>
      </c>
      <c r="W146" s="24"/>
      <c r="X146" s="24"/>
      <c r="Y146" s="33"/>
    </row>
    <row r="147" spans="1:25" ht="14.25" customHeight="1">
      <c r="A147" s="211">
        <v>1</v>
      </c>
      <c r="B147" s="46" t="s">
        <v>2213</v>
      </c>
      <c r="C147" s="33">
        <v>147</v>
      </c>
      <c r="D147" s="33">
        <v>3</v>
      </c>
      <c r="E147" s="243">
        <v>43649</v>
      </c>
      <c r="F147" s="130" t="str">
        <f>HYPERLINK("https://news.okezone.com/read/2019/07/03/338/2074243/perempuan-pembawa-anjing-ke-masjid-tak-wajib-di-bap ","sumber")</f>
        <v>sumber</v>
      </c>
      <c r="G147" s="231" t="s">
        <v>1</v>
      </c>
      <c r="H147" s="33">
        <v>177</v>
      </c>
      <c r="I147" s="33">
        <v>1</v>
      </c>
      <c r="J147" s="33">
        <v>2</v>
      </c>
      <c r="K147" s="131" t="s">
        <v>3178</v>
      </c>
      <c r="L147" s="33">
        <v>0</v>
      </c>
      <c r="M147" s="33">
        <v>-1</v>
      </c>
      <c r="N147" s="33">
        <v>0</v>
      </c>
      <c r="O147" s="33">
        <v>0</v>
      </c>
      <c r="P147" s="33">
        <v>0</v>
      </c>
      <c r="Q147" s="33">
        <v>0</v>
      </c>
      <c r="R147" s="33">
        <v>0</v>
      </c>
      <c r="S147" s="131"/>
      <c r="T147" s="33">
        <v>0</v>
      </c>
      <c r="U147" s="33">
        <v>0</v>
      </c>
      <c r="V147" s="33">
        <v>0</v>
      </c>
      <c r="W147" s="24"/>
      <c r="X147" s="24"/>
      <c r="Y147" s="33"/>
    </row>
    <row r="148" spans="1:25" ht="14.25" customHeight="1">
      <c r="A148" s="236">
        <v>1</v>
      </c>
      <c r="B148" s="237" t="s">
        <v>3179</v>
      </c>
      <c r="C148" s="22">
        <v>148</v>
      </c>
      <c r="D148" s="22">
        <v>8</v>
      </c>
      <c r="E148" s="241">
        <v>43665</v>
      </c>
      <c r="F148" s="121" t="str">
        <f>HYPERLINK("https://jabar.suara.com/read/2019/07/19/212509/kondisi-wawan-game-mulai-membaik-sudah-tak-buang-hajat-sembarangan-lagi ","sumber")</f>
        <v>sumber</v>
      </c>
      <c r="G148" s="223" t="s">
        <v>1</v>
      </c>
      <c r="H148" s="23" t="s">
        <v>3180</v>
      </c>
      <c r="I148" s="22">
        <v>2</v>
      </c>
      <c r="J148" s="22">
        <v>2</v>
      </c>
      <c r="K148" s="123" t="s">
        <v>3181</v>
      </c>
      <c r="L148" s="22">
        <v>0</v>
      </c>
      <c r="M148" s="22">
        <v>0</v>
      </c>
      <c r="N148" s="22">
        <v>0</v>
      </c>
      <c r="O148" s="22">
        <v>0</v>
      </c>
      <c r="P148" s="22">
        <v>0</v>
      </c>
      <c r="Q148" s="22" t="s">
        <v>68</v>
      </c>
      <c r="R148" s="22" t="s">
        <v>29</v>
      </c>
      <c r="S148" s="134"/>
      <c r="T148" s="22">
        <v>0</v>
      </c>
      <c r="U148" s="22">
        <v>0</v>
      </c>
      <c r="V148" s="22">
        <v>0</v>
      </c>
      <c r="W148" s="23"/>
      <c r="X148" s="23"/>
      <c r="Y148" s="22"/>
    </row>
    <row r="149" spans="1:25" ht="14.25" customHeight="1">
      <c r="A149" s="171">
        <v>2</v>
      </c>
      <c r="B149" s="239" t="s">
        <v>3182</v>
      </c>
      <c r="C149" s="25">
        <v>149</v>
      </c>
      <c r="D149" s="25">
        <v>3</v>
      </c>
      <c r="E149" s="242">
        <v>43666</v>
      </c>
      <c r="F149" s="115" t="str">
        <f>HYPERLINK("https://news.okezone.com/read/2019/07/19/18/2081177/cacat-dan-tidak-bisa-berenang-ikan-mas-koki-ini-dibuatkan-kursi-roda","sumber")</f>
        <v>sumber</v>
      </c>
      <c r="G149" s="228" t="s">
        <v>1</v>
      </c>
      <c r="H149" s="26" t="s">
        <v>3082</v>
      </c>
      <c r="I149" s="25">
        <v>2</v>
      </c>
      <c r="J149" s="25">
        <v>2</v>
      </c>
      <c r="K149" s="124"/>
      <c r="L149" s="26"/>
      <c r="M149" s="26"/>
      <c r="N149" s="26"/>
      <c r="O149" s="26"/>
      <c r="P149" s="26"/>
      <c r="Q149" s="26"/>
      <c r="R149" s="26"/>
      <c r="S149" s="124"/>
      <c r="T149" s="26"/>
      <c r="U149" s="26"/>
      <c r="V149" s="26"/>
      <c r="W149" s="26"/>
      <c r="X149" s="26"/>
      <c r="Y149" s="25"/>
    </row>
    <row r="150" spans="1:25" ht="14.25" customHeight="1">
      <c r="A150" s="171">
        <v>2</v>
      </c>
      <c r="B150" s="239" t="s">
        <v>3183</v>
      </c>
      <c r="C150" s="25">
        <v>150</v>
      </c>
      <c r="D150" s="25">
        <v>4</v>
      </c>
      <c r="E150" s="242">
        <v>43667</v>
      </c>
      <c r="F150" s="115" t="str">
        <f>HYPERLINK("https://www.liputan6.com/showbiz/read/4017768/live-streaming-sctv-sinetron-cinta-buta-episode-minggu-21-juli-2019 ","sumber")</f>
        <v>sumber</v>
      </c>
      <c r="G150" s="228" t="s">
        <v>1</v>
      </c>
      <c r="H150" s="26" t="s">
        <v>3184</v>
      </c>
      <c r="I150" s="25">
        <v>5</v>
      </c>
      <c r="J150" s="25">
        <v>2</v>
      </c>
      <c r="K150" s="124"/>
      <c r="L150" s="26"/>
      <c r="M150" s="26"/>
      <c r="N150" s="26"/>
      <c r="O150" s="26"/>
      <c r="P150" s="26"/>
      <c r="Q150" s="26"/>
      <c r="R150" s="26"/>
      <c r="S150" s="124"/>
      <c r="T150" s="26"/>
      <c r="U150" s="26"/>
      <c r="V150" s="26"/>
      <c r="W150" s="26"/>
      <c r="X150" s="26"/>
      <c r="Y150" s="25"/>
    </row>
    <row r="151" spans="1:25" ht="14.25" customHeight="1">
      <c r="A151" s="211">
        <v>1</v>
      </c>
      <c r="B151" s="46" t="s">
        <v>3185</v>
      </c>
      <c r="C151" s="33">
        <v>151</v>
      </c>
      <c r="D151" s="33">
        <v>7</v>
      </c>
      <c r="E151" s="249">
        <v>43669</v>
      </c>
      <c r="F151" s="130" t="str">
        <f>HYPERLINK("http://www.tribunnews.com/internasional/2019/07/02/guyonan-pm-abe-saat-makan-malam-g20-dikritik-keras-banyak-anggota-masyarakat-jepang ","sumber")</f>
        <v>sumber</v>
      </c>
      <c r="G151" s="231" t="s">
        <v>1</v>
      </c>
      <c r="H151" s="33">
        <v>241</v>
      </c>
      <c r="I151" s="33">
        <v>1</v>
      </c>
      <c r="J151" s="33">
        <v>2</v>
      </c>
      <c r="K151" s="131" t="s">
        <v>3186</v>
      </c>
      <c r="L151" s="33">
        <v>0</v>
      </c>
      <c r="M151" s="33">
        <v>1</v>
      </c>
      <c r="N151" s="33">
        <v>0</v>
      </c>
      <c r="O151" s="33">
        <v>0</v>
      </c>
      <c r="P151" s="33">
        <v>0</v>
      </c>
      <c r="Q151" s="255" t="s">
        <v>855</v>
      </c>
      <c r="R151" s="255" t="s">
        <v>3187</v>
      </c>
      <c r="S151" s="131"/>
      <c r="T151" s="33">
        <v>0</v>
      </c>
      <c r="U151" s="33">
        <v>0</v>
      </c>
      <c r="V151" s="33">
        <v>0</v>
      </c>
      <c r="W151" s="24"/>
      <c r="X151" s="24"/>
      <c r="Y151" s="33"/>
    </row>
    <row r="152" spans="1:25" ht="14.25" customHeight="1">
      <c r="A152" s="171">
        <v>2</v>
      </c>
      <c r="B152" s="239" t="s">
        <v>3188</v>
      </c>
      <c r="C152" s="25">
        <v>152</v>
      </c>
      <c r="D152" s="25">
        <v>4</v>
      </c>
      <c r="E152" s="242">
        <v>43671</v>
      </c>
      <c r="F152" s="115" t="str">
        <f>HYPERLINK("https://www.liputan6.com/showbiz/read/4020857/stuber-komedi-spontan-dengan-pemain-yang-tidak-jaim ","sumber")</f>
        <v>sumber</v>
      </c>
      <c r="G152" s="228" t="s">
        <v>1</v>
      </c>
      <c r="H152" s="26" t="s">
        <v>3189</v>
      </c>
      <c r="I152" s="25">
        <v>5</v>
      </c>
      <c r="J152" s="25">
        <v>2</v>
      </c>
      <c r="K152" s="124"/>
      <c r="L152" s="26"/>
      <c r="M152" s="26"/>
      <c r="N152" s="26"/>
      <c r="O152" s="26"/>
      <c r="P152" s="26"/>
      <c r="Q152" s="26"/>
      <c r="R152" s="26"/>
      <c r="S152" s="124"/>
      <c r="T152" s="26"/>
      <c r="U152" s="26"/>
      <c r="V152" s="26"/>
      <c r="W152" s="26"/>
      <c r="X152" s="26"/>
      <c r="Y152" s="25"/>
    </row>
    <row r="153" spans="1:25" ht="14.25" customHeight="1">
      <c r="A153" s="236">
        <v>1</v>
      </c>
      <c r="B153" s="237" t="s">
        <v>3190</v>
      </c>
      <c r="C153" s="22">
        <v>153</v>
      </c>
      <c r="D153" s="22">
        <v>1</v>
      </c>
      <c r="E153" s="241">
        <v>43676</v>
      </c>
      <c r="F153" s="121" t="str">
        <f>HYPERLINK("https://news.detik.com/berita/d-4645037/pdgi-panggil-dokter-gigi-pengganti-drg-romi-yang-gagal-jadi-pns-di-sumbar ","sumber")</f>
        <v>sumber</v>
      </c>
      <c r="G153" s="223" t="s">
        <v>1</v>
      </c>
      <c r="H153" s="23" t="s">
        <v>3191</v>
      </c>
      <c r="I153" s="22">
        <v>1</v>
      </c>
      <c r="J153" s="22">
        <v>2</v>
      </c>
      <c r="K153" s="123" t="s">
        <v>3192</v>
      </c>
      <c r="L153" s="22">
        <v>0</v>
      </c>
      <c r="M153" s="22">
        <v>1</v>
      </c>
      <c r="N153" s="22">
        <v>0</v>
      </c>
      <c r="O153" s="22">
        <v>0</v>
      </c>
      <c r="P153" s="22">
        <v>0</v>
      </c>
      <c r="Q153" s="22">
        <v>0</v>
      </c>
      <c r="R153" s="22">
        <v>1</v>
      </c>
      <c r="S153" s="134"/>
      <c r="T153" s="22">
        <v>0</v>
      </c>
      <c r="U153" s="22">
        <v>0</v>
      </c>
      <c r="V153" s="22">
        <v>0</v>
      </c>
      <c r="W153" s="23"/>
      <c r="X153" s="23"/>
      <c r="Y153" s="23"/>
    </row>
    <row r="154" spans="1:25" ht="14.25" customHeight="1">
      <c r="A154" s="211">
        <v>1</v>
      </c>
      <c r="B154" s="46" t="s">
        <v>3193</v>
      </c>
      <c r="C154" s="33">
        <v>154</v>
      </c>
      <c r="D154" s="33">
        <v>4</v>
      </c>
      <c r="E154" s="249">
        <v>43677</v>
      </c>
      <c r="F154" s="130" t="str">
        <f>HYPERLINK("https://www.liputan6.com/news/read/4026194/mendagri-tjahjo-kumolo-pastikan-dokter-romi-jadi-cpns-tahun-ini ","sumber")</f>
        <v>sumber</v>
      </c>
      <c r="G154" s="231" t="s">
        <v>1</v>
      </c>
      <c r="H154" s="33">
        <v>292</v>
      </c>
      <c r="I154" s="33">
        <v>1</v>
      </c>
      <c r="J154" s="33">
        <v>2</v>
      </c>
      <c r="K154" s="131" t="s">
        <v>3194</v>
      </c>
      <c r="L154" s="33">
        <v>0</v>
      </c>
      <c r="M154" s="33">
        <v>1</v>
      </c>
      <c r="N154" s="33">
        <v>0</v>
      </c>
      <c r="O154" s="33">
        <v>0</v>
      </c>
      <c r="P154" s="33">
        <v>0</v>
      </c>
      <c r="Q154" s="33" t="s">
        <v>29</v>
      </c>
      <c r="R154" s="33" t="s">
        <v>160</v>
      </c>
      <c r="S154" s="131"/>
      <c r="T154" s="33">
        <v>0</v>
      </c>
      <c r="U154" s="33">
        <v>0</v>
      </c>
      <c r="V154" s="33">
        <v>0</v>
      </c>
      <c r="W154" s="24"/>
      <c r="X154" s="24"/>
      <c r="Y154" s="33"/>
    </row>
    <row r="155" spans="1:25" ht="14.25" customHeight="1">
      <c r="A155" s="211">
        <v>1</v>
      </c>
      <c r="B155" s="46" t="s">
        <v>3195</v>
      </c>
      <c r="C155" s="33">
        <v>155</v>
      </c>
      <c r="D155" s="33">
        <v>8</v>
      </c>
      <c r="E155" s="243">
        <v>43705</v>
      </c>
      <c r="F155" s="130" t="str">
        <f>HYPERLINK("https://jateng.suara.com/read/2019/08/28/161035/aiptu-korsin-dibacok-di-markas-polisi-periksa-kejiwaan-pelakunya ","sumber")</f>
        <v>sumber</v>
      </c>
      <c r="G155" s="231" t="s">
        <v>1</v>
      </c>
      <c r="H155" s="33">
        <v>425</v>
      </c>
      <c r="I155" s="33">
        <v>1</v>
      </c>
      <c r="J155" s="33">
        <v>2</v>
      </c>
      <c r="K155" s="131" t="s">
        <v>3196</v>
      </c>
      <c r="L155" s="33">
        <v>0</v>
      </c>
      <c r="M155" s="33">
        <v>-1</v>
      </c>
      <c r="N155" s="33">
        <v>0</v>
      </c>
      <c r="O155" s="33">
        <v>0</v>
      </c>
      <c r="P155" s="33">
        <v>0</v>
      </c>
      <c r="Q155" s="33" t="s">
        <v>29</v>
      </c>
      <c r="R155" s="33" t="s">
        <v>29</v>
      </c>
      <c r="S155" s="131"/>
      <c r="T155" s="33">
        <v>0</v>
      </c>
      <c r="U155" s="33">
        <v>0</v>
      </c>
      <c r="V155" s="33">
        <v>0</v>
      </c>
      <c r="W155" s="24"/>
      <c r="X155" s="24"/>
      <c r="Y155" s="33"/>
    </row>
    <row r="156" spans="1:25" ht="14.25" customHeight="1">
      <c r="A156" s="236">
        <v>1</v>
      </c>
      <c r="B156" s="237" t="s">
        <v>3197</v>
      </c>
      <c r="C156" s="22">
        <v>157</v>
      </c>
      <c r="D156" s="22">
        <v>9</v>
      </c>
      <c r="E156" s="241">
        <v>43686</v>
      </c>
      <c r="F156" s="121" t="str">
        <f>HYPERLINK("https://gayahidup.republika.co.id/berita/pvxi7g284/kendalikan-marah-sebelum-berujung-penyesalan ","sumber")</f>
        <v>sumber</v>
      </c>
      <c r="G156" s="223" t="s">
        <v>1</v>
      </c>
      <c r="H156" s="23" t="s">
        <v>3198</v>
      </c>
      <c r="I156" s="22">
        <v>2</v>
      </c>
      <c r="J156" s="22">
        <v>2</v>
      </c>
      <c r="K156" s="123" t="s">
        <v>3199</v>
      </c>
      <c r="L156" s="22">
        <v>0</v>
      </c>
      <c r="M156" s="22">
        <v>0</v>
      </c>
      <c r="N156" s="22">
        <v>0</v>
      </c>
      <c r="O156" s="22">
        <v>0</v>
      </c>
      <c r="P156" s="22">
        <v>0</v>
      </c>
      <c r="Q156" s="22">
        <v>0</v>
      </c>
      <c r="R156" s="22">
        <v>0</v>
      </c>
      <c r="S156" s="134"/>
      <c r="T156" s="22">
        <v>0</v>
      </c>
      <c r="U156" s="22">
        <v>0</v>
      </c>
      <c r="V156" s="22">
        <v>0</v>
      </c>
      <c r="W156" s="23"/>
      <c r="X156" s="23"/>
      <c r="Y156" s="23"/>
    </row>
    <row r="157" spans="1:25" ht="14.25" customHeight="1">
      <c r="A157" s="171">
        <v>2</v>
      </c>
      <c r="B157" s="239" t="s">
        <v>3200</v>
      </c>
      <c r="C157" s="25">
        <v>158</v>
      </c>
      <c r="D157" s="25">
        <v>8</v>
      </c>
      <c r="E157" s="242">
        <v>43686</v>
      </c>
      <c r="F157" s="115" t="str">
        <f>HYPERLINK("https://www.suara.com/lifestyle/2019/08/09/170000/mengenal-desain-japandi-kombinasi-dua-gaya-dalam-satu-desain ","sumber")</f>
        <v>sumber</v>
      </c>
      <c r="G157" s="228" t="s">
        <v>1</v>
      </c>
      <c r="H157" s="26" t="s">
        <v>3201</v>
      </c>
      <c r="I157" s="25">
        <v>2</v>
      </c>
      <c r="J157" s="25">
        <v>2</v>
      </c>
      <c r="K157" s="124"/>
      <c r="L157" s="26"/>
      <c r="M157" s="26"/>
      <c r="N157" s="26"/>
      <c r="O157" s="26"/>
      <c r="P157" s="26"/>
      <c r="Q157" s="26"/>
      <c r="R157" s="26"/>
      <c r="S157" s="124"/>
      <c r="T157" s="26"/>
      <c r="U157" s="26"/>
      <c r="V157" s="26"/>
      <c r="W157" s="26"/>
      <c r="X157" s="26"/>
      <c r="Y157" s="25"/>
    </row>
    <row r="158" spans="1:25" ht="14.25" customHeight="1">
      <c r="A158" s="211">
        <v>1</v>
      </c>
      <c r="B158" s="46" t="s">
        <v>3202</v>
      </c>
      <c r="C158" s="33">
        <v>159</v>
      </c>
      <c r="D158" s="33">
        <v>1</v>
      </c>
      <c r="E158" s="249">
        <v>43690</v>
      </c>
      <c r="F158" s="130" t="str">
        <f>HYPERLINK("https://news.detik.com/berita-jawa-timur/d-4663430/mayat-perempuan-tanpa-identitas-ditemukan-di-ruang-sekolah-di-lamongan ","sumber")</f>
        <v>sumber</v>
      </c>
      <c r="G158" s="231" t="s">
        <v>1</v>
      </c>
      <c r="H158" s="33">
        <v>280</v>
      </c>
      <c r="I158" s="33">
        <v>1</v>
      </c>
      <c r="J158" s="33">
        <v>2</v>
      </c>
      <c r="K158" s="131" t="s">
        <v>3203</v>
      </c>
      <c r="L158" s="33">
        <v>0</v>
      </c>
      <c r="M158" s="33">
        <v>-1</v>
      </c>
      <c r="N158" s="33">
        <v>0</v>
      </c>
      <c r="O158" s="33">
        <v>0</v>
      </c>
      <c r="P158" s="33">
        <v>0</v>
      </c>
      <c r="Q158" s="33" t="s">
        <v>29</v>
      </c>
      <c r="R158" s="33" t="s">
        <v>29</v>
      </c>
      <c r="S158" s="131"/>
      <c r="T158" s="33">
        <v>0</v>
      </c>
      <c r="U158" s="33">
        <v>0</v>
      </c>
      <c r="V158" s="33">
        <v>0</v>
      </c>
      <c r="W158" s="24"/>
      <c r="X158" s="24"/>
      <c r="Y158" s="33"/>
    </row>
    <row r="159" spans="1:25" ht="14.25" customHeight="1">
      <c r="A159" s="211">
        <v>1</v>
      </c>
      <c r="B159" s="46" t="s">
        <v>3204</v>
      </c>
      <c r="C159" s="33">
        <v>160</v>
      </c>
      <c r="D159" s="33">
        <v>3</v>
      </c>
      <c r="E159" s="249">
        <v>43691</v>
      </c>
      <c r="F159" s="130" t="str">
        <f>HYPERLINK("https://news.okezone.com/read/2019/08/14/512/2091973/mnc-peduli-kembali-gelar-operasi-gratis-bibir-sumbing-bertajuk-senyum-indonesia ","sumber")</f>
        <v>sumber</v>
      </c>
      <c r="G159" s="231" t="s">
        <v>1</v>
      </c>
      <c r="H159" s="33">
        <v>374</v>
      </c>
      <c r="I159" s="33">
        <v>3</v>
      </c>
      <c r="J159" s="33">
        <v>2</v>
      </c>
      <c r="K159" s="131" t="s">
        <v>3205</v>
      </c>
      <c r="L159" s="33">
        <v>0</v>
      </c>
      <c r="M159" s="33">
        <v>0</v>
      </c>
      <c r="N159" s="33">
        <v>0</v>
      </c>
      <c r="O159" s="33">
        <v>0</v>
      </c>
      <c r="P159" s="33">
        <v>0</v>
      </c>
      <c r="Q159" s="33">
        <v>0</v>
      </c>
      <c r="R159" s="33">
        <v>0</v>
      </c>
      <c r="S159" s="131"/>
      <c r="T159" s="33">
        <v>0</v>
      </c>
      <c r="U159" s="33">
        <v>0</v>
      </c>
      <c r="V159" s="33">
        <v>0</v>
      </c>
      <c r="W159" s="24"/>
      <c r="X159" s="24"/>
      <c r="Y159" s="33"/>
    </row>
    <row r="160" spans="1:25" ht="14.25" customHeight="1">
      <c r="A160" s="171">
        <v>2</v>
      </c>
      <c r="B160" s="48" t="s">
        <v>3206</v>
      </c>
      <c r="C160" s="25">
        <v>161</v>
      </c>
      <c r="D160" s="25">
        <v>2</v>
      </c>
      <c r="E160" s="242">
        <v>43692</v>
      </c>
      <c r="F160" s="115" t="str">
        <f>HYPERLINK("https://www.cnnindonesia.com/olahraga/20190814172516-142-421339/neymar-bukan-bintang-besar-barcelona ","sumber")</f>
        <v>sumber</v>
      </c>
      <c r="G160" s="228" t="s">
        <v>1</v>
      </c>
      <c r="H160" s="26" t="s">
        <v>3207</v>
      </c>
      <c r="I160" s="25">
        <v>2</v>
      </c>
      <c r="J160" s="25">
        <v>2</v>
      </c>
      <c r="K160" s="124"/>
      <c r="L160" s="26"/>
      <c r="M160" s="26"/>
      <c r="N160" s="26"/>
      <c r="O160" s="26"/>
      <c r="P160" s="26"/>
      <c r="Q160" s="26"/>
      <c r="R160" s="26"/>
      <c r="S160" s="124"/>
      <c r="T160" s="26"/>
      <c r="U160" s="26"/>
      <c r="V160" s="26"/>
      <c r="W160" s="26"/>
      <c r="X160" s="26"/>
      <c r="Y160" s="25"/>
    </row>
    <row r="161" spans="1:25" ht="14.25" customHeight="1">
      <c r="A161" s="148">
        <v>1</v>
      </c>
      <c r="B161" s="55" t="s">
        <v>3208</v>
      </c>
      <c r="C161" s="33">
        <v>162</v>
      </c>
      <c r="D161" s="33">
        <v>7</v>
      </c>
      <c r="E161" s="243">
        <v>43685</v>
      </c>
      <c r="F161" s="130" t="str">
        <f>HYPERLINK("https://www.tribunnews.com/regional/2019/08/08/sebelum-ditemukan-tewas-gantung-diri-ilham-disebut-pernah-jadi-pasien-di-rsj-sambang-lihum ","sumber")</f>
        <v>sumber</v>
      </c>
      <c r="G161" s="231" t="s">
        <v>1</v>
      </c>
      <c r="H161" s="33">
        <v>183</v>
      </c>
      <c r="I161" s="33">
        <v>1</v>
      </c>
      <c r="J161" s="33">
        <v>2</v>
      </c>
      <c r="K161" s="131" t="s">
        <v>3209</v>
      </c>
      <c r="L161" s="33">
        <v>0</v>
      </c>
      <c r="M161" s="33">
        <v>-1</v>
      </c>
      <c r="N161" s="33">
        <v>0</v>
      </c>
      <c r="O161" s="33">
        <v>0</v>
      </c>
      <c r="P161" s="33">
        <v>0</v>
      </c>
      <c r="Q161" s="33" t="s">
        <v>29</v>
      </c>
      <c r="R161" s="33" t="s">
        <v>29</v>
      </c>
      <c r="S161" s="131"/>
      <c r="T161" s="33">
        <v>0</v>
      </c>
      <c r="U161" s="33">
        <v>-1</v>
      </c>
      <c r="V161" s="33">
        <v>0</v>
      </c>
      <c r="W161" s="24"/>
      <c r="X161" s="24"/>
      <c r="Y161" s="33"/>
    </row>
    <row r="162" spans="1:25" ht="14.25" customHeight="1">
      <c r="A162" s="171">
        <v>2</v>
      </c>
      <c r="B162" s="239" t="s">
        <v>3210</v>
      </c>
      <c r="C162" s="25">
        <v>163</v>
      </c>
      <c r="D162" s="25">
        <v>5</v>
      </c>
      <c r="E162" s="242">
        <v>43695</v>
      </c>
      <c r="F162" s="115" t="str">
        <f>HYPERLINK("https://tirto.id/goo-hye-sun-dan-daftar-drama-korea-yang-pernah-dibintanginya-egvk","sumber")</f>
        <v>sumber</v>
      </c>
      <c r="G162" s="228" t="s">
        <v>1</v>
      </c>
      <c r="H162" s="26" t="s">
        <v>3211</v>
      </c>
      <c r="I162" s="25">
        <v>2</v>
      </c>
      <c r="J162" s="25">
        <v>2</v>
      </c>
      <c r="K162" s="124"/>
      <c r="L162" s="26"/>
      <c r="M162" s="26"/>
      <c r="N162" s="26"/>
      <c r="O162" s="26"/>
      <c r="P162" s="26"/>
      <c r="Q162" s="26"/>
      <c r="R162" s="26"/>
      <c r="S162" s="124"/>
      <c r="T162" s="26"/>
      <c r="U162" s="26"/>
      <c r="V162" s="26"/>
      <c r="W162" s="26"/>
      <c r="X162" s="26"/>
      <c r="Y162" s="25"/>
    </row>
    <row r="163" spans="1:25" ht="14.25" customHeight="1">
      <c r="A163" s="171">
        <v>2</v>
      </c>
      <c r="B163" s="239" t="s">
        <v>3212</v>
      </c>
      <c r="C163" s="25">
        <v>164</v>
      </c>
      <c r="D163" s="25">
        <v>8</v>
      </c>
      <c r="E163" s="242">
        <v>43697</v>
      </c>
      <c r="F163" s="115" t="str">
        <f>HYPERLINK("https://www.suara.com/sport/2019/08/20/122829/andai-mcgregor-kembali-ke-ring-ufc-nate-diaz-siap-rematch ","sumber")</f>
        <v>sumber</v>
      </c>
      <c r="G163" s="228" t="s">
        <v>1</v>
      </c>
      <c r="H163" s="26" t="s">
        <v>3213</v>
      </c>
      <c r="I163" s="25">
        <v>2</v>
      </c>
      <c r="J163" s="25">
        <v>2</v>
      </c>
      <c r="K163" s="124"/>
      <c r="L163" s="26"/>
      <c r="M163" s="26"/>
      <c r="N163" s="26"/>
      <c r="O163" s="26"/>
      <c r="P163" s="26"/>
      <c r="Q163" s="26"/>
      <c r="R163" s="26"/>
      <c r="S163" s="124"/>
      <c r="T163" s="26"/>
      <c r="U163" s="26"/>
      <c r="V163" s="26"/>
      <c r="W163" s="26"/>
      <c r="X163" s="26"/>
      <c r="Y163" s="25"/>
    </row>
    <row r="164" spans="1:25" ht="14.25" customHeight="1">
      <c r="A164" s="211">
        <v>1</v>
      </c>
      <c r="B164" s="46" t="s">
        <v>3214</v>
      </c>
      <c r="C164" s="33">
        <v>165</v>
      </c>
      <c r="D164" s="33">
        <v>3</v>
      </c>
      <c r="E164" s="249">
        <v>43701</v>
      </c>
      <c r="F164" s="130" t="str">
        <f>HYPERLINK("https://news.okezone.com/read/2019/08/24/525/2096070/ini-alasan-bapak-perkosa-anak-tirinya-yang-keterbelakangan-mental ","sumber")</f>
        <v>sumber</v>
      </c>
      <c r="G164" s="231" t="s">
        <v>1</v>
      </c>
      <c r="H164" s="33">
        <v>207</v>
      </c>
      <c r="I164" s="33">
        <v>1</v>
      </c>
      <c r="J164" s="33">
        <v>2</v>
      </c>
      <c r="K164" s="131" t="s">
        <v>3215</v>
      </c>
      <c r="L164" s="33">
        <v>0</v>
      </c>
      <c r="M164" s="33">
        <v>-1</v>
      </c>
      <c r="N164" s="33">
        <v>0</v>
      </c>
      <c r="O164" s="33">
        <v>-1</v>
      </c>
      <c r="P164" s="33">
        <v>0</v>
      </c>
      <c r="Q164" s="33">
        <v>0</v>
      </c>
      <c r="R164" s="33">
        <v>-1</v>
      </c>
      <c r="S164" s="131" t="s">
        <v>3216</v>
      </c>
      <c r="T164" s="33">
        <v>3</v>
      </c>
      <c r="U164" s="33">
        <v>-1</v>
      </c>
      <c r="V164" s="33">
        <v>0</v>
      </c>
      <c r="W164" s="24"/>
      <c r="X164" s="24"/>
      <c r="Y164" s="33"/>
    </row>
    <row r="165" spans="1:25" ht="14.25" customHeight="1">
      <c r="A165" s="211">
        <v>1</v>
      </c>
      <c r="B165" s="46" t="s">
        <v>3217</v>
      </c>
      <c r="C165" s="33">
        <v>166</v>
      </c>
      <c r="D165" s="33">
        <v>10</v>
      </c>
      <c r="E165" s="243">
        <v>43694</v>
      </c>
      <c r="F165" s="130" t="str">
        <f>HYPERLINK("https://difabel.tempo.co/read/1237102/seperti-apa-upacara-bendera-hut-ri-17-agustus-ala-tunanetra ","sumber")</f>
        <v>sumber</v>
      </c>
      <c r="G165" s="231" t="s">
        <v>1</v>
      </c>
      <c r="H165" s="33">
        <v>273</v>
      </c>
      <c r="I165" s="33">
        <v>2</v>
      </c>
      <c r="J165" s="33">
        <v>2</v>
      </c>
      <c r="K165" s="131" t="s">
        <v>3218</v>
      </c>
      <c r="L165" s="33">
        <v>0</v>
      </c>
      <c r="M165" s="33">
        <v>0</v>
      </c>
      <c r="N165" s="33">
        <v>0</v>
      </c>
      <c r="O165" s="33">
        <v>0</v>
      </c>
      <c r="P165" s="33">
        <v>0</v>
      </c>
      <c r="Q165" s="33" t="s">
        <v>159</v>
      </c>
      <c r="R165" s="33" t="s">
        <v>29</v>
      </c>
      <c r="S165" s="131"/>
      <c r="T165" s="33">
        <v>0</v>
      </c>
      <c r="U165" s="33">
        <v>0</v>
      </c>
      <c r="V165" s="33">
        <v>0</v>
      </c>
      <c r="W165" s="24"/>
      <c r="X165" s="24"/>
      <c r="Y165" s="33"/>
    </row>
    <row r="166" spans="1:25" ht="14.25" customHeight="1">
      <c r="A166" s="236">
        <v>1</v>
      </c>
      <c r="B166" s="237" t="s">
        <v>3219</v>
      </c>
      <c r="C166" s="22">
        <v>167</v>
      </c>
      <c r="D166" s="22">
        <v>7</v>
      </c>
      <c r="E166" s="241">
        <v>43702</v>
      </c>
      <c r="F166" s="121" t="str">
        <f>HYPERLINK("https://www.tribunnews.com/seleb/2019/08/25/dian-sastrowardoyo-ceritakan-soal-anaknya-yang-meraung-raung-di-sekolah-sekuriti-ikut-turun-tangan ","sumber")</f>
        <v>sumber</v>
      </c>
      <c r="G166" s="223" t="s">
        <v>1</v>
      </c>
      <c r="H166" s="23" t="s">
        <v>3028</v>
      </c>
      <c r="I166" s="22">
        <v>2</v>
      </c>
      <c r="J166" s="22">
        <v>2</v>
      </c>
      <c r="K166" s="123" t="s">
        <v>3220</v>
      </c>
      <c r="L166" s="22">
        <v>0</v>
      </c>
      <c r="M166" s="22">
        <v>0</v>
      </c>
      <c r="N166" s="22">
        <v>0</v>
      </c>
      <c r="O166" s="22">
        <v>0</v>
      </c>
      <c r="P166" s="22">
        <v>0</v>
      </c>
      <c r="Q166" s="22">
        <v>0</v>
      </c>
      <c r="R166" s="22">
        <v>0</v>
      </c>
      <c r="S166" s="123" t="s">
        <v>3221</v>
      </c>
      <c r="T166" s="22">
        <v>1</v>
      </c>
      <c r="U166" s="22">
        <v>0</v>
      </c>
      <c r="V166" s="22">
        <v>0</v>
      </c>
      <c r="W166" s="23"/>
      <c r="X166" s="23"/>
      <c r="Y166" s="23"/>
    </row>
    <row r="167" spans="1:25" ht="14.25" customHeight="1">
      <c r="A167" s="236">
        <v>1</v>
      </c>
      <c r="B167" s="237" t="s">
        <v>3222</v>
      </c>
      <c r="C167" s="22">
        <v>168</v>
      </c>
      <c r="D167" s="22">
        <v>6</v>
      </c>
      <c r="E167" s="241">
        <v>43703</v>
      </c>
      <c r="F167" s="121" t="str">
        <f>HYPERLINK("https://regional.kompas.com/read/2019/08/26/08354341/kisah-haru-penyandang-disabilitas-kibarkan-sang-merah-putih-di-dalam-laut ","sumber")</f>
        <v>sumber</v>
      </c>
      <c r="G167" s="223" t="s">
        <v>1</v>
      </c>
      <c r="H167" s="23" t="s">
        <v>3223</v>
      </c>
      <c r="I167" s="22">
        <v>3</v>
      </c>
      <c r="J167" s="22">
        <v>2</v>
      </c>
      <c r="K167" s="123" t="s">
        <v>3224</v>
      </c>
      <c r="L167" s="22">
        <v>0</v>
      </c>
      <c r="M167" s="22">
        <v>0</v>
      </c>
      <c r="N167" s="22">
        <v>0</v>
      </c>
      <c r="O167" s="22">
        <v>0</v>
      </c>
      <c r="P167" s="22">
        <v>0</v>
      </c>
      <c r="Q167" s="22" t="s">
        <v>3225</v>
      </c>
      <c r="R167" s="22" t="s">
        <v>668</v>
      </c>
      <c r="S167" s="134"/>
      <c r="T167" s="22">
        <v>0</v>
      </c>
      <c r="U167" s="22">
        <v>0</v>
      </c>
      <c r="V167" s="22">
        <v>0</v>
      </c>
      <c r="W167" s="23"/>
      <c r="X167" s="23"/>
      <c r="Y167" s="23"/>
    </row>
    <row r="168" spans="1:25" ht="14.25" customHeight="1">
      <c r="A168" s="250">
        <v>2</v>
      </c>
      <c r="B168" s="237" t="s">
        <v>1355</v>
      </c>
      <c r="C168" s="22">
        <v>169</v>
      </c>
      <c r="D168" s="22">
        <v>1</v>
      </c>
      <c r="E168" s="241">
        <v>43705</v>
      </c>
      <c r="F168" s="121" t="str">
        <f>HYPERLINK("https://news.detik.com/berita/d-4684591/bpjs-tk-sebut-57-kematian-pekerja-terjadi-akibat-kecelakaan-lalin ","sumber")</f>
        <v>sumber</v>
      </c>
      <c r="G168" s="223" t="s">
        <v>1</v>
      </c>
      <c r="H168" s="23" t="s">
        <v>3226</v>
      </c>
      <c r="I168" s="22">
        <v>3</v>
      </c>
      <c r="J168" s="22">
        <v>2</v>
      </c>
      <c r="K168" s="123" t="s">
        <v>3227</v>
      </c>
      <c r="L168" s="22">
        <v>0</v>
      </c>
      <c r="M168" s="22">
        <v>0</v>
      </c>
      <c r="N168" s="22">
        <v>0</v>
      </c>
      <c r="O168" s="22">
        <v>0</v>
      </c>
      <c r="P168" s="22">
        <v>0</v>
      </c>
      <c r="Q168" s="22" t="s">
        <v>21</v>
      </c>
      <c r="R168" s="22" t="s">
        <v>21</v>
      </c>
      <c r="S168" s="123" t="s">
        <v>1178</v>
      </c>
      <c r="T168" s="22">
        <v>1</v>
      </c>
      <c r="U168" s="23"/>
      <c r="V168" s="23"/>
      <c r="W168" s="23"/>
      <c r="X168" s="23"/>
      <c r="Y168" s="23"/>
    </row>
    <row r="169" spans="1:25" ht="14.25" customHeight="1">
      <c r="A169" s="171">
        <v>2</v>
      </c>
      <c r="B169" s="239" t="s">
        <v>3228</v>
      </c>
      <c r="C169" s="25">
        <v>170</v>
      </c>
      <c r="D169" s="25">
        <v>4</v>
      </c>
      <c r="E169" s="242">
        <v>43705</v>
      </c>
      <c r="F169" s="115" t="str">
        <f>HYPERLINK("https://www.liputan6.com/lifestyle/read/4048222/kisah-perempuan-inggris-yang-memakai-gaun-pengantin-sepanjang-tahun","sumber")</f>
        <v>sumber</v>
      </c>
      <c r="G169" s="228" t="s">
        <v>1</v>
      </c>
      <c r="H169" s="26" t="s">
        <v>2925</v>
      </c>
      <c r="I169" s="25">
        <v>2</v>
      </c>
      <c r="J169" s="25">
        <v>2</v>
      </c>
      <c r="K169" s="116"/>
      <c r="L169" s="26"/>
      <c r="M169" s="26"/>
      <c r="N169" s="26"/>
      <c r="O169" s="26"/>
      <c r="P169" s="26"/>
      <c r="Q169" s="26"/>
      <c r="R169" s="26"/>
      <c r="S169" s="124"/>
      <c r="T169" s="26"/>
      <c r="U169" s="26"/>
      <c r="V169" s="26"/>
      <c r="W169" s="26"/>
      <c r="X169" s="26"/>
      <c r="Y169" s="26"/>
    </row>
    <row r="170" spans="1:25" ht="14.25" customHeight="1">
      <c r="A170" s="171">
        <v>2</v>
      </c>
      <c r="B170" s="239" t="s">
        <v>3229</v>
      </c>
      <c r="C170" s="25">
        <v>171</v>
      </c>
      <c r="D170" s="25">
        <v>9</v>
      </c>
      <c r="E170" s="242">
        <v>43706</v>
      </c>
      <c r="F170" s="115" t="str">
        <f>HYPERLINK("https://republika.co.id/berita/pwz3ic0/mewah-nan-mahal-4-bos-teknologi-ini-punya-rumah-harga-triliunan ","sumber")</f>
        <v>sumber</v>
      </c>
      <c r="G170" s="228" t="s">
        <v>1</v>
      </c>
      <c r="H170" s="26" t="s">
        <v>3230</v>
      </c>
      <c r="I170" s="25">
        <v>2</v>
      </c>
      <c r="J170" s="25">
        <v>2</v>
      </c>
      <c r="K170" s="124"/>
      <c r="L170" s="26"/>
      <c r="M170" s="26"/>
      <c r="N170" s="26"/>
      <c r="O170" s="26"/>
      <c r="P170" s="26"/>
      <c r="Q170" s="26"/>
      <c r="R170" s="26"/>
      <c r="S170" s="124"/>
      <c r="T170" s="26"/>
      <c r="U170" s="26"/>
      <c r="V170" s="26"/>
      <c r="W170" s="26"/>
      <c r="X170" s="26"/>
      <c r="Y170" s="25"/>
    </row>
    <row r="171" spans="1:25" ht="14.25" customHeight="1">
      <c r="A171" s="148">
        <v>1</v>
      </c>
      <c r="B171" s="46" t="s">
        <v>2252</v>
      </c>
      <c r="C171" s="33">
        <v>172</v>
      </c>
      <c r="D171" s="33">
        <v>5</v>
      </c>
      <c r="E171" s="243">
        <v>43701</v>
      </c>
      <c r="F171" s="130" t="str">
        <f>HYPERLINK("https://tirto.id/alasan-lion-soal-penumpang-difabel-diturunkan-dari-pesawat-wings-egWG ","sumber")</f>
        <v>sumber</v>
      </c>
      <c r="G171" s="231" t="s">
        <v>1</v>
      </c>
      <c r="H171" s="24" t="s">
        <v>3231</v>
      </c>
      <c r="I171" s="33">
        <v>1</v>
      </c>
      <c r="J171" s="33">
        <v>2</v>
      </c>
      <c r="K171" s="33" t="s">
        <v>3232</v>
      </c>
      <c r="L171" s="33">
        <v>0</v>
      </c>
      <c r="M171" s="33">
        <v>-1</v>
      </c>
      <c r="N171" s="33">
        <v>0</v>
      </c>
      <c r="O171" s="33">
        <v>0</v>
      </c>
      <c r="P171" s="33">
        <v>0</v>
      </c>
      <c r="Q171" s="33">
        <v>0</v>
      </c>
      <c r="R171" s="33">
        <v>0</v>
      </c>
      <c r="S171" s="131"/>
      <c r="T171" s="33">
        <v>0</v>
      </c>
      <c r="U171" s="33">
        <v>0</v>
      </c>
      <c r="V171" s="33">
        <v>0</v>
      </c>
      <c r="W171" s="24"/>
      <c r="X171" s="24"/>
      <c r="Y171" s="33"/>
    </row>
    <row r="172" spans="1:25" ht="14.25" customHeight="1">
      <c r="A172" s="171">
        <v>2</v>
      </c>
      <c r="B172" s="239" t="s">
        <v>3233</v>
      </c>
      <c r="C172" s="25">
        <v>173</v>
      </c>
      <c r="D172" s="25">
        <v>5</v>
      </c>
      <c r="E172" s="242">
        <v>43709</v>
      </c>
      <c r="F172" s="115" t="str">
        <f>HYPERLINK("https://tirto.id/live-streaming-indosiar-psm-vs-persela-1-september-2019-ehlV ","sumber")</f>
        <v>sumber</v>
      </c>
      <c r="G172" s="228" t="s">
        <v>1</v>
      </c>
      <c r="H172" s="26" t="s">
        <v>3234</v>
      </c>
      <c r="I172" s="25">
        <v>2</v>
      </c>
      <c r="J172" s="25">
        <v>2</v>
      </c>
      <c r="K172" s="124"/>
      <c r="L172" s="26"/>
      <c r="M172" s="26"/>
      <c r="N172" s="26"/>
      <c r="O172" s="26"/>
      <c r="P172" s="26"/>
      <c r="Q172" s="26"/>
      <c r="R172" s="26"/>
      <c r="S172" s="124"/>
      <c r="T172" s="26"/>
      <c r="U172" s="26"/>
      <c r="V172" s="26"/>
      <c r="W172" s="26"/>
      <c r="X172" s="26"/>
      <c r="Y172" s="25"/>
    </row>
    <row r="173" spans="1:25" ht="14.25" customHeight="1">
      <c r="A173" s="171">
        <v>2</v>
      </c>
      <c r="B173" s="239" t="s">
        <v>3235</v>
      </c>
      <c r="C173" s="25">
        <v>174</v>
      </c>
      <c r="D173" s="25">
        <v>2</v>
      </c>
      <c r="E173" s="242">
        <v>43710</v>
      </c>
      <c r="F173" s="115" t="str">
        <f>HYPERLINK("https://www.cnnindonesia.com/nasional/20190902125503-12-426794/gagal-jadi-cpns-261-lulusan-skd-gugat-menpan-rp39-m ","sumber")</f>
        <v>sumber</v>
      </c>
      <c r="G173" s="228" t="s">
        <v>1</v>
      </c>
      <c r="H173" s="26" t="s">
        <v>3172</v>
      </c>
      <c r="I173" s="25">
        <v>1</v>
      </c>
      <c r="J173" s="25">
        <v>2</v>
      </c>
      <c r="K173" s="124"/>
      <c r="L173" s="26"/>
      <c r="M173" s="26"/>
      <c r="N173" s="26"/>
      <c r="O173" s="26"/>
      <c r="P173" s="26"/>
      <c r="Q173" s="26"/>
      <c r="R173" s="26"/>
      <c r="S173" s="124"/>
      <c r="T173" s="26"/>
      <c r="U173" s="26"/>
      <c r="V173" s="26"/>
      <c r="W173" s="26"/>
      <c r="X173" s="26"/>
      <c r="Y173" s="25"/>
    </row>
    <row r="174" spans="1:25" ht="14.25" customHeight="1">
      <c r="A174" s="171">
        <v>2</v>
      </c>
      <c r="B174" s="239" t="s">
        <v>3236</v>
      </c>
      <c r="C174" s="25">
        <v>175</v>
      </c>
      <c r="D174" s="25">
        <v>3</v>
      </c>
      <c r="E174" s="242">
        <v>43710</v>
      </c>
      <c r="F174" s="115" t="str">
        <f>HYPERLINK("https://nasional.okezone.com/read/2019/09/02/337/2099607/masinton-pasaribu-kpk-ke-depan-harus-sehat-pansel-sudah-bekerja-dengan-baik ","sumber")</f>
        <v>sumber</v>
      </c>
      <c r="G174" s="228" t="s">
        <v>1</v>
      </c>
      <c r="H174" s="26" t="s">
        <v>2854</v>
      </c>
      <c r="I174" s="25">
        <v>2</v>
      </c>
      <c r="J174" s="25">
        <v>2</v>
      </c>
      <c r="K174" s="124"/>
      <c r="L174" s="26"/>
      <c r="M174" s="26"/>
      <c r="N174" s="26"/>
      <c r="O174" s="26"/>
      <c r="P174" s="26"/>
      <c r="Q174" s="26"/>
      <c r="R174" s="26"/>
      <c r="S174" s="124"/>
      <c r="T174" s="26"/>
      <c r="U174" s="26"/>
      <c r="V174" s="26"/>
      <c r="W174" s="26"/>
      <c r="X174" s="26"/>
      <c r="Y174" s="25"/>
    </row>
    <row r="175" spans="1:25" ht="14.25" customHeight="1">
      <c r="A175" s="236">
        <v>1</v>
      </c>
      <c r="B175" s="237" t="s">
        <v>3237</v>
      </c>
      <c r="C175" s="22">
        <v>176</v>
      </c>
      <c r="D175" s="22">
        <v>4</v>
      </c>
      <c r="E175" s="241">
        <v>43711</v>
      </c>
      <c r="F175" s="121" t="str">
        <f>HYPERLINK("https://www.liputan6.com/news/read/4053631/anies-baswedan-akui-kalau-jakarta-dibilang-kurang-ini-itu","sumber")</f>
        <v>sumber</v>
      </c>
      <c r="G175" s="223" t="s">
        <v>1</v>
      </c>
      <c r="H175" s="23" t="s">
        <v>3238</v>
      </c>
      <c r="I175" s="22">
        <v>3</v>
      </c>
      <c r="J175" s="22">
        <v>2</v>
      </c>
      <c r="K175" s="123" t="s">
        <v>3239</v>
      </c>
      <c r="L175" s="22">
        <v>0</v>
      </c>
      <c r="M175" s="22">
        <v>0</v>
      </c>
      <c r="N175" s="22">
        <v>0</v>
      </c>
      <c r="O175" s="22">
        <v>0</v>
      </c>
      <c r="P175" s="22">
        <v>0</v>
      </c>
      <c r="Q175" s="22">
        <v>0</v>
      </c>
      <c r="R175" s="22">
        <v>1</v>
      </c>
      <c r="S175" s="134"/>
      <c r="T175" s="22">
        <v>0</v>
      </c>
      <c r="U175" s="22">
        <v>0</v>
      </c>
      <c r="V175" s="22">
        <v>0</v>
      </c>
      <c r="W175" s="23"/>
      <c r="X175" s="23"/>
      <c r="Y175" s="23"/>
    </row>
    <row r="176" spans="1:25" ht="14.25" customHeight="1">
      <c r="A176" s="171">
        <v>2</v>
      </c>
      <c r="B176" s="239" t="s">
        <v>3240</v>
      </c>
      <c r="C176" s="25">
        <v>177</v>
      </c>
      <c r="D176" s="25">
        <v>5</v>
      </c>
      <c r="E176" s="242">
        <v>43711</v>
      </c>
      <c r="F176" s="115" t="str">
        <f>HYPERLINK("https://tirto.id/fadli-zon-sebut-pemindahan-ibukota-ideal-berlangsung-10-15-tahun-ehr4","sumber")</f>
        <v>sumber</v>
      </c>
      <c r="G176" s="228" t="s">
        <v>1</v>
      </c>
      <c r="H176" s="26" t="s">
        <v>3241</v>
      </c>
      <c r="I176" s="25">
        <v>4</v>
      </c>
      <c r="J176" s="25">
        <v>2</v>
      </c>
      <c r="K176" s="124"/>
      <c r="L176" s="26"/>
      <c r="M176" s="26"/>
      <c r="N176" s="26"/>
      <c r="O176" s="26"/>
      <c r="P176" s="26"/>
      <c r="Q176" s="26"/>
      <c r="R176" s="26"/>
      <c r="S176" s="124"/>
      <c r="T176" s="26"/>
      <c r="U176" s="26"/>
      <c r="V176" s="26"/>
      <c r="W176" s="26"/>
      <c r="X176" s="26"/>
      <c r="Y176" s="25"/>
    </row>
    <row r="177" spans="1:25" ht="14.25" customHeight="1">
      <c r="A177" s="211">
        <v>1</v>
      </c>
      <c r="B177" s="46" t="s">
        <v>643</v>
      </c>
      <c r="C177" s="33">
        <v>178</v>
      </c>
      <c r="D177" s="33">
        <v>6</v>
      </c>
      <c r="E177" s="249">
        <v>43712</v>
      </c>
      <c r="F177" s="130" t="str">
        <f>HYPERLINK("https://sains.kompas.com/read/2019/09/04/061100223/memahami-gifted-dan-berkebutuhan-khusus-lewat-maria-clara-yubilea ","sumber")</f>
        <v>sumber</v>
      </c>
      <c r="G177" s="231" t="s">
        <v>1</v>
      </c>
      <c r="H177" s="33">
        <v>238</v>
      </c>
      <c r="I177" s="33">
        <v>2</v>
      </c>
      <c r="J177" s="33">
        <v>2</v>
      </c>
      <c r="K177" s="131" t="s">
        <v>3242</v>
      </c>
      <c r="L177" s="33">
        <v>0</v>
      </c>
      <c r="M177" s="33">
        <v>1</v>
      </c>
      <c r="N177" s="33">
        <v>0</v>
      </c>
      <c r="O177" s="33">
        <v>0</v>
      </c>
      <c r="P177" s="33">
        <v>0</v>
      </c>
      <c r="Q177" s="131" t="s">
        <v>3243</v>
      </c>
      <c r="R177" s="131" t="s">
        <v>3244</v>
      </c>
      <c r="S177" s="131"/>
      <c r="T177" s="33">
        <v>0</v>
      </c>
      <c r="U177" s="33">
        <v>0</v>
      </c>
      <c r="V177" s="33">
        <v>0</v>
      </c>
      <c r="W177" s="24"/>
      <c r="X177" s="24"/>
      <c r="Y177" s="33"/>
    </row>
    <row r="178" spans="1:25" ht="14.25" customHeight="1">
      <c r="A178" s="236">
        <v>1</v>
      </c>
      <c r="B178" s="237" t="s">
        <v>3245</v>
      </c>
      <c r="C178" s="22">
        <v>179</v>
      </c>
      <c r="D178" s="22">
        <v>8</v>
      </c>
      <c r="E178" s="241">
        <v>43731</v>
      </c>
      <c r="F178" s="121" t="str">
        <f>HYPERLINK("https://www.suara.com/lifestyle/2019/09/23/184031/haru-ini-isi-surat-dari-pramugari-untuk-penumpang-tuna-rungu ","sumber")</f>
        <v>sumber</v>
      </c>
      <c r="G178" s="223" t="s">
        <v>1</v>
      </c>
      <c r="H178" s="23" t="s">
        <v>3246</v>
      </c>
      <c r="I178" s="22">
        <v>2</v>
      </c>
      <c r="J178" s="22">
        <v>2</v>
      </c>
      <c r="K178" s="123" t="s">
        <v>3247</v>
      </c>
      <c r="L178" s="22">
        <v>0</v>
      </c>
      <c r="M178" s="22">
        <v>0</v>
      </c>
      <c r="N178" s="22">
        <v>0</v>
      </c>
      <c r="O178" s="22">
        <v>0</v>
      </c>
      <c r="P178" s="22">
        <v>0</v>
      </c>
      <c r="Q178" s="22" t="s">
        <v>87</v>
      </c>
      <c r="R178" s="22" t="s">
        <v>160</v>
      </c>
      <c r="S178" s="134"/>
      <c r="T178" s="22">
        <v>0</v>
      </c>
      <c r="U178" s="22">
        <v>0</v>
      </c>
      <c r="V178" s="22">
        <v>0</v>
      </c>
      <c r="W178" s="23"/>
      <c r="X178" s="23"/>
      <c r="Y178" s="23"/>
    </row>
    <row r="179" spans="1:25" ht="14.25" customHeight="1">
      <c r="A179" s="250">
        <v>2</v>
      </c>
      <c r="B179" s="237" t="s">
        <v>647</v>
      </c>
      <c r="C179" s="22">
        <v>180</v>
      </c>
      <c r="D179" s="22">
        <v>7</v>
      </c>
      <c r="E179" s="241">
        <v>43734</v>
      </c>
      <c r="F179" s="121" t="str">
        <f>HYPERLINK("https://www.tribunnews.com/nasional/2019/09/26/update-cpns-2019-dibuka-197111-formasi-pendaftaran-mulai-oktober-tes-skb-bulan-desember","sumber")</f>
        <v>sumber</v>
      </c>
      <c r="G179" s="223" t="s">
        <v>1</v>
      </c>
      <c r="H179" s="23" t="s">
        <v>3248</v>
      </c>
      <c r="I179" s="22">
        <v>2</v>
      </c>
      <c r="J179" s="22">
        <v>2</v>
      </c>
      <c r="K179" s="123" t="s">
        <v>3249</v>
      </c>
      <c r="L179" s="22">
        <v>0</v>
      </c>
      <c r="M179" s="22">
        <v>0</v>
      </c>
      <c r="N179" s="22">
        <v>0</v>
      </c>
      <c r="O179" s="22">
        <v>0</v>
      </c>
      <c r="P179" s="22">
        <v>0</v>
      </c>
      <c r="Q179" s="22" t="s">
        <v>29</v>
      </c>
      <c r="R179" s="22" t="s">
        <v>68</v>
      </c>
      <c r="S179" s="134"/>
      <c r="T179" s="22">
        <v>0</v>
      </c>
      <c r="U179" s="23"/>
      <c r="V179" s="23"/>
      <c r="W179" s="23"/>
      <c r="X179" s="23"/>
      <c r="Y179" s="23"/>
    </row>
    <row r="180" spans="1:25" ht="14.25" customHeight="1">
      <c r="A180" s="171">
        <v>2</v>
      </c>
      <c r="B180" s="239" t="s">
        <v>3250</v>
      </c>
      <c r="C180" s="25">
        <v>181</v>
      </c>
      <c r="D180" s="25">
        <v>2</v>
      </c>
      <c r="E180" s="242">
        <v>43736</v>
      </c>
      <c r="F180" s="115" t="str">
        <f>HYPERLINK("https://www.cnnindonesia.com/gaya-hidup/20190927081212-255-434511/canberra-jadi-kota-pertama-australia-yang-legalkan-ganja ","sumber")</f>
        <v>sumber</v>
      </c>
      <c r="G180" s="228" t="s">
        <v>1</v>
      </c>
      <c r="H180" s="26" t="s">
        <v>3251</v>
      </c>
      <c r="I180" s="25">
        <v>2</v>
      </c>
      <c r="J180" s="25">
        <v>2</v>
      </c>
      <c r="K180" s="124"/>
      <c r="L180" s="26"/>
      <c r="M180" s="26"/>
      <c r="N180" s="26"/>
      <c r="O180" s="26"/>
      <c r="P180" s="26"/>
      <c r="Q180" s="26"/>
      <c r="R180" s="26"/>
      <c r="S180" s="124"/>
      <c r="T180" s="26"/>
      <c r="U180" s="26"/>
      <c r="V180" s="26"/>
      <c r="W180" s="26"/>
      <c r="X180" s="26"/>
      <c r="Y180" s="25"/>
    </row>
    <row r="181" spans="1:25" ht="14.25" customHeight="1">
      <c r="A181" s="236">
        <v>1</v>
      </c>
      <c r="B181" s="237" t="s">
        <v>3252</v>
      </c>
      <c r="C181" s="22">
        <v>182</v>
      </c>
      <c r="D181" s="22">
        <v>1</v>
      </c>
      <c r="E181" s="241">
        <v>43736</v>
      </c>
      <c r="F181" s="121" t="str">
        <f>HYPERLINK("https://health.detik.com/berita-detikhealth/d-4725313/fenomena-kena-santet-padahal-alami-gangguan-kejiwaan","sumber")</f>
        <v>sumber</v>
      </c>
      <c r="G181" s="223" t="s">
        <v>1</v>
      </c>
      <c r="H181" s="23" t="s">
        <v>3253</v>
      </c>
      <c r="I181" s="22">
        <v>2</v>
      </c>
      <c r="J181" s="22">
        <v>2</v>
      </c>
      <c r="K181" s="22" t="s">
        <v>3254</v>
      </c>
      <c r="L181" s="22">
        <v>0</v>
      </c>
      <c r="M181" s="22">
        <v>0</v>
      </c>
      <c r="N181" s="22">
        <v>0</v>
      </c>
      <c r="O181" s="22">
        <v>0</v>
      </c>
      <c r="P181" s="22">
        <v>0</v>
      </c>
      <c r="Q181" s="22">
        <v>0</v>
      </c>
      <c r="R181" s="22">
        <v>1</v>
      </c>
      <c r="S181" s="134"/>
      <c r="T181" s="22">
        <v>0</v>
      </c>
      <c r="U181" s="22">
        <v>0</v>
      </c>
      <c r="V181" s="22">
        <v>0</v>
      </c>
      <c r="W181" s="23"/>
      <c r="X181" s="23"/>
      <c r="Y181" s="23"/>
    </row>
    <row r="182" spans="1:25" ht="14.25" customHeight="1">
      <c r="A182" s="171">
        <v>2</v>
      </c>
      <c r="B182" s="239" t="s">
        <v>3255</v>
      </c>
      <c r="C182" s="25">
        <v>183</v>
      </c>
      <c r="D182" s="25">
        <v>7</v>
      </c>
      <c r="E182" s="242">
        <v>43736</v>
      </c>
      <c r="F182" s="115" t="str">
        <f>HYPERLINK("https://www.tribunnews.com/seleb/2019/09/28/5-film-indonesia-siap-tayang-oktober-2019-dari-cinta-itu-buta-hingga-ajari-aku-islam ","sumber")</f>
        <v>sumber</v>
      </c>
      <c r="G182" s="228" t="s">
        <v>1</v>
      </c>
      <c r="H182" s="26" t="s">
        <v>3256</v>
      </c>
      <c r="I182" s="25">
        <v>5</v>
      </c>
      <c r="J182" s="25">
        <v>2</v>
      </c>
      <c r="K182" s="116"/>
      <c r="L182" s="26"/>
      <c r="M182" s="26"/>
      <c r="N182" s="26"/>
      <c r="O182" s="26"/>
      <c r="P182" s="26"/>
      <c r="Q182" s="26"/>
      <c r="R182" s="26"/>
      <c r="S182" s="124"/>
      <c r="T182" s="26"/>
      <c r="U182" s="26"/>
      <c r="V182" s="26"/>
      <c r="W182" s="26"/>
      <c r="X182" s="26"/>
      <c r="Y182" s="25"/>
    </row>
    <row r="183" spans="1:25" ht="14.25" customHeight="1">
      <c r="A183" s="171">
        <v>2</v>
      </c>
      <c r="B183" s="239" t="s">
        <v>3257</v>
      </c>
      <c r="C183" s="25">
        <v>184</v>
      </c>
      <c r="D183" s="25">
        <v>1</v>
      </c>
      <c r="E183" s="242">
        <v>43737</v>
      </c>
      <c r="F183" s="115" t="str">
        <f>HYPERLINK("https://sport.detik.com/f1/d-4726056/hamilton-ferrari-punya-mode-jet ","sumber")</f>
        <v>sumber</v>
      </c>
      <c r="G183" s="228" t="s">
        <v>1</v>
      </c>
      <c r="H183" s="26" t="s">
        <v>3084</v>
      </c>
      <c r="I183" s="25">
        <v>5</v>
      </c>
      <c r="J183" s="25">
        <v>2</v>
      </c>
      <c r="K183" s="116"/>
      <c r="L183" s="26"/>
      <c r="M183" s="26"/>
      <c r="N183" s="26"/>
      <c r="O183" s="26"/>
      <c r="P183" s="26"/>
      <c r="Q183" s="26"/>
      <c r="R183" s="26"/>
      <c r="S183" s="124"/>
      <c r="T183" s="26"/>
      <c r="U183" s="26"/>
      <c r="V183" s="26"/>
      <c r="W183" s="26"/>
      <c r="X183" s="26"/>
      <c r="Y183" s="25"/>
    </row>
    <row r="184" spans="1:25" ht="14.25" customHeight="1">
      <c r="A184" s="211">
        <v>1</v>
      </c>
      <c r="B184" s="46" t="s">
        <v>3258</v>
      </c>
      <c r="C184" s="33">
        <v>185</v>
      </c>
      <c r="D184" s="33">
        <v>10</v>
      </c>
      <c r="E184" s="243">
        <v>43487</v>
      </c>
      <c r="F184" s="130" t="str">
        <f>HYPERLINK("https://dunia.tempo.co/read/1167582/presenter-tv-mesir-divonis-kerja-paksa-usai-wawancara-homoseksual ","sumber")</f>
        <v>sumber</v>
      </c>
      <c r="G184" s="231" t="s">
        <v>1</v>
      </c>
      <c r="H184" s="33">
        <v>275</v>
      </c>
      <c r="I184" s="33">
        <v>1</v>
      </c>
      <c r="J184" s="33">
        <v>3</v>
      </c>
      <c r="K184" s="131" t="s">
        <v>3259</v>
      </c>
      <c r="L184" s="33">
        <v>0</v>
      </c>
      <c r="M184" s="147">
        <v>0</v>
      </c>
      <c r="N184" s="33">
        <v>0</v>
      </c>
      <c r="O184" s="33">
        <v>0</v>
      </c>
      <c r="P184" s="33">
        <v>0</v>
      </c>
      <c r="Q184" s="33">
        <v>0</v>
      </c>
      <c r="R184" s="33">
        <v>-1</v>
      </c>
      <c r="S184" s="131"/>
      <c r="T184" s="33">
        <v>0</v>
      </c>
      <c r="U184" s="33">
        <v>0</v>
      </c>
      <c r="V184" s="33">
        <v>0</v>
      </c>
      <c r="W184" s="24"/>
      <c r="X184" s="24"/>
      <c r="Y184" s="33"/>
    </row>
    <row r="185" spans="1:25" ht="14.25" customHeight="1">
      <c r="A185" s="211">
        <v>1</v>
      </c>
      <c r="B185" s="46" t="s">
        <v>2738</v>
      </c>
      <c r="C185" s="33">
        <v>186</v>
      </c>
      <c r="D185" s="33">
        <v>2</v>
      </c>
      <c r="E185" s="249">
        <v>43470</v>
      </c>
      <c r="F185" s="130" t="str">
        <f>HYPERLINK("https://www.cnnindonesia.com/nasional/20190112002154-32-360314/debat-capres-kontras-minta-calon-sampaikan-sikap-terkait-pki ","sumber")</f>
        <v>sumber</v>
      </c>
      <c r="G185" s="231" t="s">
        <v>1</v>
      </c>
      <c r="H185" s="33">
        <v>386</v>
      </c>
      <c r="I185" s="33">
        <v>4</v>
      </c>
      <c r="J185" s="33">
        <v>3</v>
      </c>
      <c r="K185" s="131" t="s">
        <v>1061</v>
      </c>
      <c r="L185" s="33">
        <v>0</v>
      </c>
      <c r="M185" s="33">
        <v>0</v>
      </c>
      <c r="N185" s="33">
        <v>0</v>
      </c>
      <c r="O185" s="33">
        <v>0</v>
      </c>
      <c r="P185" s="33">
        <v>0</v>
      </c>
      <c r="Q185" s="33">
        <v>1</v>
      </c>
      <c r="R185" s="33">
        <v>1</v>
      </c>
      <c r="S185" s="131"/>
      <c r="T185" s="33">
        <v>0</v>
      </c>
      <c r="U185" s="33">
        <v>0</v>
      </c>
      <c r="V185" s="33">
        <v>0</v>
      </c>
      <c r="W185" s="24"/>
      <c r="X185" s="24"/>
      <c r="Y185" s="33"/>
    </row>
    <row r="186" spans="1:25" ht="14.25" customHeight="1">
      <c r="A186" s="236">
        <v>1</v>
      </c>
      <c r="B186" s="237" t="s">
        <v>3260</v>
      </c>
      <c r="C186" s="22">
        <v>187</v>
      </c>
      <c r="D186" s="22">
        <v>2</v>
      </c>
      <c r="E186" s="241">
        <v>43471</v>
      </c>
      <c r="F186" s="121" t="str">
        <f>HYPERLINK("https://www.cnnindonesia.com/nasional/20190106143036-12-358787/wali-kota-depok-minta-warga-laporkan-kegiatan-lgbt","sumber")</f>
        <v>sumber</v>
      </c>
      <c r="G186" s="223" t="s">
        <v>1</v>
      </c>
      <c r="H186" s="23" t="s">
        <v>3261</v>
      </c>
      <c r="I186" s="22">
        <v>1</v>
      </c>
      <c r="J186" s="22">
        <v>3</v>
      </c>
      <c r="K186" s="123" t="s">
        <v>1462</v>
      </c>
      <c r="L186" s="22">
        <v>0</v>
      </c>
      <c r="M186" s="22">
        <v>-1</v>
      </c>
      <c r="N186" s="22">
        <v>0</v>
      </c>
      <c r="O186" s="22">
        <v>0</v>
      </c>
      <c r="P186" s="22">
        <v>0</v>
      </c>
      <c r="Q186" s="22">
        <v>0</v>
      </c>
      <c r="R186" s="22">
        <v>-1</v>
      </c>
      <c r="S186" s="134"/>
      <c r="T186" s="22">
        <v>0</v>
      </c>
      <c r="U186" s="22">
        <v>0</v>
      </c>
      <c r="V186" s="22">
        <v>0</v>
      </c>
      <c r="W186" s="23"/>
      <c r="X186" s="23"/>
      <c r="Y186" s="23"/>
    </row>
    <row r="187" spans="1:25" ht="14.25" customHeight="1">
      <c r="A187" s="171">
        <v>2</v>
      </c>
      <c r="B187" s="239" t="s">
        <v>3262</v>
      </c>
      <c r="C187" s="25">
        <v>188</v>
      </c>
      <c r="D187" s="25">
        <v>3</v>
      </c>
      <c r="E187" s="242">
        <v>43471</v>
      </c>
      <c r="F187" s="115" t="str">
        <f>HYPERLINK("https://news.okezone.com/read/2019/01/06/18/2000581/kenapa-desa-desa-di-india-banyak-mengganti-nama ","sumber")</f>
        <v>sumber</v>
      </c>
      <c r="G187" s="228" t="s">
        <v>1</v>
      </c>
      <c r="H187" s="26" t="s">
        <v>3263</v>
      </c>
      <c r="I187" s="25">
        <v>2</v>
      </c>
      <c r="J187" s="25">
        <v>5</v>
      </c>
      <c r="K187" s="124"/>
      <c r="L187" s="26"/>
      <c r="M187" s="26"/>
      <c r="N187" s="26"/>
      <c r="O187" s="26"/>
      <c r="P187" s="26"/>
      <c r="Q187" s="26"/>
      <c r="R187" s="26"/>
      <c r="S187" s="124"/>
      <c r="T187" s="26"/>
      <c r="U187" s="26"/>
      <c r="V187" s="26"/>
      <c r="W187" s="26"/>
      <c r="X187" s="26"/>
      <c r="Y187" s="25"/>
    </row>
    <row r="188" spans="1:25" ht="14.25" customHeight="1">
      <c r="A188" s="211">
        <v>1</v>
      </c>
      <c r="B188" s="256" t="s">
        <v>3264</v>
      </c>
      <c r="C188" s="33">
        <v>189</v>
      </c>
      <c r="D188" s="33">
        <v>5</v>
      </c>
      <c r="E188" s="249">
        <v>43474</v>
      </c>
      <c r="F188" s="130" t="str">
        <f>HYPERLINK("https://tirto.id/praktik-sewa-rahim-dan-dampak-psikologisnya-untuk-anak-ddNa ","sumber")</f>
        <v>sumber</v>
      </c>
      <c r="G188" s="231" t="s">
        <v>1</v>
      </c>
      <c r="H188" s="24" t="s">
        <v>3265</v>
      </c>
      <c r="I188" s="33">
        <v>2</v>
      </c>
      <c r="J188" s="33">
        <v>3</v>
      </c>
      <c r="K188" s="131" t="s">
        <v>3266</v>
      </c>
      <c r="L188" s="33">
        <v>0</v>
      </c>
      <c r="M188" s="33">
        <v>0</v>
      </c>
      <c r="N188" s="33">
        <v>0</v>
      </c>
      <c r="O188" s="33">
        <v>0</v>
      </c>
      <c r="P188" s="33">
        <v>0</v>
      </c>
      <c r="Q188" s="33" t="s">
        <v>29</v>
      </c>
      <c r="R188" s="33" t="s">
        <v>29</v>
      </c>
      <c r="S188" s="133"/>
      <c r="T188" s="33">
        <v>0</v>
      </c>
      <c r="U188" s="33">
        <v>0</v>
      </c>
      <c r="V188" s="33">
        <v>0</v>
      </c>
      <c r="W188" s="24"/>
      <c r="X188" s="24"/>
      <c r="Y188" s="24"/>
    </row>
    <row r="189" spans="1:25" ht="14.25" customHeight="1">
      <c r="A189" s="236">
        <v>1</v>
      </c>
      <c r="B189" s="237" t="s">
        <v>3267</v>
      </c>
      <c r="C189" s="22">
        <v>190</v>
      </c>
      <c r="D189" s="22">
        <v>7</v>
      </c>
      <c r="E189" s="241">
        <v>43481</v>
      </c>
      <c r="F189" s="121" t="str">
        <f>HYPERLINK("https://www.tribunnews.com/internasional/2019/01/16/belasan-lgbt-di-chechnya-ditahan-dua-di-antaranya-tewas","sumber")</f>
        <v>sumber</v>
      </c>
      <c r="G189" s="223" t="s">
        <v>1</v>
      </c>
      <c r="H189" s="23" t="s">
        <v>3268</v>
      </c>
      <c r="I189" s="22">
        <v>1</v>
      </c>
      <c r="J189" s="22">
        <v>3</v>
      </c>
      <c r="K189" s="123" t="s">
        <v>3269</v>
      </c>
      <c r="L189" s="22">
        <v>0</v>
      </c>
      <c r="M189" s="22">
        <v>1</v>
      </c>
      <c r="N189" s="22">
        <v>0</v>
      </c>
      <c r="O189" s="22">
        <v>0</v>
      </c>
      <c r="P189" s="22">
        <v>0</v>
      </c>
      <c r="Q189" s="22" t="s">
        <v>3270</v>
      </c>
      <c r="R189" s="240" t="s">
        <v>3271</v>
      </c>
      <c r="S189" s="123" t="s">
        <v>3272</v>
      </c>
      <c r="T189" s="22">
        <v>5</v>
      </c>
      <c r="U189" s="22">
        <v>0</v>
      </c>
      <c r="V189" s="22">
        <v>1</v>
      </c>
      <c r="W189" s="23"/>
      <c r="X189" s="23"/>
      <c r="Y189" s="23"/>
    </row>
    <row r="190" spans="1:25" ht="14.25" customHeight="1">
      <c r="A190" s="171">
        <v>2</v>
      </c>
      <c r="B190" s="239" t="s">
        <v>3273</v>
      </c>
      <c r="C190" s="25">
        <v>191</v>
      </c>
      <c r="D190" s="25">
        <v>4</v>
      </c>
      <c r="E190" s="242">
        <v>43483</v>
      </c>
      <c r="F190" s="115" t="str">
        <f>HYPERLINK("https://www.liputan6.com/bisnis/read/3874089/viral-beredar-foto-bill-gates-lagi-antre-saat-pesan-burger","sumber")</f>
        <v>sumber</v>
      </c>
      <c r="G190" s="228" t="s">
        <v>1</v>
      </c>
      <c r="H190" s="26" t="s">
        <v>3274</v>
      </c>
      <c r="I190" s="25">
        <v>2</v>
      </c>
      <c r="J190" s="25">
        <v>5</v>
      </c>
      <c r="K190" s="124"/>
      <c r="L190" s="26"/>
      <c r="M190" s="26"/>
      <c r="N190" s="26"/>
      <c r="O190" s="26"/>
      <c r="P190" s="26"/>
      <c r="Q190" s="26"/>
      <c r="R190" s="26"/>
      <c r="S190" s="124"/>
      <c r="T190" s="26"/>
      <c r="U190" s="26"/>
      <c r="V190" s="26"/>
      <c r="W190" s="26"/>
      <c r="X190" s="26"/>
      <c r="Y190" s="25"/>
    </row>
    <row r="191" spans="1:25" ht="14.25" customHeight="1">
      <c r="A191" s="236">
        <v>1</v>
      </c>
      <c r="B191" s="237" t="s">
        <v>3275</v>
      </c>
      <c r="C191" s="22">
        <v>192</v>
      </c>
      <c r="D191" s="22">
        <v>6</v>
      </c>
      <c r="E191" s="241">
        <v>43495</v>
      </c>
      <c r="F191" s="121" t="str">
        <f>HYPERLINK("https://nasional.kompas.com/read/2019/01/30/11442851/ketua-dpr-waktu-itu-kami-didesak-segera-selesaikan-ruu-pks-belakangan","sumber")</f>
        <v>sumber</v>
      </c>
      <c r="G191" s="223" t="s">
        <v>1</v>
      </c>
      <c r="H191" s="23" t="s">
        <v>2998</v>
      </c>
      <c r="I191" s="22">
        <v>4</v>
      </c>
      <c r="J191" s="22">
        <v>3</v>
      </c>
      <c r="K191" s="123" t="s">
        <v>3276</v>
      </c>
      <c r="L191" s="22">
        <v>0</v>
      </c>
      <c r="M191" s="22">
        <v>0</v>
      </c>
      <c r="N191" s="22">
        <v>0</v>
      </c>
      <c r="O191" s="22">
        <v>0</v>
      </c>
      <c r="P191" s="22">
        <v>0</v>
      </c>
      <c r="Q191" s="22">
        <v>0</v>
      </c>
      <c r="R191" s="22">
        <v>-1</v>
      </c>
      <c r="S191" s="134"/>
      <c r="T191" s="22">
        <v>0</v>
      </c>
      <c r="U191" s="22">
        <v>0</v>
      </c>
      <c r="V191" s="22">
        <v>0</v>
      </c>
      <c r="W191" s="23"/>
      <c r="X191" s="23"/>
      <c r="Y191" s="23"/>
    </row>
    <row r="192" spans="1:25" ht="14.25" customHeight="1">
      <c r="A192" s="236">
        <v>1</v>
      </c>
      <c r="B192" s="237" t="s">
        <v>3277</v>
      </c>
      <c r="C192" s="22">
        <v>193</v>
      </c>
      <c r="D192" s="22">
        <v>10</v>
      </c>
      <c r="E192" s="241">
        <v>43497</v>
      </c>
      <c r="F192" s="121" t="str">
        <f>HYPERLINK("https://metro.tempo.co/read/1171060/bawaslu-dki-belum-resmi-terima-laporan-psi-soal-spanduk-lgbt ","sumber")</f>
        <v>sumber</v>
      </c>
      <c r="G192" s="223" t="s">
        <v>1</v>
      </c>
      <c r="H192" s="23" t="s">
        <v>3278</v>
      </c>
      <c r="I192" s="22">
        <v>1</v>
      </c>
      <c r="J192" s="22">
        <v>3</v>
      </c>
      <c r="K192" s="123" t="s">
        <v>3279</v>
      </c>
      <c r="L192" s="22">
        <v>0</v>
      </c>
      <c r="M192" s="22">
        <v>-1</v>
      </c>
      <c r="N192" s="22">
        <v>0</v>
      </c>
      <c r="O192" s="22">
        <v>0</v>
      </c>
      <c r="P192" s="22">
        <v>0</v>
      </c>
      <c r="Q192" s="22">
        <v>0</v>
      </c>
      <c r="R192" s="22">
        <v>0</v>
      </c>
      <c r="S192" s="134"/>
      <c r="T192" s="22">
        <v>0</v>
      </c>
      <c r="U192" s="22">
        <v>0</v>
      </c>
      <c r="V192" s="22">
        <v>0</v>
      </c>
      <c r="W192" s="23"/>
      <c r="X192" s="23"/>
      <c r="Y192" s="23"/>
    </row>
    <row r="193" spans="1:25" ht="14.25" customHeight="1">
      <c r="A193" s="236">
        <v>1</v>
      </c>
      <c r="B193" s="237" t="s">
        <v>2283</v>
      </c>
      <c r="C193" s="22">
        <v>194</v>
      </c>
      <c r="D193" s="22">
        <v>5</v>
      </c>
      <c r="E193" s="241">
        <v>43497</v>
      </c>
      <c r="F193" s="121" t="str">
        <f>HYPERLINK("https://tirto.id/maimon-tolak-ruu-pks-dan-mereka-yang-enggan-menjadi-feminis-dfFJ ","sumber")</f>
        <v>sumber</v>
      </c>
      <c r="G193" s="223" t="s">
        <v>1</v>
      </c>
      <c r="H193" s="23" t="s">
        <v>3280</v>
      </c>
      <c r="I193" s="22">
        <v>1</v>
      </c>
      <c r="J193" s="22">
        <v>3</v>
      </c>
      <c r="K193" s="123" t="s">
        <v>3281</v>
      </c>
      <c r="L193" s="22">
        <v>0</v>
      </c>
      <c r="M193" s="22">
        <v>1</v>
      </c>
      <c r="N193" s="22">
        <v>0</v>
      </c>
      <c r="O193" s="22">
        <v>0</v>
      </c>
      <c r="P193" s="22">
        <v>0</v>
      </c>
      <c r="Q193" s="22" t="s">
        <v>855</v>
      </c>
      <c r="R193" s="22" t="s">
        <v>3282</v>
      </c>
      <c r="S193" s="134"/>
      <c r="T193" s="22">
        <v>0</v>
      </c>
      <c r="U193" s="22">
        <v>0</v>
      </c>
      <c r="V193" s="22">
        <v>1</v>
      </c>
      <c r="W193" s="23"/>
      <c r="X193" s="23"/>
      <c r="Y193" s="23"/>
    </row>
    <row r="194" spans="1:25" ht="14.25" customHeight="1">
      <c r="A194" s="236">
        <v>1</v>
      </c>
      <c r="B194" s="237" t="s">
        <v>3283</v>
      </c>
      <c r="C194" s="22">
        <v>195</v>
      </c>
      <c r="D194" s="22">
        <v>3</v>
      </c>
      <c r="E194" s="241">
        <v>43498</v>
      </c>
      <c r="F194" s="121" t="str">
        <f>HYPERLINK("https://news.okezone.com/read/2019/02/02/337/2012836/dpr-tegaskan-ruu-penghapusan-kekerasan-seksual-belum-dibahas ","sumber")</f>
        <v>sumber</v>
      </c>
      <c r="G194" s="223" t="s">
        <v>1</v>
      </c>
      <c r="H194" s="23" t="s">
        <v>3246</v>
      </c>
      <c r="I194" s="22">
        <v>4</v>
      </c>
      <c r="J194" s="22">
        <v>3</v>
      </c>
      <c r="K194" s="123" t="s">
        <v>3284</v>
      </c>
      <c r="L194" s="22">
        <v>0</v>
      </c>
      <c r="M194" s="22">
        <v>0</v>
      </c>
      <c r="N194" s="22">
        <v>0</v>
      </c>
      <c r="O194" s="22">
        <v>0</v>
      </c>
      <c r="P194" s="22">
        <v>0</v>
      </c>
      <c r="Q194" s="22">
        <v>0</v>
      </c>
      <c r="R194" s="22">
        <v>0</v>
      </c>
      <c r="S194" s="134"/>
      <c r="T194" s="22">
        <v>0</v>
      </c>
      <c r="U194" s="22">
        <v>0</v>
      </c>
      <c r="V194" s="22">
        <v>0</v>
      </c>
      <c r="W194" s="23"/>
      <c r="X194" s="23"/>
      <c r="Y194" s="23"/>
    </row>
    <row r="195" spans="1:25" ht="14.25" customHeight="1">
      <c r="A195" s="171">
        <v>2</v>
      </c>
      <c r="B195" s="239" t="s">
        <v>2285</v>
      </c>
      <c r="C195" s="25">
        <v>196</v>
      </c>
      <c r="D195" s="25">
        <v>2</v>
      </c>
      <c r="E195" s="242">
        <v>43499</v>
      </c>
      <c r="F195" s="115" t="str">
        <f>HYPERLINK("https://www.cnnindonesia.com/hiburan/20190202182458-227-365999/rela-habiskan-jutaan-demi-senang-ala-fan-k-pop ","sumber")</f>
        <v>sumber</v>
      </c>
      <c r="G195" s="228" t="s">
        <v>1</v>
      </c>
      <c r="H195" s="26" t="s">
        <v>3285</v>
      </c>
      <c r="I195" s="25">
        <v>2</v>
      </c>
      <c r="J195" s="25">
        <v>3</v>
      </c>
      <c r="K195" s="116"/>
      <c r="L195" s="26"/>
      <c r="M195" s="26"/>
      <c r="N195" s="26"/>
      <c r="O195" s="26"/>
      <c r="P195" s="26"/>
      <c r="Q195" s="26"/>
      <c r="R195" s="26"/>
      <c r="S195" s="124"/>
      <c r="T195" s="26"/>
      <c r="U195" s="26"/>
      <c r="V195" s="26"/>
      <c r="W195" s="26"/>
      <c r="X195" s="26"/>
      <c r="Y195" s="25"/>
    </row>
    <row r="196" spans="1:25" ht="14.25" customHeight="1">
      <c r="A196" s="236">
        <v>1</v>
      </c>
      <c r="B196" s="237" t="s">
        <v>3286</v>
      </c>
      <c r="C196" s="22">
        <v>197</v>
      </c>
      <c r="D196" s="22">
        <v>10</v>
      </c>
      <c r="E196" s="241">
        <v>43503</v>
      </c>
      <c r="F196" s="121" t="str">
        <f>HYPERLINK("https://nasional.tempo.co/read/1173116/pks-tolak-ruu-penghapusan-kekerasan-seksual ","sumber")</f>
        <v>sumber</v>
      </c>
      <c r="G196" s="223" t="s">
        <v>1</v>
      </c>
      <c r="H196" s="23" t="s">
        <v>2872</v>
      </c>
      <c r="I196" s="22">
        <v>4</v>
      </c>
      <c r="J196" s="22">
        <v>3</v>
      </c>
      <c r="K196" s="123" t="s">
        <v>3287</v>
      </c>
      <c r="L196" s="22">
        <v>0</v>
      </c>
      <c r="M196" s="22">
        <v>0</v>
      </c>
      <c r="N196" s="22">
        <v>0</v>
      </c>
      <c r="O196" s="22">
        <v>0</v>
      </c>
      <c r="P196" s="22">
        <v>0</v>
      </c>
      <c r="Q196" s="22" t="s">
        <v>182</v>
      </c>
      <c r="R196" s="22" t="s">
        <v>141</v>
      </c>
      <c r="S196" s="134"/>
      <c r="T196" s="22">
        <v>0</v>
      </c>
      <c r="U196" s="22">
        <v>0</v>
      </c>
      <c r="V196" s="22">
        <v>0</v>
      </c>
      <c r="W196" s="23"/>
      <c r="X196" s="23"/>
      <c r="Y196" s="23"/>
    </row>
    <row r="197" spans="1:25" ht="14.25" customHeight="1">
      <c r="A197" s="236">
        <v>1</v>
      </c>
      <c r="B197" s="237" t="s">
        <v>3288</v>
      </c>
      <c r="C197" s="22">
        <v>198</v>
      </c>
      <c r="D197" s="22">
        <v>3</v>
      </c>
      <c r="E197" s="241">
        <v>43504</v>
      </c>
      <c r="F197" s="121" t="str">
        <f>HYPERLINK("https://lifestyle.okezone.com/read/2019/02/08/194/2015281/terjerat-narkoba-intip-4-penampilan-reva-alexa-selebgram-yang-dulunya-pria ","sumber")</f>
        <v>sumber</v>
      </c>
      <c r="G197" s="223" t="s">
        <v>1</v>
      </c>
      <c r="H197" s="23" t="s">
        <v>3289</v>
      </c>
      <c r="I197" s="22">
        <v>2</v>
      </c>
      <c r="J197" s="22">
        <v>3</v>
      </c>
      <c r="K197" s="123"/>
      <c r="L197" s="22">
        <v>-1</v>
      </c>
      <c r="M197" s="22">
        <v>0</v>
      </c>
      <c r="N197" s="22">
        <v>0</v>
      </c>
      <c r="O197" s="22">
        <v>0</v>
      </c>
      <c r="P197" s="22">
        <v>0</v>
      </c>
      <c r="Q197" s="23"/>
      <c r="R197" s="23"/>
      <c r="S197" s="123" t="s">
        <v>3290</v>
      </c>
      <c r="T197" s="22">
        <v>1</v>
      </c>
      <c r="U197" s="22">
        <v>-1</v>
      </c>
      <c r="V197" s="22">
        <v>0</v>
      </c>
      <c r="W197" s="23"/>
      <c r="X197" s="23"/>
      <c r="Y197" s="23"/>
    </row>
    <row r="198" spans="1:25" ht="14.25" customHeight="1">
      <c r="A198" s="171">
        <v>2</v>
      </c>
      <c r="B198" s="239" t="s">
        <v>3291</v>
      </c>
      <c r="C198" s="25">
        <v>199</v>
      </c>
      <c r="D198" s="25">
        <v>6</v>
      </c>
      <c r="E198" s="242">
        <v>43506</v>
      </c>
      <c r="F198" s="115" t="str">
        <f>HYPERLINK("https://regional.kompas.com/read/2019/02/10/13474221/pelanggaran-perda-syariat-islam-didominasi-remaja-dan-ibu-muda ","sumber")</f>
        <v>sumber</v>
      </c>
      <c r="G198" s="228" t="s">
        <v>1</v>
      </c>
      <c r="H198" s="26" t="s">
        <v>3292</v>
      </c>
      <c r="I198" s="25">
        <v>2</v>
      </c>
      <c r="J198" s="25">
        <v>3</v>
      </c>
      <c r="K198" s="124"/>
      <c r="L198" s="26"/>
      <c r="M198" s="26"/>
      <c r="N198" s="26"/>
      <c r="O198" s="26"/>
      <c r="P198" s="26"/>
      <c r="Q198" s="26"/>
      <c r="R198" s="26"/>
      <c r="S198" s="124"/>
      <c r="T198" s="26"/>
      <c r="U198" s="26"/>
      <c r="V198" s="26"/>
      <c r="W198" s="26"/>
      <c r="X198" s="26"/>
      <c r="Y198" s="25"/>
    </row>
    <row r="199" spans="1:25" ht="14.25" customHeight="1">
      <c r="A199" s="236">
        <v>1</v>
      </c>
      <c r="B199" s="237" t="s">
        <v>3293</v>
      </c>
      <c r="C199" s="22">
        <v>200</v>
      </c>
      <c r="D199" s="22">
        <v>4</v>
      </c>
      <c r="E199" s="241">
        <v>43506</v>
      </c>
      <c r="F199" s="121" t="str">
        <f>HYPERLINK("https://www.liputan6.com/global/read/3891328/ditekan-arab-saudi-2-muslimah-anggota-kongres-as-semakin-garang ","sumber")</f>
        <v>sumber</v>
      </c>
      <c r="G199" s="223" t="s">
        <v>1</v>
      </c>
      <c r="H199" s="23" t="s">
        <v>2938</v>
      </c>
      <c r="I199" s="22">
        <v>1</v>
      </c>
      <c r="J199" s="22">
        <v>1</v>
      </c>
      <c r="K199" s="123" t="s">
        <v>3294</v>
      </c>
      <c r="L199" s="22">
        <v>0</v>
      </c>
      <c r="M199" s="22">
        <v>1</v>
      </c>
      <c r="N199" s="22">
        <v>0</v>
      </c>
      <c r="O199" s="22">
        <v>0</v>
      </c>
      <c r="P199" s="22">
        <v>0</v>
      </c>
      <c r="Q199" s="22" t="s">
        <v>57</v>
      </c>
      <c r="R199" s="22" t="s">
        <v>3295</v>
      </c>
      <c r="S199" s="134"/>
      <c r="T199" s="22">
        <v>0</v>
      </c>
      <c r="U199" s="22">
        <v>0</v>
      </c>
      <c r="V199" s="22">
        <v>0</v>
      </c>
      <c r="W199" s="23"/>
      <c r="X199" s="23"/>
      <c r="Y199" s="23"/>
    </row>
    <row r="200" spans="1:25" ht="14.25" customHeight="1">
      <c r="A200" s="211">
        <v>1</v>
      </c>
      <c r="B200" s="46" t="s">
        <v>3296</v>
      </c>
      <c r="C200" s="203">
        <v>201</v>
      </c>
      <c r="D200" s="33">
        <v>1</v>
      </c>
      <c r="E200" s="249">
        <v>43508</v>
      </c>
      <c r="F200" s="130" t="str">
        <f>HYPERLINK("https://news.detik.com/berita/d-4425266/ketum-ppp-tegaskan-partainya-tolak-lgbt ","sumber")</f>
        <v>sumber</v>
      </c>
      <c r="G200" s="231" t="s">
        <v>1</v>
      </c>
      <c r="H200" s="33">
        <v>277</v>
      </c>
      <c r="I200" s="33">
        <v>1</v>
      </c>
      <c r="J200" s="33">
        <v>3</v>
      </c>
      <c r="K200" s="131" t="s">
        <v>3297</v>
      </c>
      <c r="L200" s="33">
        <v>0</v>
      </c>
      <c r="M200" s="33">
        <v>-1</v>
      </c>
      <c r="N200" s="33">
        <v>0</v>
      </c>
      <c r="O200" s="33">
        <v>0</v>
      </c>
      <c r="P200" s="33">
        <v>0</v>
      </c>
      <c r="Q200" s="33">
        <v>0</v>
      </c>
      <c r="R200" s="33">
        <v>-1</v>
      </c>
      <c r="S200" s="131"/>
      <c r="T200" s="33">
        <v>0</v>
      </c>
      <c r="U200" s="33">
        <v>0</v>
      </c>
      <c r="V200" s="33">
        <v>0</v>
      </c>
      <c r="W200" s="24"/>
      <c r="X200" s="24"/>
      <c r="Y200" s="33"/>
    </row>
    <row r="201" spans="1:25" ht="14.25" customHeight="1">
      <c r="A201" s="211">
        <v>1</v>
      </c>
      <c r="B201" s="46" t="s">
        <v>3298</v>
      </c>
      <c r="C201" s="33">
        <v>202</v>
      </c>
      <c r="D201" s="33">
        <v>2</v>
      </c>
      <c r="E201" s="249">
        <v>43509</v>
      </c>
      <c r="F201" s="130" t="str">
        <f>HYPERLINK("https://www.cnnindonesia.com/teknologi/20190213093029-185-368770/kominfo-tutup-akun-instagram-komik-muslim-gay ","sumber")</f>
        <v>sumber</v>
      </c>
      <c r="G201" s="231" t="s">
        <v>1</v>
      </c>
      <c r="H201" s="33">
        <v>139</v>
      </c>
      <c r="I201" s="33">
        <v>1</v>
      </c>
      <c r="J201" s="33">
        <v>3</v>
      </c>
      <c r="K201" s="131" t="s">
        <v>3299</v>
      </c>
      <c r="L201" s="33">
        <v>0</v>
      </c>
      <c r="M201" s="33">
        <v>-1</v>
      </c>
      <c r="N201" s="33">
        <v>0</v>
      </c>
      <c r="O201" s="33">
        <v>0</v>
      </c>
      <c r="P201" s="33">
        <v>0</v>
      </c>
      <c r="Q201" s="33">
        <v>0</v>
      </c>
      <c r="R201" s="33">
        <v>0</v>
      </c>
      <c r="S201" s="131"/>
      <c r="T201" s="33">
        <v>0</v>
      </c>
      <c r="U201" s="33">
        <v>0</v>
      </c>
      <c r="V201" s="33">
        <v>0</v>
      </c>
      <c r="W201" s="24"/>
      <c r="X201" s="24"/>
      <c r="Y201" s="33"/>
    </row>
    <row r="202" spans="1:25" ht="14.25" customHeight="1">
      <c r="A202" s="236">
        <v>1</v>
      </c>
      <c r="B202" s="237" t="s">
        <v>3300</v>
      </c>
      <c r="C202" s="22">
        <v>203</v>
      </c>
      <c r="D202" s="22">
        <v>3</v>
      </c>
      <c r="E202" s="241">
        <v>43510</v>
      </c>
      <c r="F202" s="121" t="str">
        <f>HYPERLINK("https://celebrity.okezone.com/read/2019/02/14/33/2018032/kontroversi-jupiter-fortissimo-pengakuan-gay-hingga-narkoba ","sumber")</f>
        <v>sumber</v>
      </c>
      <c r="G202" s="223" t="s">
        <v>1</v>
      </c>
      <c r="H202" s="23" t="s">
        <v>3301</v>
      </c>
      <c r="I202" s="22">
        <v>2</v>
      </c>
      <c r="J202" s="22">
        <v>3</v>
      </c>
      <c r="K202" s="123" t="s">
        <v>3302</v>
      </c>
      <c r="L202" s="22">
        <v>0</v>
      </c>
      <c r="M202" s="22">
        <v>0</v>
      </c>
      <c r="N202" s="22">
        <v>0</v>
      </c>
      <c r="O202" s="22">
        <v>0</v>
      </c>
      <c r="P202" s="22">
        <v>0</v>
      </c>
      <c r="Q202" s="22" t="s">
        <v>3147</v>
      </c>
      <c r="R202" s="22" t="s">
        <v>246</v>
      </c>
      <c r="S202" s="123" t="s">
        <v>3303</v>
      </c>
      <c r="T202" s="22">
        <v>2</v>
      </c>
      <c r="U202" s="22">
        <v>-1</v>
      </c>
      <c r="V202" s="22">
        <v>0</v>
      </c>
      <c r="W202" s="23"/>
      <c r="X202" s="23"/>
      <c r="Y202" s="23"/>
    </row>
    <row r="203" spans="1:25" ht="14.25" customHeight="1">
      <c r="A203" s="148">
        <v>1</v>
      </c>
      <c r="B203" s="55" t="s">
        <v>3304</v>
      </c>
      <c r="C203" s="203">
        <v>204</v>
      </c>
      <c r="D203" s="33">
        <v>1</v>
      </c>
      <c r="E203" s="243">
        <v>43504</v>
      </c>
      <c r="F203" s="130" t="str">
        <f>HYPERLINK("https://news.detik.com/berita/d-4418975/reva-alexa-mengaku-transgender-polisi-belum-dapat-dokumen-pengesahan-pengadilan ","sumber")</f>
        <v>sumber</v>
      </c>
      <c r="G203" s="231" t="s">
        <v>1</v>
      </c>
      <c r="H203" s="33">
        <v>218</v>
      </c>
      <c r="I203" s="33">
        <v>1</v>
      </c>
      <c r="J203" s="33">
        <v>3</v>
      </c>
      <c r="K203" s="131" t="s">
        <v>3305</v>
      </c>
      <c r="L203" s="33">
        <v>0</v>
      </c>
      <c r="M203" s="33">
        <v>-1</v>
      </c>
      <c r="N203" s="33">
        <v>0</v>
      </c>
      <c r="O203" s="33">
        <v>0</v>
      </c>
      <c r="P203" s="33">
        <v>0</v>
      </c>
      <c r="Q203" s="33">
        <v>0</v>
      </c>
      <c r="R203" s="33">
        <v>0</v>
      </c>
      <c r="S203" s="131"/>
      <c r="T203" s="33">
        <v>0</v>
      </c>
      <c r="U203" s="33">
        <v>-1</v>
      </c>
      <c r="V203" s="33">
        <v>0</v>
      </c>
      <c r="W203" s="24"/>
      <c r="X203" s="24"/>
      <c r="Y203" s="33"/>
    </row>
    <row r="204" spans="1:25" ht="14.25" customHeight="1">
      <c r="A204" s="211">
        <v>1</v>
      </c>
      <c r="B204" s="46" t="s">
        <v>3306</v>
      </c>
      <c r="C204" s="33">
        <v>205</v>
      </c>
      <c r="D204" s="33">
        <v>10</v>
      </c>
      <c r="E204" s="243">
        <v>43522</v>
      </c>
      <c r="F204" s="130" t="str">
        <f>HYPERLINK("https://dunia.tempo.co/read/1179402/operasi-plastik-gagal-transgender-ini-malu-keluar-rumah ","sumber")</f>
        <v>sumber</v>
      </c>
      <c r="G204" s="231" t="s">
        <v>1</v>
      </c>
      <c r="H204" s="33">
        <v>384</v>
      </c>
      <c r="I204" s="33">
        <v>2</v>
      </c>
      <c r="J204" s="33">
        <v>3</v>
      </c>
      <c r="K204" s="131" t="s">
        <v>3307</v>
      </c>
      <c r="L204" s="33">
        <v>0</v>
      </c>
      <c r="M204" s="33">
        <v>0</v>
      </c>
      <c r="N204" s="33">
        <v>0</v>
      </c>
      <c r="O204" s="33">
        <v>0</v>
      </c>
      <c r="P204" s="33">
        <v>0</v>
      </c>
      <c r="Q204" s="33">
        <v>2</v>
      </c>
      <c r="R204" s="33">
        <v>0</v>
      </c>
      <c r="S204" s="131" t="s">
        <v>3308</v>
      </c>
      <c r="T204" s="33">
        <v>1</v>
      </c>
      <c r="U204" s="33">
        <v>0</v>
      </c>
      <c r="V204" s="33">
        <v>0</v>
      </c>
      <c r="W204" s="24"/>
      <c r="X204" s="24"/>
      <c r="Y204" s="33"/>
    </row>
    <row r="205" spans="1:25" ht="14.25" customHeight="1">
      <c r="A205" s="171">
        <v>2</v>
      </c>
      <c r="B205" s="239" t="s">
        <v>3309</v>
      </c>
      <c r="C205" s="25">
        <v>206</v>
      </c>
      <c r="D205" s="25">
        <v>1</v>
      </c>
      <c r="E205" s="242">
        <v>43517</v>
      </c>
      <c r="F205" s="115" t="str">
        <f>HYPERLINK("https://news.detik.com/berita/d-4438785/di-munajat-212-ketum-fpi-bicara-soal-kasus-habib-bahar-hingga-ahmad-dhani ","sumber")</f>
        <v>sumber</v>
      </c>
      <c r="G205" s="228" t="s">
        <v>1</v>
      </c>
      <c r="H205" s="26" t="s">
        <v>3310</v>
      </c>
      <c r="I205" s="25">
        <v>1</v>
      </c>
      <c r="J205" s="25">
        <v>3</v>
      </c>
      <c r="K205" s="124"/>
      <c r="L205" s="26"/>
      <c r="M205" s="26"/>
      <c r="N205" s="26"/>
      <c r="O205" s="26"/>
      <c r="P205" s="26"/>
      <c r="Q205" s="26"/>
      <c r="R205" s="26"/>
      <c r="S205" s="124"/>
      <c r="T205" s="26"/>
      <c r="U205" s="26"/>
      <c r="V205" s="26"/>
      <c r="W205" s="26"/>
      <c r="X205" s="26"/>
      <c r="Y205" s="25"/>
    </row>
    <row r="206" spans="1:25" ht="14.25" customHeight="1">
      <c r="A206" s="236">
        <v>1</v>
      </c>
      <c r="B206" s="237" t="s">
        <v>3311</v>
      </c>
      <c r="C206" s="185">
        <v>207</v>
      </c>
      <c r="D206" s="22">
        <v>4</v>
      </c>
      <c r="E206" s="241">
        <v>43518</v>
      </c>
      <c r="F206" s="121" t="str">
        <f>HYPERLINK("https://www.liputan6.com/showbiz/read/3901162/senyum-semringah-millendaru-makan-malam-bareng-dipo-latief ","sumber")</f>
        <v>sumber</v>
      </c>
      <c r="G206" s="223" t="s">
        <v>1</v>
      </c>
      <c r="H206" s="23" t="s">
        <v>2998</v>
      </c>
      <c r="I206" s="22">
        <v>2</v>
      </c>
      <c r="J206" s="22">
        <v>3</v>
      </c>
      <c r="K206" s="123"/>
      <c r="L206" s="22">
        <v>0</v>
      </c>
      <c r="M206" s="22">
        <v>0</v>
      </c>
      <c r="N206" s="22">
        <v>0</v>
      </c>
      <c r="O206" s="22">
        <v>0</v>
      </c>
      <c r="P206" s="22">
        <v>0</v>
      </c>
      <c r="Q206" s="23"/>
      <c r="R206" s="23"/>
      <c r="S206" s="123" t="s">
        <v>3312</v>
      </c>
      <c r="T206" s="22">
        <v>1</v>
      </c>
      <c r="U206" s="22">
        <v>-1</v>
      </c>
      <c r="V206" s="22">
        <v>0</v>
      </c>
      <c r="W206" s="23"/>
      <c r="X206" s="23"/>
      <c r="Y206" s="23"/>
    </row>
    <row r="207" spans="1:25" ht="14.25" customHeight="1">
      <c r="A207" s="171">
        <v>2</v>
      </c>
      <c r="B207" s="239" t="s">
        <v>3313</v>
      </c>
      <c r="C207" s="25">
        <v>208</v>
      </c>
      <c r="D207" s="25">
        <v>7</v>
      </c>
      <c r="E207" s="242">
        <v>43518</v>
      </c>
      <c r="F207" s="115" t="str">
        <f>HYPERLINK("http://www.tribunnews.com/superskor/2019/02/22/lima-ketengilan-cristiano-ronaldo-bicara-homo-hingga-pegang-alat-vital ","sumber")</f>
        <v>sumber</v>
      </c>
      <c r="G207" s="228" t="s">
        <v>1</v>
      </c>
      <c r="H207" s="26" t="s">
        <v>3314</v>
      </c>
      <c r="I207" s="25">
        <v>2</v>
      </c>
      <c r="J207" s="25">
        <v>3</v>
      </c>
      <c r="K207" s="116" t="s">
        <v>3315</v>
      </c>
      <c r="L207" s="25">
        <v>0</v>
      </c>
      <c r="M207" s="25">
        <v>0</v>
      </c>
      <c r="N207" s="25">
        <v>0</v>
      </c>
      <c r="O207" s="25">
        <v>0</v>
      </c>
      <c r="P207" s="25">
        <v>0</v>
      </c>
      <c r="Q207" s="25" t="s">
        <v>29</v>
      </c>
      <c r="R207" s="25" t="s">
        <v>30</v>
      </c>
      <c r="S207" s="124"/>
      <c r="T207" s="25">
        <v>0</v>
      </c>
      <c r="U207" s="26"/>
      <c r="V207" s="26"/>
      <c r="W207" s="26"/>
      <c r="X207" s="26"/>
      <c r="Y207" s="26"/>
    </row>
    <row r="208" spans="1:25" ht="14.25" customHeight="1">
      <c r="A208" s="236">
        <v>1</v>
      </c>
      <c r="B208" s="237" t="s">
        <v>3316</v>
      </c>
      <c r="C208" s="22">
        <v>209</v>
      </c>
      <c r="D208" s="22">
        <v>2</v>
      </c>
      <c r="E208" s="241">
        <v>43519</v>
      </c>
      <c r="F208" s="121" t="str">
        <f>HYPERLINK("https://www.cnnindonesia.com/nasional/20190222200631-20-371945/pemerintah-targetkan-ruu-pks-disahkan-agustus-2019 ","sumber")</f>
        <v>sumber</v>
      </c>
      <c r="G208" s="223" t="s">
        <v>1</v>
      </c>
      <c r="H208" s="23" t="s">
        <v>3119</v>
      </c>
      <c r="I208" s="22">
        <v>4</v>
      </c>
      <c r="J208" s="22">
        <v>5</v>
      </c>
      <c r="K208" s="123" t="s">
        <v>3317</v>
      </c>
      <c r="L208" s="22">
        <v>0</v>
      </c>
      <c r="M208" s="22">
        <v>0</v>
      </c>
      <c r="N208" s="22">
        <v>0</v>
      </c>
      <c r="O208" s="22">
        <v>0</v>
      </c>
      <c r="P208" s="22">
        <v>0</v>
      </c>
      <c r="Q208" s="22">
        <v>0</v>
      </c>
      <c r="R208" s="22">
        <v>1</v>
      </c>
      <c r="S208" s="134"/>
      <c r="T208" s="22">
        <v>0</v>
      </c>
      <c r="U208" s="22">
        <v>0</v>
      </c>
      <c r="V208" s="22">
        <v>1</v>
      </c>
      <c r="W208" s="23"/>
      <c r="X208" s="23"/>
      <c r="Y208" s="23"/>
    </row>
    <row r="209" spans="1:25" ht="14.25" customHeight="1">
      <c r="A209" s="236">
        <v>1</v>
      </c>
      <c r="B209" s="237" t="s">
        <v>3318</v>
      </c>
      <c r="C209" s="185">
        <v>210</v>
      </c>
      <c r="D209" s="22">
        <v>4</v>
      </c>
      <c r="E209" s="241">
        <v>43522</v>
      </c>
      <c r="F209" s="121" t="str">
        <f>HYPERLINK("https://www.liputan6.com/regional/read/3903735/miris-homoseksual-mengerek-angka-penderita-hivaids-di-serambi-makkah","sumber")</f>
        <v>sumber</v>
      </c>
      <c r="G209" s="223" t="s">
        <v>1</v>
      </c>
      <c r="H209" s="23" t="s">
        <v>3319</v>
      </c>
      <c r="I209" s="22">
        <v>2</v>
      </c>
      <c r="J209" s="22">
        <v>3</v>
      </c>
      <c r="K209" s="123" t="s">
        <v>3320</v>
      </c>
      <c r="L209" s="22">
        <v>0</v>
      </c>
      <c r="M209" s="22">
        <v>0</v>
      </c>
      <c r="N209" s="22">
        <v>0</v>
      </c>
      <c r="O209" s="22">
        <v>0</v>
      </c>
      <c r="P209" s="22">
        <v>-1</v>
      </c>
      <c r="Q209" s="22">
        <v>0</v>
      </c>
      <c r="R209" s="22">
        <v>-1</v>
      </c>
      <c r="S209" s="123" t="s">
        <v>3321</v>
      </c>
      <c r="T209" s="22">
        <v>2</v>
      </c>
      <c r="U209" s="22">
        <v>0</v>
      </c>
      <c r="V209" s="22">
        <v>0</v>
      </c>
      <c r="W209" s="23"/>
      <c r="X209" s="23"/>
      <c r="Y209" s="23"/>
    </row>
    <row r="210" spans="1:25" ht="14.25" customHeight="1">
      <c r="A210" s="236">
        <v>1</v>
      </c>
      <c r="B210" s="237" t="s">
        <v>3322</v>
      </c>
      <c r="C210" s="22">
        <v>211</v>
      </c>
      <c r="D210" s="22">
        <v>4</v>
      </c>
      <c r="E210" s="241">
        <v>43523</v>
      </c>
      <c r="F210" s="121" t="str">
        <f>HYPERLINK("https://www.liputan6.com/health/read/3904928/kenali-penyebab-dan-cara-mengatasi-depresi-jangan-sepelekan","sumber")</f>
        <v>sumber</v>
      </c>
      <c r="G210" s="223" t="s">
        <v>1</v>
      </c>
      <c r="H210" s="23" t="s">
        <v>3159</v>
      </c>
      <c r="I210" s="22">
        <v>2</v>
      </c>
      <c r="J210" s="22">
        <v>5</v>
      </c>
      <c r="K210" s="123" t="s">
        <v>3323</v>
      </c>
      <c r="L210" s="22">
        <v>0</v>
      </c>
      <c r="M210" s="22">
        <v>0</v>
      </c>
      <c r="N210" s="22">
        <v>0</v>
      </c>
      <c r="O210" s="22">
        <v>0</v>
      </c>
      <c r="P210" s="22">
        <v>0</v>
      </c>
      <c r="Q210" s="22">
        <v>0</v>
      </c>
      <c r="R210" s="22">
        <v>0</v>
      </c>
      <c r="S210" s="134"/>
      <c r="T210" s="22">
        <v>0</v>
      </c>
      <c r="U210" s="22">
        <v>0</v>
      </c>
      <c r="V210" s="22">
        <v>0</v>
      </c>
      <c r="W210" s="23"/>
      <c r="X210" s="23"/>
      <c r="Y210" s="23"/>
    </row>
    <row r="211" spans="1:25" ht="14.25" customHeight="1">
      <c r="A211" s="236">
        <v>1</v>
      </c>
      <c r="B211" s="237" t="s">
        <v>1414</v>
      </c>
      <c r="C211" s="22">
        <v>212</v>
      </c>
      <c r="D211" s="22">
        <v>5</v>
      </c>
      <c r="E211" s="241">
        <v>43526</v>
      </c>
      <c r="F211" s="121" t="str">
        <f>HYPERLINK("https://tirto.id/masalah-kekerasan-seksual-adalah-problem-kita-semua-dieG ","sumber")</f>
        <v>sumber</v>
      </c>
      <c r="G211" s="223" t="s">
        <v>1</v>
      </c>
      <c r="H211" s="23" t="s">
        <v>3324</v>
      </c>
      <c r="I211" s="22">
        <v>4</v>
      </c>
      <c r="J211" s="22">
        <v>3</v>
      </c>
      <c r="K211" s="123" t="s">
        <v>3325</v>
      </c>
      <c r="L211" s="22">
        <v>0</v>
      </c>
      <c r="M211" s="22">
        <v>0</v>
      </c>
      <c r="N211" s="22">
        <v>0</v>
      </c>
      <c r="O211" s="22">
        <v>0</v>
      </c>
      <c r="P211" s="22">
        <v>0</v>
      </c>
      <c r="Q211" s="22" t="s">
        <v>106</v>
      </c>
      <c r="R211" s="22" t="s">
        <v>360</v>
      </c>
      <c r="S211" s="134"/>
      <c r="T211" s="22">
        <v>0</v>
      </c>
      <c r="U211" s="22">
        <v>0</v>
      </c>
      <c r="V211" s="22">
        <v>1</v>
      </c>
      <c r="W211" s="23"/>
      <c r="X211" s="23"/>
      <c r="Y211" s="23"/>
    </row>
    <row r="212" spans="1:25" ht="14.25" customHeight="1">
      <c r="A212" s="236">
        <v>1</v>
      </c>
      <c r="B212" s="237" t="s">
        <v>3326</v>
      </c>
      <c r="C212" s="22">
        <v>213</v>
      </c>
      <c r="D212" s="22">
        <v>2</v>
      </c>
      <c r="E212" s="241">
        <v>43538</v>
      </c>
      <c r="F212" s="121" t="str">
        <f>HYPERLINK("https://www.cnnindonesia.com/internasional/20190314150551-134-377265/ri-sebut-isu-pelanggaran-ham-papua-di-dewan-ham-pbb-tak-laku ","sumber")</f>
        <v>sumber</v>
      </c>
      <c r="G212" s="223" t="s">
        <v>1</v>
      </c>
      <c r="H212" s="23" t="s">
        <v>3241</v>
      </c>
      <c r="I212" s="22">
        <v>1</v>
      </c>
      <c r="J212" s="22">
        <v>3</v>
      </c>
      <c r="K212" s="123" t="s">
        <v>3327</v>
      </c>
      <c r="L212" s="22">
        <v>0</v>
      </c>
      <c r="M212" s="22">
        <v>1</v>
      </c>
      <c r="N212" s="22">
        <v>0</v>
      </c>
      <c r="O212" s="22">
        <v>0</v>
      </c>
      <c r="P212" s="22">
        <v>0</v>
      </c>
      <c r="Q212" s="22">
        <v>0</v>
      </c>
      <c r="R212" s="22">
        <v>0</v>
      </c>
      <c r="S212" s="134"/>
      <c r="T212" s="22">
        <v>0</v>
      </c>
      <c r="U212" s="22">
        <v>0</v>
      </c>
      <c r="V212" s="22">
        <v>0</v>
      </c>
      <c r="W212" s="23"/>
      <c r="X212" s="23"/>
      <c r="Y212" s="23"/>
    </row>
    <row r="213" spans="1:25" ht="14.25" customHeight="1">
      <c r="A213" s="236">
        <v>1</v>
      </c>
      <c r="B213" s="237" t="s">
        <v>3328</v>
      </c>
      <c r="C213" s="22">
        <v>214</v>
      </c>
      <c r="D213" s="22">
        <v>3</v>
      </c>
      <c r="E213" s="241">
        <v>43538</v>
      </c>
      <c r="F213" s="121" t="str">
        <f>HYPERLINK("https://celebrity.okezone.com/read/2019/03/14/33/2029806/lucinta-luna-pamer-pacar-baru-netizen-mirip-nicholas-saputra ","sumber")</f>
        <v>sumber</v>
      </c>
      <c r="G213" s="223" t="s">
        <v>1</v>
      </c>
      <c r="H213" s="23" t="s">
        <v>3088</v>
      </c>
      <c r="I213" s="22">
        <v>2</v>
      </c>
      <c r="J213" s="22">
        <v>3</v>
      </c>
      <c r="K213" s="123" t="s">
        <v>3329</v>
      </c>
      <c r="L213" s="22">
        <v>0</v>
      </c>
      <c r="M213" s="22">
        <v>0</v>
      </c>
      <c r="N213" s="22">
        <v>0</v>
      </c>
      <c r="O213" s="22">
        <v>0</v>
      </c>
      <c r="P213" s="22">
        <v>-1</v>
      </c>
      <c r="Q213" s="22" t="s">
        <v>48</v>
      </c>
      <c r="R213" s="22" t="s">
        <v>21</v>
      </c>
      <c r="S213" s="134"/>
      <c r="T213" s="22">
        <v>0</v>
      </c>
      <c r="U213" s="22">
        <v>-1</v>
      </c>
      <c r="V213" s="22">
        <v>0</v>
      </c>
      <c r="W213" s="23"/>
      <c r="X213" s="23"/>
      <c r="Y213" s="23"/>
    </row>
    <row r="214" spans="1:25" ht="14.25" customHeight="1">
      <c r="A214" s="236">
        <v>1</v>
      </c>
      <c r="B214" s="237" t="s">
        <v>3330</v>
      </c>
      <c r="C214" s="22">
        <v>215</v>
      </c>
      <c r="D214" s="22">
        <v>7</v>
      </c>
      <c r="E214" s="241">
        <v>43538</v>
      </c>
      <c r="F214" s="121" t="str">
        <f>HYPERLINK("https://www.tribunnews.com/nasional/2019/03/14/cak-imin-luncurkan-gerakan-nusantara-bertauhid","sumber")</f>
        <v>sumber</v>
      </c>
      <c r="G214" s="223" t="s">
        <v>1</v>
      </c>
      <c r="H214" s="23" t="s">
        <v>3331</v>
      </c>
      <c r="I214" s="22">
        <v>1</v>
      </c>
      <c r="J214" s="22">
        <v>3</v>
      </c>
      <c r="K214" s="123" t="s">
        <v>3332</v>
      </c>
      <c r="L214" s="22">
        <v>0</v>
      </c>
      <c r="M214" s="22">
        <v>-1</v>
      </c>
      <c r="N214" s="22">
        <v>0</v>
      </c>
      <c r="O214" s="22">
        <v>0</v>
      </c>
      <c r="P214" s="22">
        <v>0</v>
      </c>
      <c r="Q214" s="22" t="s">
        <v>29</v>
      </c>
      <c r="R214" s="22" t="s">
        <v>653</v>
      </c>
      <c r="S214" s="134"/>
      <c r="T214" s="22">
        <v>0</v>
      </c>
      <c r="U214" s="22">
        <v>0</v>
      </c>
      <c r="V214" s="22">
        <v>0</v>
      </c>
      <c r="W214" s="23"/>
      <c r="X214" s="23"/>
      <c r="Y214" s="23"/>
    </row>
    <row r="215" spans="1:25" ht="14.25" customHeight="1">
      <c r="A215" s="236">
        <v>1</v>
      </c>
      <c r="B215" s="237" t="s">
        <v>3333</v>
      </c>
      <c r="C215" s="22">
        <v>216</v>
      </c>
      <c r="D215" s="22">
        <v>5</v>
      </c>
      <c r="E215" s="241">
        <v>43548</v>
      </c>
      <c r="F215" s="121" t="str">
        <f>HYPERLINK("https://tirto.id/kampanye-perdana-di-serang-jokowi-mustahil-melarang-azan-dkbe ","sumber")</f>
        <v>sumber</v>
      </c>
      <c r="G215" s="223" t="s">
        <v>1</v>
      </c>
      <c r="H215" s="23" t="s">
        <v>3226</v>
      </c>
      <c r="I215" s="22">
        <v>1</v>
      </c>
      <c r="J215" s="22">
        <v>3</v>
      </c>
      <c r="K215" s="123" t="s">
        <v>3334</v>
      </c>
      <c r="L215" s="22">
        <v>0</v>
      </c>
      <c r="M215" s="22">
        <v>-1</v>
      </c>
      <c r="N215" s="22">
        <v>0</v>
      </c>
      <c r="O215" s="22">
        <v>0</v>
      </c>
      <c r="P215" s="22">
        <v>0</v>
      </c>
      <c r="Q215" s="22">
        <v>0</v>
      </c>
      <c r="R215" s="22">
        <v>-1</v>
      </c>
      <c r="S215" s="134"/>
      <c r="T215" s="22">
        <v>0</v>
      </c>
      <c r="U215" s="22">
        <v>0</v>
      </c>
      <c r="V215" s="22">
        <v>0</v>
      </c>
      <c r="W215" s="23"/>
      <c r="X215" s="23"/>
      <c r="Y215" s="23"/>
    </row>
    <row r="216" spans="1:25" ht="14.25" customHeight="1">
      <c r="A216" s="236">
        <v>1</v>
      </c>
      <c r="B216" s="237" t="s">
        <v>3335</v>
      </c>
      <c r="C216" s="22">
        <v>217</v>
      </c>
      <c r="D216" s="22">
        <v>2</v>
      </c>
      <c r="E216" s="241">
        <v>43549</v>
      </c>
      <c r="F216" s="121" t="str">
        <f>HYPERLINK("https://www.cnnindonesia.com/nasional/20190325163900-20-380502/mui-kaji-ruu-pks-agar-bisa-cegah-pernikahan-sejenis ","sumber")</f>
        <v>sumber</v>
      </c>
      <c r="G216" s="223" t="s">
        <v>1</v>
      </c>
      <c r="H216" s="23" t="s">
        <v>3336</v>
      </c>
      <c r="I216" s="22">
        <v>4</v>
      </c>
      <c r="J216" s="22">
        <v>3</v>
      </c>
      <c r="K216" s="123" t="s">
        <v>3337</v>
      </c>
      <c r="L216" s="22">
        <v>0</v>
      </c>
      <c r="M216" s="22">
        <v>0</v>
      </c>
      <c r="N216" s="22">
        <v>0</v>
      </c>
      <c r="O216" s="22">
        <v>0</v>
      </c>
      <c r="P216" s="22">
        <v>0</v>
      </c>
      <c r="Q216" s="22">
        <v>0</v>
      </c>
      <c r="R216" s="22">
        <v>-1</v>
      </c>
      <c r="S216" s="123" t="s">
        <v>3338</v>
      </c>
      <c r="T216" s="22">
        <v>2</v>
      </c>
      <c r="U216" s="22">
        <v>0</v>
      </c>
      <c r="V216" s="22">
        <v>0</v>
      </c>
      <c r="W216" s="23"/>
      <c r="X216" s="23"/>
      <c r="Y216" s="23"/>
    </row>
    <row r="217" spans="1:25" ht="14.25" customHeight="1">
      <c r="A217" s="236">
        <v>1</v>
      </c>
      <c r="B217" s="237" t="s">
        <v>3339</v>
      </c>
      <c r="C217" s="22">
        <v>218</v>
      </c>
      <c r="D217" s="22">
        <v>7</v>
      </c>
      <c r="E217" s="241">
        <v>43549</v>
      </c>
      <c r="F217" s="121" t="str">
        <f>HYPERLINK("http://www.tribunnews.com/seleb/2019/03/25/suami-lucinta-luna-terima-apa-adanya-status-transgender-ini-bahaya-operasi-kelamin-yang-mematikan ","sumber")</f>
        <v>sumber</v>
      </c>
      <c r="G217" s="223" t="s">
        <v>1</v>
      </c>
      <c r="H217" s="23" t="s">
        <v>3340</v>
      </c>
      <c r="I217" s="22">
        <v>2</v>
      </c>
      <c r="J217" s="22">
        <v>3</v>
      </c>
      <c r="K217" s="123" t="s">
        <v>3341</v>
      </c>
      <c r="L217" s="22">
        <v>0</v>
      </c>
      <c r="M217" s="22">
        <v>0</v>
      </c>
      <c r="N217" s="22">
        <v>-1</v>
      </c>
      <c r="O217" s="22">
        <v>0</v>
      </c>
      <c r="P217" s="22">
        <v>0</v>
      </c>
      <c r="Q217" s="22">
        <v>0</v>
      </c>
      <c r="R217" s="22">
        <v>-1</v>
      </c>
      <c r="S217" s="123" t="s">
        <v>3342</v>
      </c>
      <c r="T217" s="22">
        <v>1</v>
      </c>
      <c r="U217" s="22">
        <v>0</v>
      </c>
      <c r="V217" s="22">
        <v>0</v>
      </c>
      <c r="W217" s="23"/>
      <c r="X217" s="23"/>
      <c r="Y217" s="23"/>
    </row>
    <row r="218" spans="1:25" ht="14.25" customHeight="1">
      <c r="A218" s="236">
        <v>1</v>
      </c>
      <c r="B218" s="237" t="s">
        <v>3343</v>
      </c>
      <c r="C218" s="22">
        <v>219</v>
      </c>
      <c r="D218" s="22">
        <v>1</v>
      </c>
      <c r="E218" s="241">
        <v>43550</v>
      </c>
      <c r="F218" s="121" t="str">
        <f>HYPERLINK("https://news.detik.com/berita/d-4483232/dukungan-mui-di-tengah-polemik-ruu-pks ","sumber")</f>
        <v>sumber</v>
      </c>
      <c r="G218" s="223" t="s">
        <v>1</v>
      </c>
      <c r="H218" s="23" t="s">
        <v>3344</v>
      </c>
      <c r="I218" s="22">
        <v>4</v>
      </c>
      <c r="J218" s="22">
        <v>3</v>
      </c>
      <c r="K218" s="123" t="s">
        <v>3345</v>
      </c>
      <c r="L218" s="22">
        <v>0</v>
      </c>
      <c r="M218" s="22">
        <v>0</v>
      </c>
      <c r="N218" s="22">
        <v>0</v>
      </c>
      <c r="O218" s="22">
        <v>0</v>
      </c>
      <c r="P218" s="22">
        <v>0</v>
      </c>
      <c r="Q218" s="22" t="s">
        <v>29</v>
      </c>
      <c r="R218" s="22" t="s">
        <v>653</v>
      </c>
      <c r="S218" s="123" t="s">
        <v>1397</v>
      </c>
      <c r="T218" s="22">
        <v>1</v>
      </c>
      <c r="U218" s="22">
        <v>0</v>
      </c>
      <c r="V218" s="22">
        <v>0</v>
      </c>
      <c r="W218" s="23"/>
      <c r="X218" s="23"/>
      <c r="Y218" s="23"/>
    </row>
    <row r="219" spans="1:25" ht="14.25" customHeight="1">
      <c r="A219" s="236">
        <v>1</v>
      </c>
      <c r="B219" s="237" t="s">
        <v>3346</v>
      </c>
      <c r="C219" s="22">
        <v>220</v>
      </c>
      <c r="D219" s="22">
        <v>9</v>
      </c>
      <c r="E219" s="241">
        <v>43551</v>
      </c>
      <c r="F219" s="121" t="str">
        <f>HYPERLINK("https://nasional.republika.co.id/berita/nasional/umum/pp0yut335/jokowi-pembangunan-di-perbatasan-akan-kalahkan-malaysia ","sumber")</f>
        <v>sumber</v>
      </c>
      <c r="G219" s="223" t="s">
        <v>1</v>
      </c>
      <c r="H219" s="23" t="s">
        <v>3092</v>
      </c>
      <c r="I219" s="22">
        <v>1</v>
      </c>
      <c r="J219" s="22">
        <v>3</v>
      </c>
      <c r="K219" s="123" t="s">
        <v>3334</v>
      </c>
      <c r="L219" s="22">
        <v>0</v>
      </c>
      <c r="M219" s="22">
        <v>-1</v>
      </c>
      <c r="N219" s="22">
        <v>0</v>
      </c>
      <c r="O219" s="22">
        <v>0</v>
      </c>
      <c r="P219" s="22">
        <v>0</v>
      </c>
      <c r="Q219" s="22">
        <v>0</v>
      </c>
      <c r="R219" s="22">
        <v>-1</v>
      </c>
      <c r="S219" s="134"/>
      <c r="T219" s="22">
        <v>0</v>
      </c>
      <c r="U219" s="22">
        <v>0</v>
      </c>
      <c r="V219" s="22">
        <v>0</v>
      </c>
      <c r="W219" s="23"/>
      <c r="X219" s="23"/>
      <c r="Y219" s="23"/>
    </row>
    <row r="220" spans="1:25" ht="14.25" customHeight="1">
      <c r="A220" s="236">
        <v>1</v>
      </c>
      <c r="B220" s="237" t="s">
        <v>3347</v>
      </c>
      <c r="C220" s="22">
        <v>221</v>
      </c>
      <c r="D220" s="22">
        <v>4</v>
      </c>
      <c r="E220" s="241">
        <v>43554</v>
      </c>
      <c r="F220" s="121" t="str">
        <f>HYPERLINK("https://www.liputan6.com/global/read/3929753/protes-sanksi-rajam-homoseksual-george-clooney-serukan-boikot-hotel-brunei ","sumber")</f>
        <v>sumber</v>
      </c>
      <c r="G220" s="223" t="s">
        <v>1</v>
      </c>
      <c r="H220" s="23" t="s">
        <v>3348</v>
      </c>
      <c r="I220" s="22">
        <v>1</v>
      </c>
      <c r="J220" s="22">
        <v>3</v>
      </c>
      <c r="K220" s="123" t="s">
        <v>3349</v>
      </c>
      <c r="L220" s="22">
        <v>0</v>
      </c>
      <c r="M220" s="22">
        <v>1</v>
      </c>
      <c r="N220" s="22">
        <v>0</v>
      </c>
      <c r="O220" s="22">
        <v>0</v>
      </c>
      <c r="P220" s="22">
        <v>0</v>
      </c>
      <c r="Q220" s="22" t="s">
        <v>21</v>
      </c>
      <c r="R220" s="22" t="s">
        <v>1416</v>
      </c>
      <c r="S220" s="134"/>
      <c r="T220" s="22">
        <v>0</v>
      </c>
      <c r="U220" s="22">
        <v>0</v>
      </c>
      <c r="V220" s="22">
        <v>1</v>
      </c>
      <c r="W220" s="23"/>
      <c r="X220" s="23"/>
      <c r="Y220" s="23"/>
    </row>
    <row r="221" spans="1:25" ht="14.25" customHeight="1">
      <c r="A221" s="236">
        <v>1</v>
      </c>
      <c r="B221" s="237" t="s">
        <v>3350</v>
      </c>
      <c r="C221" s="22">
        <v>222</v>
      </c>
      <c r="D221" s="22">
        <v>7</v>
      </c>
      <c r="E221" s="241">
        <v>43554</v>
      </c>
      <c r="F221" s="121" t="str">
        <f>HYPERLINK("https://www.tribunnews.com/internasional/2019/03/30/george-clooney-serukan-pemboikotan-hotel-terkait-hukuman-mati-bagi-lgbt-di-brunei","sumber")</f>
        <v>sumber</v>
      </c>
      <c r="G221" s="223" t="s">
        <v>1</v>
      </c>
      <c r="H221" s="23" t="s">
        <v>3351</v>
      </c>
      <c r="I221" s="22">
        <v>1</v>
      </c>
      <c r="J221" s="22">
        <v>3</v>
      </c>
      <c r="K221" s="123" t="s">
        <v>3352</v>
      </c>
      <c r="L221" s="22">
        <v>0</v>
      </c>
      <c r="M221" s="22">
        <v>1</v>
      </c>
      <c r="N221" s="22">
        <v>0</v>
      </c>
      <c r="O221" s="22">
        <v>0</v>
      </c>
      <c r="P221" s="22">
        <v>0</v>
      </c>
      <c r="Q221" s="22" t="s">
        <v>3353</v>
      </c>
      <c r="R221" s="22" t="s">
        <v>1439</v>
      </c>
      <c r="S221" s="123" t="s">
        <v>3354</v>
      </c>
      <c r="T221" s="22">
        <v>1</v>
      </c>
      <c r="U221" s="22">
        <v>0</v>
      </c>
      <c r="V221" s="22">
        <v>0</v>
      </c>
      <c r="W221" s="23"/>
      <c r="X221" s="23"/>
      <c r="Y221" s="23"/>
    </row>
    <row r="222" spans="1:25" ht="14.25" customHeight="1">
      <c r="A222" s="236">
        <v>1</v>
      </c>
      <c r="B222" s="237" t="s">
        <v>3355</v>
      </c>
      <c r="C222" s="22">
        <v>223</v>
      </c>
      <c r="D222" s="22">
        <v>5</v>
      </c>
      <c r="E222" s="241">
        <v>43556</v>
      </c>
      <c r="F222" s="121" t="str">
        <f>HYPERLINK("https://tirto.id/elton-john-boikot-hotel-milik-sultan-brunei-karena-hukum-mati-lgbt-dkRe ","sumber")</f>
        <v>sumber</v>
      </c>
      <c r="G222" s="223" t="s">
        <v>1</v>
      </c>
      <c r="H222" s="23" t="s">
        <v>3356</v>
      </c>
      <c r="I222" s="22">
        <v>1</v>
      </c>
      <c r="J222" s="22">
        <v>3</v>
      </c>
      <c r="K222" s="123" t="s">
        <v>3357</v>
      </c>
      <c r="L222" s="22">
        <v>0</v>
      </c>
      <c r="M222" s="22">
        <v>1</v>
      </c>
      <c r="N222" s="22">
        <v>0</v>
      </c>
      <c r="O222" s="22">
        <v>0</v>
      </c>
      <c r="P222" s="22">
        <v>0</v>
      </c>
      <c r="Q222" s="22" t="s">
        <v>48</v>
      </c>
      <c r="R222" s="22" t="s">
        <v>309</v>
      </c>
      <c r="S222" s="123" t="s">
        <v>3358</v>
      </c>
      <c r="T222" s="22">
        <v>1</v>
      </c>
      <c r="U222" s="22">
        <v>0</v>
      </c>
      <c r="V222" s="22">
        <v>0</v>
      </c>
      <c r="W222" s="23"/>
      <c r="X222" s="23"/>
      <c r="Y222" s="23"/>
    </row>
    <row r="223" spans="1:25" ht="14.25" customHeight="1">
      <c r="A223" s="236">
        <v>1</v>
      </c>
      <c r="B223" s="237" t="s">
        <v>726</v>
      </c>
      <c r="C223" s="22">
        <v>224</v>
      </c>
      <c r="D223" s="22">
        <v>4</v>
      </c>
      <c r="E223" s="241">
        <v>43559</v>
      </c>
      <c r="F223" s="121" t="str">
        <f>HYPERLINK("https://www.liputan6.com/news/read/3933673/wakil-ketua-mpr-umat-islam-ikut-menyelamatkan-pancasila-dan-nkri ","sumber")</f>
        <v>sumber</v>
      </c>
      <c r="G223" s="223" t="s">
        <v>1</v>
      </c>
      <c r="H223" s="23" t="s">
        <v>3359</v>
      </c>
      <c r="I223" s="22">
        <v>1</v>
      </c>
      <c r="J223" s="22">
        <v>3</v>
      </c>
      <c r="K223" s="123" t="s">
        <v>3360</v>
      </c>
      <c r="L223" s="22">
        <v>0</v>
      </c>
      <c r="M223" s="22">
        <v>-1</v>
      </c>
      <c r="N223" s="22">
        <v>0</v>
      </c>
      <c r="O223" s="22">
        <v>0</v>
      </c>
      <c r="P223" s="22">
        <v>0</v>
      </c>
      <c r="Q223" s="22">
        <v>0</v>
      </c>
      <c r="R223" s="22">
        <v>-1</v>
      </c>
      <c r="S223" s="134"/>
      <c r="T223" s="22">
        <v>0</v>
      </c>
      <c r="U223" s="22">
        <v>0</v>
      </c>
      <c r="V223" s="22">
        <v>0</v>
      </c>
      <c r="W223" s="23"/>
      <c r="X223" s="23"/>
      <c r="Y223" s="23"/>
    </row>
    <row r="224" spans="1:25" ht="14.25" customHeight="1">
      <c r="A224" s="236">
        <v>1</v>
      </c>
      <c r="B224" s="237" t="s">
        <v>3361</v>
      </c>
      <c r="C224" s="22">
        <v>225</v>
      </c>
      <c r="D224" s="22">
        <v>3</v>
      </c>
      <c r="E224" s="241">
        <v>43559</v>
      </c>
      <c r="F224" s="121" t="str">
        <f>HYPERLINK("https://celebrity.okezone.com/read/2019/04/04/33/2038978/lucinta-luna-ngaku-sebagai-lisa-blackpink-di-hadapan-warga-rusia ","sumber")</f>
        <v>sumber</v>
      </c>
      <c r="G224" s="223" t="s">
        <v>1</v>
      </c>
      <c r="H224" s="23" t="s">
        <v>3362</v>
      </c>
      <c r="I224" s="22">
        <v>1</v>
      </c>
      <c r="J224" s="22">
        <v>3</v>
      </c>
      <c r="K224" s="123"/>
      <c r="L224" s="22">
        <v>-1</v>
      </c>
      <c r="M224" s="22">
        <v>-1</v>
      </c>
      <c r="N224" s="22">
        <v>-1</v>
      </c>
      <c r="O224" s="22">
        <v>0</v>
      </c>
      <c r="P224" s="22">
        <v>0</v>
      </c>
      <c r="Q224" s="22"/>
      <c r="R224" s="22"/>
      <c r="S224" s="123" t="s">
        <v>3363</v>
      </c>
      <c r="T224" s="22">
        <v>1</v>
      </c>
      <c r="U224" s="22">
        <v>0</v>
      </c>
      <c r="V224" s="22">
        <v>0</v>
      </c>
      <c r="W224" s="23"/>
      <c r="X224" s="23"/>
      <c r="Y224" s="23"/>
    </row>
    <row r="225" spans="1:25" ht="14.25" customHeight="1">
      <c r="A225" s="236">
        <v>1</v>
      </c>
      <c r="B225" s="237" t="s">
        <v>1445</v>
      </c>
      <c r="C225" s="22">
        <v>226</v>
      </c>
      <c r="D225" s="22">
        <v>10</v>
      </c>
      <c r="E225" s="241">
        <v>43559</v>
      </c>
      <c r="F225" s="121" t="str">
        <f>HYPERLINK("https://seleb.tempo.co/read/1192133/millendaru-ungkap-identitas-diri-ke-hotman-paris ","sumber")</f>
        <v>sumber</v>
      </c>
      <c r="G225" s="223" t="s">
        <v>1</v>
      </c>
      <c r="H225" s="23" t="s">
        <v>3364</v>
      </c>
      <c r="I225" s="22">
        <v>2</v>
      </c>
      <c r="J225" s="22">
        <v>3</v>
      </c>
      <c r="K225" s="123" t="s">
        <v>3365</v>
      </c>
      <c r="L225" s="22">
        <v>0</v>
      </c>
      <c r="M225" s="22">
        <v>0</v>
      </c>
      <c r="N225" s="22">
        <v>0</v>
      </c>
      <c r="O225" s="22">
        <v>0</v>
      </c>
      <c r="P225" s="22">
        <v>0</v>
      </c>
      <c r="Q225" s="185" t="s">
        <v>1926</v>
      </c>
      <c r="R225" s="22" t="s">
        <v>106</v>
      </c>
      <c r="S225" s="134"/>
      <c r="T225" s="22">
        <v>0</v>
      </c>
      <c r="U225" s="22">
        <v>0</v>
      </c>
      <c r="V225" s="22">
        <v>0</v>
      </c>
      <c r="W225" s="23"/>
      <c r="X225" s="23"/>
      <c r="Y225" s="23"/>
    </row>
    <row r="226" spans="1:25" ht="14.25" customHeight="1">
      <c r="A226" s="236">
        <v>1</v>
      </c>
      <c r="B226" s="237" t="s">
        <v>3366</v>
      </c>
      <c r="C226" s="22">
        <v>227</v>
      </c>
      <c r="D226" s="22">
        <v>5</v>
      </c>
      <c r="E226" s="241">
        <v>43559</v>
      </c>
      <c r="F226" s="121" t="str">
        <f>HYPERLINK("https://tirto.id/rajam-lgbt-dalam-bayang-bayang-boikot-skandal-adik-sultan-brunei-dkZn","sumber")</f>
        <v>sumber</v>
      </c>
      <c r="G226" s="223" t="s">
        <v>1</v>
      </c>
      <c r="H226" s="23" t="s">
        <v>3367</v>
      </c>
      <c r="I226" s="22">
        <v>4</v>
      </c>
      <c r="J226" s="22">
        <v>3</v>
      </c>
      <c r="K226" s="123" t="s">
        <v>3368</v>
      </c>
      <c r="L226" s="22">
        <v>0</v>
      </c>
      <c r="M226" s="22">
        <v>0</v>
      </c>
      <c r="N226" s="22">
        <v>0</v>
      </c>
      <c r="O226" s="22">
        <v>0</v>
      </c>
      <c r="P226" s="22">
        <v>0</v>
      </c>
      <c r="Q226" s="123" t="s">
        <v>3369</v>
      </c>
      <c r="R226" s="22" t="s">
        <v>3370</v>
      </c>
      <c r="S226" s="123" t="s">
        <v>3371</v>
      </c>
      <c r="T226" s="22">
        <v>4</v>
      </c>
      <c r="U226" s="22">
        <v>0</v>
      </c>
      <c r="V226" s="22">
        <v>1</v>
      </c>
      <c r="W226" s="23"/>
      <c r="X226" s="23"/>
      <c r="Y226" s="23"/>
    </row>
    <row r="227" spans="1:25" ht="14.25" customHeight="1">
      <c r="A227" s="236">
        <v>1</v>
      </c>
      <c r="B227" s="237" t="s">
        <v>3372</v>
      </c>
      <c r="C227" s="22">
        <v>228</v>
      </c>
      <c r="D227" s="22">
        <v>8</v>
      </c>
      <c r="E227" s="241">
        <v>43560</v>
      </c>
      <c r="F227" s="121" t="str">
        <f>HYPERLINK("https://www.suara.com/news/2019/04/05/203357/tanggapi-the-guardian-kubu-prabowo-jokowi-tak-seindah-dalam-impian ","sumber")</f>
        <v>sumber</v>
      </c>
      <c r="G227" s="223" t="s">
        <v>1</v>
      </c>
      <c r="H227" s="23" t="s">
        <v>3373</v>
      </c>
      <c r="I227" s="22">
        <v>4</v>
      </c>
      <c r="J227" s="22">
        <v>3</v>
      </c>
      <c r="K227" s="123" t="s">
        <v>3374</v>
      </c>
      <c r="L227" s="22">
        <v>0</v>
      </c>
      <c r="M227" s="22">
        <v>0</v>
      </c>
      <c r="N227" s="22">
        <v>0</v>
      </c>
      <c r="O227" s="22">
        <v>0</v>
      </c>
      <c r="P227" s="22">
        <v>0</v>
      </c>
      <c r="Q227" s="22">
        <v>0</v>
      </c>
      <c r="R227" s="22">
        <v>0</v>
      </c>
      <c r="S227" s="134"/>
      <c r="T227" s="22">
        <v>0</v>
      </c>
      <c r="U227" s="22">
        <v>0</v>
      </c>
      <c r="V227" s="22">
        <v>0</v>
      </c>
      <c r="W227" s="23"/>
      <c r="X227" s="23"/>
      <c r="Y227" s="23"/>
    </row>
    <row r="228" spans="1:25" ht="14.25" customHeight="1">
      <c r="A228" s="236">
        <v>1</v>
      </c>
      <c r="B228" s="237" t="s">
        <v>3375</v>
      </c>
      <c r="C228" s="22">
        <v>229</v>
      </c>
      <c r="D228" s="22">
        <v>5</v>
      </c>
      <c r="E228" s="241">
        <v>43560</v>
      </c>
      <c r="F228" s="121" t="str">
        <f>HYPERLINK("https://tirto.id/usu-perguruan-tinggi-yang-fobia-lgbt-dlbw ","sumber")</f>
        <v>sumber</v>
      </c>
      <c r="G228" s="223" t="s">
        <v>1</v>
      </c>
      <c r="H228" s="23" t="s">
        <v>3376</v>
      </c>
      <c r="I228" s="22">
        <v>1</v>
      </c>
      <c r="J228" s="22">
        <v>3</v>
      </c>
      <c r="K228" s="123" t="s">
        <v>3377</v>
      </c>
      <c r="L228" s="22">
        <v>0</v>
      </c>
      <c r="M228" s="22">
        <v>1</v>
      </c>
      <c r="N228" s="22">
        <v>0</v>
      </c>
      <c r="O228" s="22">
        <v>0</v>
      </c>
      <c r="P228" s="22">
        <v>0</v>
      </c>
      <c r="Q228" s="123" t="s">
        <v>3378</v>
      </c>
      <c r="R228" s="123" t="s">
        <v>3379</v>
      </c>
      <c r="S228" s="134"/>
      <c r="T228" s="22">
        <v>0</v>
      </c>
      <c r="U228" s="22">
        <v>0</v>
      </c>
      <c r="V228" s="22">
        <v>1</v>
      </c>
      <c r="W228" s="23"/>
      <c r="X228" s="23"/>
      <c r="Y228" s="23"/>
    </row>
    <row r="229" spans="1:25" ht="14.25" customHeight="1">
      <c r="A229" s="236">
        <v>1</v>
      </c>
      <c r="B229" s="237" t="s">
        <v>1449</v>
      </c>
      <c r="C229" s="22">
        <v>230</v>
      </c>
      <c r="D229" s="22">
        <v>1</v>
      </c>
      <c r="E229" s="241">
        <v>43561</v>
      </c>
      <c r="F229" s="121" t="str">
        <f>HYPERLINK("https://news.detik.com/berita/d-4499550/hukuman-mati-lgbt-berimbas-ke-hotel-hotel-brunei ","sumber")</f>
        <v>sumber</v>
      </c>
      <c r="G229" s="223" t="s">
        <v>1</v>
      </c>
      <c r="H229" s="23" t="s">
        <v>3380</v>
      </c>
      <c r="I229" s="22">
        <v>1</v>
      </c>
      <c r="J229" s="22">
        <v>3</v>
      </c>
      <c r="K229" s="123" t="s">
        <v>3381</v>
      </c>
      <c r="L229" s="22">
        <v>0</v>
      </c>
      <c r="M229" s="22">
        <v>1</v>
      </c>
      <c r="N229" s="22">
        <v>0</v>
      </c>
      <c r="O229" s="22">
        <v>0</v>
      </c>
      <c r="P229" s="22">
        <v>0</v>
      </c>
      <c r="Q229" s="123" t="s">
        <v>3382</v>
      </c>
      <c r="R229" s="123" t="s">
        <v>3383</v>
      </c>
      <c r="S229" s="123" t="s">
        <v>3384</v>
      </c>
      <c r="T229" s="22">
        <v>3</v>
      </c>
      <c r="U229" s="22">
        <v>0</v>
      </c>
      <c r="V229" s="22">
        <v>0</v>
      </c>
      <c r="W229" s="23"/>
      <c r="X229" s="23"/>
      <c r="Y229" s="23"/>
    </row>
    <row r="230" spans="1:25" ht="14.25" customHeight="1">
      <c r="A230" s="211">
        <v>1</v>
      </c>
      <c r="B230" s="46" t="s">
        <v>3385</v>
      </c>
      <c r="C230" s="33">
        <v>231</v>
      </c>
      <c r="D230" s="33">
        <v>5</v>
      </c>
      <c r="E230" s="249">
        <v>43565</v>
      </c>
      <c r="F230" s="257" t="str">
        <f>HYPERLINK("https://tirto.id/dewan-pers-rektor-harus-hargai-kebebasan-ekspresi-pers-mahasiswa-dlE5 ","sumber")</f>
        <v>sumber</v>
      </c>
      <c r="G230" s="231" t="s">
        <v>1</v>
      </c>
      <c r="H230" s="33">
        <v>285</v>
      </c>
      <c r="I230" s="33">
        <v>1</v>
      </c>
      <c r="J230" s="33">
        <v>3</v>
      </c>
      <c r="K230" s="131" t="s">
        <v>3386</v>
      </c>
      <c r="L230" s="33">
        <v>0</v>
      </c>
      <c r="M230" s="33">
        <v>-1</v>
      </c>
      <c r="N230" s="33">
        <v>0</v>
      </c>
      <c r="O230" s="33">
        <v>0</v>
      </c>
      <c r="P230" s="33">
        <v>0</v>
      </c>
      <c r="Q230" s="33">
        <v>0</v>
      </c>
      <c r="R230" s="33">
        <v>1</v>
      </c>
      <c r="S230" s="131"/>
      <c r="T230" s="33">
        <v>0</v>
      </c>
      <c r="U230" s="33">
        <v>0</v>
      </c>
      <c r="V230" s="33">
        <v>1</v>
      </c>
      <c r="W230" s="24"/>
      <c r="X230" s="24"/>
      <c r="Y230" s="33"/>
    </row>
    <row r="231" spans="1:25" ht="14.25" customHeight="1">
      <c r="A231" s="236">
        <v>1</v>
      </c>
      <c r="B231" s="237" t="s">
        <v>3387</v>
      </c>
      <c r="C231" s="22">
        <v>232</v>
      </c>
      <c r="D231" s="22">
        <v>4</v>
      </c>
      <c r="E231" s="241">
        <v>43570</v>
      </c>
      <c r="F231" s="121" t="str">
        <f>HYPERLINK("https://www.liputan6.com/global/read/3942072/wali-kota-gay-ini-resmi-mencalonkan-diri-sebagai-presiden-as-2020 ","sumber")</f>
        <v>sumber</v>
      </c>
      <c r="G231" s="223" t="s">
        <v>1</v>
      </c>
      <c r="H231" s="23" t="s">
        <v>3388</v>
      </c>
      <c r="I231" s="22">
        <v>2</v>
      </c>
      <c r="J231" s="22">
        <v>3</v>
      </c>
      <c r="K231" s="123" t="s">
        <v>3389</v>
      </c>
      <c r="L231" s="22">
        <v>0</v>
      </c>
      <c r="M231" s="22">
        <v>0</v>
      </c>
      <c r="N231" s="22">
        <v>0</v>
      </c>
      <c r="O231" s="22">
        <v>0</v>
      </c>
      <c r="P231" s="22">
        <v>0</v>
      </c>
      <c r="Q231" s="22" t="s">
        <v>782</v>
      </c>
      <c r="R231" s="22" t="s">
        <v>2835</v>
      </c>
      <c r="S231" s="134"/>
      <c r="T231" s="22">
        <v>0</v>
      </c>
      <c r="U231" s="22">
        <v>0</v>
      </c>
      <c r="V231" s="22">
        <v>0</v>
      </c>
      <c r="W231" s="23"/>
      <c r="X231" s="23"/>
      <c r="Y231" s="23"/>
    </row>
    <row r="232" spans="1:25" ht="14.25" customHeight="1">
      <c r="A232" s="236">
        <v>1</v>
      </c>
      <c r="B232" s="237" t="s">
        <v>3390</v>
      </c>
      <c r="C232" s="22">
        <v>233</v>
      </c>
      <c r="D232" s="22">
        <v>1</v>
      </c>
      <c r="E232" s="241">
        <v>43571</v>
      </c>
      <c r="F232" s="121" t="str">
        <f>HYPERLINK("https://news.detik.com/berita/d-4512334/pengakuan-dan-air-mata-penyesalan-pemutilasi-mayat-dalam-koper ","sumber")</f>
        <v>sumber</v>
      </c>
      <c r="G232" s="223" t="s">
        <v>1</v>
      </c>
      <c r="H232" s="23" t="s">
        <v>3391</v>
      </c>
      <c r="I232" s="22">
        <v>1</v>
      </c>
      <c r="J232" s="22">
        <v>3</v>
      </c>
      <c r="K232" s="123" t="s">
        <v>3392</v>
      </c>
      <c r="L232" s="22">
        <v>0</v>
      </c>
      <c r="M232" s="22">
        <v>-1</v>
      </c>
      <c r="N232" s="22">
        <v>-1</v>
      </c>
      <c r="O232" s="22">
        <v>0</v>
      </c>
      <c r="P232" s="22">
        <v>0</v>
      </c>
      <c r="Q232" s="22" t="s">
        <v>134</v>
      </c>
      <c r="R232" s="22" t="s">
        <v>21</v>
      </c>
      <c r="S232" s="123" t="s">
        <v>3393</v>
      </c>
      <c r="T232" s="22">
        <v>1</v>
      </c>
      <c r="U232" s="22">
        <v>-1</v>
      </c>
      <c r="V232" s="22">
        <v>0</v>
      </c>
      <c r="W232" s="23"/>
      <c r="X232" s="23"/>
      <c r="Y232" s="23"/>
    </row>
    <row r="233" spans="1:25" ht="14.25" customHeight="1">
      <c r="A233" s="171">
        <v>2</v>
      </c>
      <c r="B233" s="239" t="s">
        <v>3394</v>
      </c>
      <c r="C233" s="25">
        <v>234</v>
      </c>
      <c r="D233" s="25">
        <v>3</v>
      </c>
      <c r="E233" s="242">
        <v>43572</v>
      </c>
      <c r="F233" s="115" t="str">
        <f>HYPERLINK("https://index.okezone.com/read/2019/04/17/612/2044868/synodontis-ikan-pemalu-si-perenang-terbalik ","sumber")</f>
        <v>sumber</v>
      </c>
      <c r="G233" s="228" t="s">
        <v>1</v>
      </c>
      <c r="H233" s="26" t="s">
        <v>3395</v>
      </c>
      <c r="I233" s="25">
        <v>2</v>
      </c>
      <c r="J233" s="25">
        <v>3</v>
      </c>
      <c r="K233" s="124"/>
      <c r="L233" s="26"/>
      <c r="M233" s="26"/>
      <c r="N233" s="26"/>
      <c r="O233" s="26"/>
      <c r="P233" s="26"/>
      <c r="Q233" s="26"/>
      <c r="R233" s="26"/>
      <c r="S233" s="124"/>
      <c r="T233" s="26"/>
      <c r="U233" s="26"/>
      <c r="V233" s="26"/>
      <c r="W233" s="26"/>
      <c r="X233" s="26"/>
      <c r="Y233" s="25"/>
    </row>
    <row r="234" spans="1:25" ht="14.25" customHeight="1">
      <c r="A234" s="236">
        <v>1</v>
      </c>
      <c r="B234" s="237" t="s">
        <v>3396</v>
      </c>
      <c r="C234" s="22">
        <v>235</v>
      </c>
      <c r="D234" s="22">
        <v>7</v>
      </c>
      <c r="E234" s="241">
        <v>43573</v>
      </c>
      <c r="F234" s="121" t="str">
        <f>HYPERLINK("https://www.tribunnews.com/regional/2019/04/18/lihat-ruang-vip-rumah-sakit-yang-siap-tampung-caleg-stres-2019-ini-fasilitas-setara-hotel-bintang-5","sumber")</f>
        <v>sumber</v>
      </c>
      <c r="G234" s="223" t="s">
        <v>1</v>
      </c>
      <c r="H234" s="23" t="s">
        <v>3397</v>
      </c>
      <c r="I234" s="22">
        <v>2</v>
      </c>
      <c r="J234" s="22">
        <v>2</v>
      </c>
      <c r="K234" s="123" t="s">
        <v>3398</v>
      </c>
      <c r="L234" s="22">
        <v>0</v>
      </c>
      <c r="M234" s="22">
        <v>0</v>
      </c>
      <c r="N234" s="22">
        <v>0</v>
      </c>
      <c r="O234" s="22">
        <v>0</v>
      </c>
      <c r="P234" s="22">
        <v>0</v>
      </c>
      <c r="Q234" s="22" t="s">
        <v>29</v>
      </c>
      <c r="R234" s="22" t="s">
        <v>29</v>
      </c>
      <c r="S234" s="134"/>
      <c r="T234" s="22">
        <v>0</v>
      </c>
      <c r="U234" s="22">
        <v>0</v>
      </c>
      <c r="V234" s="22">
        <v>0</v>
      </c>
      <c r="W234" s="23"/>
      <c r="X234" s="23"/>
      <c r="Y234" s="23"/>
    </row>
    <row r="235" spans="1:25" ht="14.25" customHeight="1">
      <c r="A235" s="171">
        <v>2</v>
      </c>
      <c r="B235" s="239" t="s">
        <v>3399</v>
      </c>
      <c r="C235" s="25">
        <v>236</v>
      </c>
      <c r="D235" s="25">
        <v>2</v>
      </c>
      <c r="E235" s="242">
        <v>43575</v>
      </c>
      <c r="F235" s="115" t="str">
        <f>HYPERLINK("https://www.cnnindonesia.com/olahraga/20190420210853-156-388111/rossi-marquez-tetap-favorit-juara-motogp-2019 ","sumber")</f>
        <v>sumber</v>
      </c>
      <c r="G235" s="228" t="s">
        <v>1</v>
      </c>
      <c r="H235" s="26" t="s">
        <v>3400</v>
      </c>
      <c r="I235" s="25">
        <v>2</v>
      </c>
      <c r="J235" s="25">
        <v>3</v>
      </c>
      <c r="K235" s="124"/>
      <c r="L235" s="26"/>
      <c r="M235" s="26"/>
      <c r="N235" s="26"/>
      <c r="O235" s="26"/>
      <c r="P235" s="26"/>
      <c r="Q235" s="26"/>
      <c r="R235" s="26"/>
      <c r="S235" s="124"/>
      <c r="T235" s="26"/>
      <c r="U235" s="26"/>
      <c r="V235" s="26"/>
      <c r="W235" s="26"/>
      <c r="X235" s="26"/>
      <c r="Y235" s="25"/>
    </row>
    <row r="236" spans="1:25" ht="12.75" customHeight="1">
      <c r="A236" s="236">
        <v>1</v>
      </c>
      <c r="B236" s="237" t="s">
        <v>3401</v>
      </c>
      <c r="C236" s="22">
        <v>237</v>
      </c>
      <c r="D236" s="22">
        <v>8</v>
      </c>
      <c r="E236" s="241">
        <v>43576</v>
      </c>
      <c r="F236" s="121" t="str">
        <f>HYPERLINK("https://www.suara.com/news/2019/04/21/093745/wartawati-di-irlandia-utara-tewas-ditembak-usai-unggah-foto-kerusuhan ","sumber")</f>
        <v>sumber</v>
      </c>
      <c r="G236" s="223" t="s">
        <v>1</v>
      </c>
      <c r="H236" s="23" t="s">
        <v>3402</v>
      </c>
      <c r="I236" s="22">
        <v>1</v>
      </c>
      <c r="J236" s="22">
        <v>3</v>
      </c>
      <c r="K236" s="123" t="s">
        <v>3403</v>
      </c>
      <c r="L236" s="22">
        <v>0</v>
      </c>
      <c r="M236" s="22">
        <v>-1</v>
      </c>
      <c r="N236" s="22">
        <v>0</v>
      </c>
      <c r="O236" s="22">
        <v>0</v>
      </c>
      <c r="P236" s="22">
        <v>0</v>
      </c>
      <c r="Q236" s="22" t="s">
        <v>29</v>
      </c>
      <c r="R236" s="22" t="s">
        <v>29</v>
      </c>
      <c r="S236" s="134"/>
      <c r="T236" s="22">
        <v>0</v>
      </c>
      <c r="U236" s="22">
        <v>-1</v>
      </c>
      <c r="V236" s="22">
        <v>0</v>
      </c>
      <c r="W236" s="23"/>
      <c r="X236" s="23"/>
      <c r="Y236" s="23"/>
    </row>
    <row r="237" spans="1:25" ht="14.25" customHeight="1">
      <c r="A237" s="148">
        <v>1</v>
      </c>
      <c r="B237" s="55" t="s">
        <v>3404</v>
      </c>
      <c r="C237" s="33">
        <v>238</v>
      </c>
      <c r="D237" s="33">
        <v>4</v>
      </c>
      <c r="E237" s="249">
        <v>43579</v>
      </c>
      <c r="F237" s="130" t="str">
        <f>HYPERLINK("https://hot.liputan6.com/read/3932746/5-potret-millen-cyrus-model-dan-selebgram-yang-liburan-bersama-hotman-paris ","sumber")</f>
        <v>sumber</v>
      </c>
      <c r="G237" s="231" t="s">
        <v>1</v>
      </c>
      <c r="H237" s="258">
        <v>422</v>
      </c>
      <c r="I237" s="33">
        <v>1</v>
      </c>
      <c r="J237" s="33">
        <v>3</v>
      </c>
      <c r="K237" s="131" t="s">
        <v>1687</v>
      </c>
      <c r="L237" s="33">
        <v>0</v>
      </c>
      <c r="M237" s="147">
        <v>0</v>
      </c>
      <c r="N237" s="33">
        <v>-1</v>
      </c>
      <c r="O237" s="33">
        <v>0</v>
      </c>
      <c r="P237" s="33">
        <v>0</v>
      </c>
      <c r="Q237" s="33">
        <v>0</v>
      </c>
      <c r="R237" s="33">
        <v>0</v>
      </c>
      <c r="S237" s="131"/>
      <c r="T237" s="33">
        <v>0</v>
      </c>
      <c r="U237" s="33">
        <v>0</v>
      </c>
      <c r="V237" s="33">
        <v>0</v>
      </c>
      <c r="W237" s="24"/>
      <c r="X237" s="24"/>
      <c r="Y237" s="24"/>
    </row>
    <row r="238" spans="1:25" ht="14.25" customHeight="1">
      <c r="A238" s="236">
        <v>1</v>
      </c>
      <c r="B238" s="237" t="s">
        <v>3405</v>
      </c>
      <c r="C238" s="22">
        <v>239</v>
      </c>
      <c r="D238" s="22">
        <v>7</v>
      </c>
      <c r="E238" s="241">
        <v>43579</v>
      </c>
      <c r="F238" s="121" t="str">
        <f>HYPERLINK("http://www.tribunnews.com/internasional/2019/04/24/dokter-nekat-bumbui-potongan-tubuh-kekasihnya-yang-telah-dimutilasi-lantaran-ketahuan-transgender ","sumber")</f>
        <v>sumber</v>
      </c>
      <c r="G238" s="223" t="s">
        <v>1</v>
      </c>
      <c r="H238" s="23" t="s">
        <v>3406</v>
      </c>
      <c r="I238" s="22">
        <v>1</v>
      </c>
      <c r="J238" s="22">
        <v>3</v>
      </c>
      <c r="K238" s="123" t="s">
        <v>3407</v>
      </c>
      <c r="L238" s="22">
        <v>0</v>
      </c>
      <c r="M238" s="22">
        <v>-1</v>
      </c>
      <c r="N238" s="22">
        <v>0</v>
      </c>
      <c r="O238" s="22">
        <v>0</v>
      </c>
      <c r="P238" s="22">
        <v>0</v>
      </c>
      <c r="Q238" s="22" t="s">
        <v>29</v>
      </c>
      <c r="R238" s="22" t="s">
        <v>29</v>
      </c>
      <c r="S238" s="123" t="s">
        <v>3408</v>
      </c>
      <c r="T238" s="22">
        <v>1</v>
      </c>
      <c r="U238" s="22">
        <v>0</v>
      </c>
      <c r="V238" s="22">
        <v>0</v>
      </c>
      <c r="W238" s="23"/>
      <c r="X238" s="23"/>
      <c r="Y238" s="23"/>
    </row>
    <row r="239" spans="1:25" ht="14.25" customHeight="1">
      <c r="A239" s="211">
        <v>1</v>
      </c>
      <c r="B239" s="46" t="s">
        <v>3409</v>
      </c>
      <c r="C239" s="33">
        <v>240</v>
      </c>
      <c r="D239" s="33">
        <v>2</v>
      </c>
      <c r="E239" s="249">
        <v>43581</v>
      </c>
      <c r="F239" s="130" t="str">
        <f>HYPERLINK("https://www.cnnindonesia.com/internasional/20190405114138-134-383638/bank-jerman-berhenti-sewa-hotel-brunei-terkait-hukuman-lgbt ","sumber")</f>
        <v>sumber</v>
      </c>
      <c r="G239" s="231" t="s">
        <v>1</v>
      </c>
      <c r="H239" s="258">
        <v>361</v>
      </c>
      <c r="I239" s="33">
        <v>1</v>
      </c>
      <c r="J239" s="33">
        <v>3</v>
      </c>
      <c r="K239" s="131" t="s">
        <v>3410</v>
      </c>
      <c r="L239" s="33">
        <v>0</v>
      </c>
      <c r="M239" s="33">
        <v>0</v>
      </c>
      <c r="N239" s="33">
        <v>0</v>
      </c>
      <c r="O239" s="33">
        <v>0</v>
      </c>
      <c r="P239" s="33">
        <v>0</v>
      </c>
      <c r="Q239" s="131" t="s">
        <v>21</v>
      </c>
      <c r="R239" s="33" t="s">
        <v>1416</v>
      </c>
      <c r="S239" s="131"/>
      <c r="T239" s="33">
        <v>0</v>
      </c>
      <c r="U239" s="33">
        <v>0</v>
      </c>
      <c r="V239" s="33">
        <v>0</v>
      </c>
      <c r="W239" s="24"/>
      <c r="X239" s="24"/>
      <c r="Y239" s="24"/>
    </row>
    <row r="240" spans="1:25" ht="14.25" customHeight="1">
      <c r="A240" s="236">
        <v>1</v>
      </c>
      <c r="B240" s="237" t="s">
        <v>3411</v>
      </c>
      <c r="C240" s="22">
        <v>241</v>
      </c>
      <c r="D240" s="22">
        <v>10</v>
      </c>
      <c r="E240" s="241">
        <v>43584</v>
      </c>
      <c r="F240" s="121" t="str">
        <f>HYPERLINK("https://seleb.tempo.co/read/1200143/pemboikotan-film-kucumbu-tubuh-indahku-risiko-dalam-perfilman ","sumber")</f>
        <v>sumber</v>
      </c>
      <c r="G240" s="223" t="s">
        <v>1</v>
      </c>
      <c r="H240" s="23" t="s">
        <v>3412</v>
      </c>
      <c r="I240" s="22">
        <v>1</v>
      </c>
      <c r="J240" s="22">
        <v>3</v>
      </c>
      <c r="K240" s="123" t="s">
        <v>3413</v>
      </c>
      <c r="L240" s="22">
        <v>0</v>
      </c>
      <c r="M240" s="22">
        <v>1</v>
      </c>
      <c r="N240" s="22">
        <v>0</v>
      </c>
      <c r="O240" s="22">
        <v>0</v>
      </c>
      <c r="P240" s="22">
        <v>0</v>
      </c>
      <c r="Q240" s="123" t="s">
        <v>855</v>
      </c>
      <c r="R240" s="123" t="s">
        <v>3414</v>
      </c>
      <c r="S240" s="134"/>
      <c r="T240" s="22">
        <v>0</v>
      </c>
      <c r="U240" s="22">
        <v>0</v>
      </c>
      <c r="V240" s="22">
        <v>0</v>
      </c>
      <c r="W240" s="23"/>
      <c r="X240" s="23"/>
      <c r="Y240" s="23"/>
    </row>
    <row r="241" spans="1:25" ht="14.25" customHeight="1">
      <c r="A241" s="236">
        <v>1</v>
      </c>
      <c r="B241" s="237" t="s">
        <v>3415</v>
      </c>
      <c r="C241" s="22">
        <v>242</v>
      </c>
      <c r="D241" s="22">
        <v>5</v>
      </c>
      <c r="E241" s="241">
        <v>43586</v>
      </c>
      <c r="F241" s="121" t="str">
        <f>HYPERLINK("https://tirto.id/all-in-my-family-bakal-tayang-di-netflix-jumat-pekan-ini-dnr9","sumber")</f>
        <v>sumber</v>
      </c>
      <c r="G241" s="223" t="s">
        <v>1</v>
      </c>
      <c r="H241" s="23" t="s">
        <v>3416</v>
      </c>
      <c r="I241" s="22">
        <v>2</v>
      </c>
      <c r="J241" s="22">
        <v>3</v>
      </c>
      <c r="K241" s="123"/>
      <c r="L241" s="22">
        <v>0</v>
      </c>
      <c r="M241" s="22">
        <v>0</v>
      </c>
      <c r="N241" s="22">
        <v>0</v>
      </c>
      <c r="O241" s="22">
        <v>0</v>
      </c>
      <c r="P241" s="22">
        <v>0</v>
      </c>
      <c r="Q241" s="22"/>
      <c r="R241" s="22"/>
      <c r="S241" s="123"/>
      <c r="T241" s="22">
        <v>0</v>
      </c>
      <c r="U241" s="22">
        <v>0</v>
      </c>
      <c r="V241" s="22">
        <v>0</v>
      </c>
      <c r="W241" s="23"/>
      <c r="X241" s="23"/>
      <c r="Y241" s="23"/>
    </row>
    <row r="242" spans="1:25" ht="14.25" customHeight="1">
      <c r="A242" s="236">
        <v>1</v>
      </c>
      <c r="B242" s="237" t="s">
        <v>3417</v>
      </c>
      <c r="C242" s="22">
        <v>243</v>
      </c>
      <c r="D242" s="22">
        <v>3</v>
      </c>
      <c r="E242" s="241">
        <v>43594</v>
      </c>
      <c r="F242" s="121" t="str">
        <f>HYPERLINK("https://news.okezone.com/read/2019/05/09/340/2053404/dianggap-berunsur-lgbt-pemkot-padang-boikot-film-kucumbu-tubuh-indahku ","sumber")</f>
        <v>sumber</v>
      </c>
      <c r="G242" s="223" t="s">
        <v>1</v>
      </c>
      <c r="H242" s="23" t="s">
        <v>3418</v>
      </c>
      <c r="I242" s="22">
        <v>1</v>
      </c>
      <c r="J242" s="22">
        <v>3</v>
      </c>
      <c r="K242" s="123" t="s">
        <v>3419</v>
      </c>
      <c r="L242" s="22">
        <v>0</v>
      </c>
      <c r="M242" s="147">
        <v>0</v>
      </c>
      <c r="N242" s="22">
        <v>0</v>
      </c>
      <c r="O242" s="22">
        <v>0</v>
      </c>
      <c r="P242" s="22">
        <v>0</v>
      </c>
      <c r="Q242" s="22">
        <v>0</v>
      </c>
      <c r="R242" s="22">
        <v>-1</v>
      </c>
      <c r="S242" s="123" t="s">
        <v>3420</v>
      </c>
      <c r="T242" s="22">
        <v>1</v>
      </c>
      <c r="U242" s="22">
        <v>0</v>
      </c>
      <c r="V242" s="22">
        <v>0</v>
      </c>
      <c r="W242" s="23"/>
      <c r="X242" s="23"/>
      <c r="Y242" s="23"/>
    </row>
    <row r="243" spans="1:25" ht="14.25" customHeight="1">
      <c r="A243" s="236">
        <v>1</v>
      </c>
      <c r="B243" s="237" t="s">
        <v>3421</v>
      </c>
      <c r="C243" s="22">
        <v>244</v>
      </c>
      <c r="D243" s="22">
        <v>9</v>
      </c>
      <c r="E243" s="241">
        <v>43594</v>
      </c>
      <c r="F243" s="121" t="str">
        <f>HYPERLINK("https://senggang.republika.co.id/berita/senggang/film/pr830t459/kpid-sumbar-dorong-lsf-sikapi-ltemgtkucumbu-tubuh-indahkultemgt ","sumber")</f>
        <v>sumber</v>
      </c>
      <c r="G243" s="223" t="s">
        <v>1</v>
      </c>
      <c r="H243" s="23" t="s">
        <v>2875</v>
      </c>
      <c r="I243" s="22">
        <v>1</v>
      </c>
      <c r="J243" s="22">
        <v>3</v>
      </c>
      <c r="K243" s="123" t="s">
        <v>3422</v>
      </c>
      <c r="L243" s="22">
        <v>0</v>
      </c>
      <c r="M243" s="22">
        <v>-1</v>
      </c>
      <c r="N243" s="22">
        <v>0</v>
      </c>
      <c r="O243" s="22">
        <v>0</v>
      </c>
      <c r="P243" s="22">
        <v>0</v>
      </c>
      <c r="Q243" s="22" t="s">
        <v>29</v>
      </c>
      <c r="R243" s="22" t="s">
        <v>653</v>
      </c>
      <c r="S243" s="123" t="s">
        <v>3423</v>
      </c>
      <c r="T243" s="22">
        <v>2</v>
      </c>
      <c r="U243" s="22">
        <v>0</v>
      </c>
      <c r="V243" s="22">
        <v>0</v>
      </c>
      <c r="W243" s="23"/>
      <c r="X243" s="23"/>
      <c r="Y243" s="23"/>
    </row>
    <row r="244" spans="1:25" ht="14.25" customHeight="1">
      <c r="A244" s="236">
        <v>1</v>
      </c>
      <c r="B244" s="237" t="s">
        <v>1493</v>
      </c>
      <c r="C244" s="22">
        <v>245</v>
      </c>
      <c r="D244" s="22">
        <v>1</v>
      </c>
      <c r="E244" s="241">
        <v>43601</v>
      </c>
      <c r="F244" s="121" t="str">
        <f>HYPERLINK("https://health.detik.com/berita-detikhealth/d-4552535/pertama-di-dunia-miss-v-transgender-direkonstruksi-dengan-kulit-ikan-nila ","sumber")</f>
        <v>sumber</v>
      </c>
      <c r="G244" s="223" t="s">
        <v>1</v>
      </c>
      <c r="H244" s="23" t="s">
        <v>3424</v>
      </c>
      <c r="I244" s="22">
        <v>2</v>
      </c>
      <c r="J244" s="22">
        <v>3</v>
      </c>
      <c r="K244" s="123" t="s">
        <v>1494</v>
      </c>
      <c r="L244" s="22">
        <v>0</v>
      </c>
      <c r="M244" s="22">
        <v>0</v>
      </c>
      <c r="N244" s="22">
        <v>0</v>
      </c>
      <c r="O244" s="22">
        <v>0</v>
      </c>
      <c r="P244" s="22">
        <v>0</v>
      </c>
      <c r="Q244" s="22" t="s">
        <v>178</v>
      </c>
      <c r="R244" s="22" t="s">
        <v>160</v>
      </c>
      <c r="S244" s="134"/>
      <c r="T244" s="22">
        <v>0</v>
      </c>
      <c r="U244" s="22">
        <v>0</v>
      </c>
      <c r="V244" s="22">
        <v>0</v>
      </c>
      <c r="W244" s="23"/>
      <c r="X244" s="23"/>
      <c r="Y244" s="23"/>
    </row>
    <row r="245" spans="1:25" ht="14.25" customHeight="1">
      <c r="A245" s="236">
        <v>1</v>
      </c>
      <c r="B245" s="237" t="s">
        <v>1497</v>
      </c>
      <c r="C245" s="22">
        <v>246</v>
      </c>
      <c r="D245" s="22">
        <v>3</v>
      </c>
      <c r="E245" s="241">
        <v>43603</v>
      </c>
      <c r="F245" s="121" t="str">
        <f>HYPERLINK("https://news.okezone.com/read/2019/05/18/610/2057371/motif-pembunuhan-siswi-smp-karena-pelaku-kesal-diejek-banci-miskin ","sumber")</f>
        <v>sumber</v>
      </c>
      <c r="G245" s="223" t="s">
        <v>1</v>
      </c>
      <c r="H245" s="23" t="s">
        <v>3425</v>
      </c>
      <c r="I245" s="22">
        <v>1</v>
      </c>
      <c r="J245" s="22">
        <v>3</v>
      </c>
      <c r="K245" s="123" t="s">
        <v>3426</v>
      </c>
      <c r="L245" s="22">
        <v>0</v>
      </c>
      <c r="M245" s="22">
        <v>-1</v>
      </c>
      <c r="N245" s="22">
        <v>0</v>
      </c>
      <c r="O245" s="22">
        <v>0</v>
      </c>
      <c r="P245" s="22">
        <v>0</v>
      </c>
      <c r="Q245" s="22">
        <v>0</v>
      </c>
      <c r="R245" s="22">
        <v>0</v>
      </c>
      <c r="S245" s="22" t="s">
        <v>1533</v>
      </c>
      <c r="T245" s="22">
        <v>1</v>
      </c>
      <c r="U245" s="22">
        <v>0</v>
      </c>
      <c r="V245" s="22">
        <v>0</v>
      </c>
      <c r="W245" s="23"/>
      <c r="X245" s="23"/>
      <c r="Y245" s="23"/>
    </row>
    <row r="246" spans="1:25" ht="14.25" customHeight="1">
      <c r="A246" s="236">
        <v>1</v>
      </c>
      <c r="B246" s="237" t="s">
        <v>3427</v>
      </c>
      <c r="C246" s="22">
        <v>247</v>
      </c>
      <c r="D246" s="22">
        <v>7</v>
      </c>
      <c r="E246" s="241">
        <v>43613</v>
      </c>
      <c r="F246" s="121" t="str">
        <f>HYPERLINK("http://www.tribunnews.com/lifestyle/2019/05/28/deretan-foto-foto-kontroversi-pernikahan-sesama-jenis-li-huanwu-cucu-pendiri-singapura-lee-kuan-yew ","sumber")</f>
        <v>sumber</v>
      </c>
      <c r="G246" s="223" t="s">
        <v>1</v>
      </c>
      <c r="H246" s="23" t="s">
        <v>3310</v>
      </c>
      <c r="I246" s="22">
        <v>2</v>
      </c>
      <c r="J246" s="22">
        <v>3</v>
      </c>
      <c r="K246" s="123" t="s">
        <v>3428</v>
      </c>
      <c r="L246" s="22">
        <v>0</v>
      </c>
      <c r="M246" s="22">
        <v>0</v>
      </c>
      <c r="N246" s="22">
        <v>0</v>
      </c>
      <c r="O246" s="22">
        <v>0</v>
      </c>
      <c r="P246" s="22">
        <v>0</v>
      </c>
      <c r="Q246" s="22" t="s">
        <v>48</v>
      </c>
      <c r="R246" s="22" t="s">
        <v>837</v>
      </c>
      <c r="S246" s="134"/>
      <c r="T246" s="22">
        <v>0</v>
      </c>
      <c r="U246" s="22">
        <v>0</v>
      </c>
      <c r="V246" s="22">
        <v>0</v>
      </c>
      <c r="W246" s="23"/>
      <c r="X246" s="23"/>
      <c r="Y246" s="23"/>
    </row>
    <row r="247" spans="1:25" ht="14.25" customHeight="1">
      <c r="A247" s="211">
        <v>1</v>
      </c>
      <c r="B247" s="46" t="s">
        <v>3429</v>
      </c>
      <c r="C247" s="33">
        <v>248</v>
      </c>
      <c r="D247" s="33">
        <v>6</v>
      </c>
      <c r="E247" s="243">
        <v>43619</v>
      </c>
      <c r="F247" s="130" t="str">
        <f>HYPERLINK("https://internasional.kompas.com/read/2019/06/03/13491111/presiden-duterte-mengaku-pernah-jadi-gay-sebelum-sembuh ","sumber")</f>
        <v>sumber</v>
      </c>
      <c r="G247" s="231" t="s">
        <v>1</v>
      </c>
      <c r="H247" s="33">
        <v>300</v>
      </c>
      <c r="I247" s="33">
        <v>1</v>
      </c>
      <c r="J247" s="33">
        <v>3</v>
      </c>
      <c r="K247" s="131" t="s">
        <v>3430</v>
      </c>
      <c r="L247" s="33">
        <v>0</v>
      </c>
      <c r="M247" s="33">
        <v>-1</v>
      </c>
      <c r="N247" s="33">
        <v>0</v>
      </c>
      <c r="O247" s="33">
        <v>0</v>
      </c>
      <c r="P247" s="33">
        <v>0</v>
      </c>
      <c r="Q247" s="33">
        <v>0</v>
      </c>
      <c r="R247" s="33">
        <v>-1</v>
      </c>
      <c r="S247" s="131"/>
      <c r="T247" s="33">
        <v>0</v>
      </c>
      <c r="U247" s="33">
        <v>0</v>
      </c>
      <c r="V247" s="33">
        <v>0</v>
      </c>
      <c r="W247" s="24"/>
      <c r="X247" s="24"/>
      <c r="Y247" s="33"/>
    </row>
    <row r="248" spans="1:25" ht="14.25" customHeight="1">
      <c r="A248" s="171">
        <v>2</v>
      </c>
      <c r="B248" s="239" t="s">
        <v>3431</v>
      </c>
      <c r="C248" s="25">
        <v>249</v>
      </c>
      <c r="D248" s="25">
        <v>9</v>
      </c>
      <c r="E248" s="242">
        <v>43627</v>
      </c>
      <c r="F248" s="115" t="str">
        <f>HYPERLINK("https://republika.co.id/berita/ekonomi/bisnis-global/pswc4v383/perusahaan-ini-larang-karyawan-berkomunikasi-dengan-huawei ","sumber")</f>
        <v>sumber</v>
      </c>
      <c r="G248" s="228" t="s">
        <v>1</v>
      </c>
      <c r="H248" s="26" t="s">
        <v>3432</v>
      </c>
      <c r="I248" s="25">
        <v>2</v>
      </c>
      <c r="J248" s="25">
        <v>3</v>
      </c>
      <c r="K248" s="124"/>
      <c r="L248" s="26"/>
      <c r="M248" s="26"/>
      <c r="N248" s="26"/>
      <c r="O248" s="26"/>
      <c r="P248" s="26"/>
      <c r="Q248" s="26"/>
      <c r="R248" s="26"/>
      <c r="S248" s="124"/>
      <c r="T248" s="26"/>
      <c r="U248" s="26"/>
      <c r="V248" s="26"/>
      <c r="W248" s="26"/>
      <c r="X248" s="26"/>
      <c r="Y248" s="25"/>
    </row>
    <row r="249" spans="1:25" ht="14.25" customHeight="1">
      <c r="A249" s="236">
        <v>1</v>
      </c>
      <c r="B249" s="237" t="s">
        <v>3433</v>
      </c>
      <c r="C249" s="22">
        <v>250</v>
      </c>
      <c r="D249" s="22">
        <v>1</v>
      </c>
      <c r="E249" s="241">
        <v>43630</v>
      </c>
      <c r="F249" s="121" t="str">
        <f>HYPERLINK("https://news.detik.com/bbc-world/d-4586121/hari-donor-darah-sedunia-benarkah-mitos-seputar-menyumbangkan-darah-ini ","sumber")</f>
        <v>sumber</v>
      </c>
      <c r="G249" s="223" t="s">
        <v>1</v>
      </c>
      <c r="H249" s="23" t="s">
        <v>3434</v>
      </c>
      <c r="I249" s="22">
        <v>5</v>
      </c>
      <c r="J249" s="22">
        <v>3</v>
      </c>
      <c r="K249" s="123" t="s">
        <v>3435</v>
      </c>
      <c r="L249" s="22">
        <v>0</v>
      </c>
      <c r="M249" s="22">
        <v>0</v>
      </c>
      <c r="N249" s="22">
        <v>0</v>
      </c>
      <c r="O249" s="22">
        <v>0</v>
      </c>
      <c r="P249" s="22">
        <v>0</v>
      </c>
      <c r="Q249" s="22">
        <v>0</v>
      </c>
      <c r="R249" s="22">
        <v>-1</v>
      </c>
      <c r="S249" s="123" t="s">
        <v>3393</v>
      </c>
      <c r="T249" s="22">
        <v>1</v>
      </c>
      <c r="U249" s="22">
        <v>0</v>
      </c>
      <c r="V249" s="22">
        <v>0</v>
      </c>
      <c r="W249" s="23"/>
      <c r="X249" s="23"/>
      <c r="Y249" s="23"/>
    </row>
    <row r="250" spans="1:25" ht="14.25" customHeight="1">
      <c r="A250" s="236">
        <v>1</v>
      </c>
      <c r="B250" s="237" t="s">
        <v>3436</v>
      </c>
      <c r="C250" s="22">
        <v>251</v>
      </c>
      <c r="D250" s="22">
        <v>6</v>
      </c>
      <c r="E250" s="241">
        <v>43630</v>
      </c>
      <c r="F250" s="121" t="str">
        <f>HYPERLINK("https://regional.kompas.com/read/2019/06/14/22355741/dua-lelaki-telanjang-berpelukan-dalam-mobil-di-pati-divonis-8-tahun-dan ","sumber")</f>
        <v>sumber</v>
      </c>
      <c r="G250" s="223" t="s">
        <v>1</v>
      </c>
      <c r="H250" s="23" t="s">
        <v>3437</v>
      </c>
      <c r="I250" s="22">
        <v>1</v>
      </c>
      <c r="J250" s="22">
        <v>3</v>
      </c>
      <c r="K250" s="123" t="s">
        <v>3438</v>
      </c>
      <c r="L250" s="22">
        <v>0</v>
      </c>
      <c r="M250" s="22">
        <v>-1</v>
      </c>
      <c r="N250" s="22">
        <v>0</v>
      </c>
      <c r="O250" s="22">
        <v>0</v>
      </c>
      <c r="P250" s="22">
        <v>0</v>
      </c>
      <c r="Q250" s="22">
        <v>0</v>
      </c>
      <c r="R250" s="22">
        <v>-1</v>
      </c>
      <c r="S250" s="134"/>
      <c r="T250" s="22">
        <v>0</v>
      </c>
      <c r="U250" s="22">
        <v>0</v>
      </c>
      <c r="V250" s="22">
        <v>0</v>
      </c>
      <c r="W250" s="23"/>
      <c r="X250" s="23"/>
      <c r="Y250" s="23"/>
    </row>
    <row r="251" spans="1:25" ht="14.25" customHeight="1">
      <c r="A251" s="171">
        <v>2</v>
      </c>
      <c r="B251" s="239" t="s">
        <v>3439</v>
      </c>
      <c r="C251" s="25">
        <v>252</v>
      </c>
      <c r="D251" s="25">
        <v>2</v>
      </c>
      <c r="E251" s="242">
        <v>43634</v>
      </c>
      <c r="F251" s="115" t="str">
        <f>HYPERLINK("https://www.cnnindonesia.com/internasional/20190617155307-106-403946/pasutri-italia-catut-nama-george-clooney-dibekuk-di-thailand ","sumber")</f>
        <v>sumber</v>
      </c>
      <c r="G251" s="228" t="s">
        <v>1</v>
      </c>
      <c r="H251" s="26" t="s">
        <v>3028</v>
      </c>
      <c r="I251" s="25">
        <v>1</v>
      </c>
      <c r="J251" s="25">
        <v>3</v>
      </c>
      <c r="K251" s="116"/>
      <c r="L251" s="26"/>
      <c r="M251" s="26"/>
      <c r="N251" s="26"/>
      <c r="O251" s="26"/>
      <c r="P251" s="26"/>
      <c r="Q251" s="26"/>
      <c r="R251" s="26"/>
      <c r="S251" s="124"/>
      <c r="T251" s="26"/>
      <c r="U251" s="26"/>
      <c r="V251" s="26"/>
      <c r="W251" s="26"/>
      <c r="X251" s="26"/>
      <c r="Y251" s="25"/>
    </row>
    <row r="252" spans="1:25" ht="14.25" customHeight="1">
      <c r="A252" s="236">
        <v>1</v>
      </c>
      <c r="B252" s="237" t="s">
        <v>3440</v>
      </c>
      <c r="C252" s="22">
        <v>253</v>
      </c>
      <c r="D252" s="22">
        <v>3</v>
      </c>
      <c r="E252" s="241">
        <v>43642</v>
      </c>
      <c r="F252" s="121" t="str">
        <f>HYPERLINK("https://news.okezone.com/read/2019/06/26/605/2071277/isi-petisi-aksi-halalbihalal-tahlil-akbar-di-sekitar-gedung-mk ","sumber")</f>
        <v>sumber</v>
      </c>
      <c r="G252" s="223" t="s">
        <v>1</v>
      </c>
      <c r="H252" s="23" t="s">
        <v>3441</v>
      </c>
      <c r="I252" s="22">
        <v>1</v>
      </c>
      <c r="J252" s="22">
        <v>3</v>
      </c>
      <c r="K252" s="123"/>
      <c r="L252" s="22">
        <v>0</v>
      </c>
      <c r="M252" s="22">
        <v>-1</v>
      </c>
      <c r="N252" s="22">
        <v>0</v>
      </c>
      <c r="O252" s="22">
        <v>0</v>
      </c>
      <c r="P252" s="22">
        <v>0</v>
      </c>
      <c r="Q252" s="22"/>
      <c r="R252" s="22"/>
      <c r="S252" s="134"/>
      <c r="T252" s="22">
        <v>0</v>
      </c>
      <c r="U252" s="22">
        <v>0</v>
      </c>
      <c r="V252" s="22">
        <v>0</v>
      </c>
      <c r="W252" s="23"/>
      <c r="X252" s="23"/>
      <c r="Y252" s="23"/>
    </row>
    <row r="253" spans="1:25" ht="14.25" customHeight="1">
      <c r="A253" s="236">
        <v>1</v>
      </c>
      <c r="B253" s="237" t="s">
        <v>3442</v>
      </c>
      <c r="C253" s="22">
        <v>254</v>
      </c>
      <c r="D253" s="22">
        <v>8</v>
      </c>
      <c r="E253" s="241">
        <v>43642</v>
      </c>
      <c r="F253" s="121" t="str">
        <f>HYPERLINK("https://www.suara.com/news/2019/06/26/185751/gabungan-ormas-islam-sampaikan-petisi-kedaulatan-rakyat-untuk-hakim-mk ","sumber")</f>
        <v>sumber</v>
      </c>
      <c r="G253" s="223" t="s">
        <v>1</v>
      </c>
      <c r="H253" s="23" t="s">
        <v>3443</v>
      </c>
      <c r="I253" s="22">
        <v>1</v>
      </c>
      <c r="J253" s="22">
        <v>3</v>
      </c>
      <c r="K253" s="123" t="s">
        <v>3444</v>
      </c>
      <c r="L253" s="22">
        <v>0</v>
      </c>
      <c r="M253" s="22">
        <v>-1</v>
      </c>
      <c r="N253" s="22">
        <v>0</v>
      </c>
      <c r="O253" s="22">
        <v>0</v>
      </c>
      <c r="P253" s="22">
        <v>0</v>
      </c>
      <c r="Q253" s="22" t="s">
        <v>29</v>
      </c>
      <c r="R253" s="22" t="s">
        <v>653</v>
      </c>
      <c r="S253" s="134"/>
      <c r="T253" s="22">
        <v>0</v>
      </c>
      <c r="U253" s="22">
        <v>0</v>
      </c>
      <c r="V253" s="22">
        <v>0</v>
      </c>
      <c r="W253" s="23"/>
      <c r="X253" s="23"/>
      <c r="Y253" s="23"/>
    </row>
    <row r="254" spans="1:25" ht="14.25" customHeight="1">
      <c r="A254" s="236">
        <v>1</v>
      </c>
      <c r="B254" s="237" t="s">
        <v>3445</v>
      </c>
      <c r="C254" s="22">
        <v>255</v>
      </c>
      <c r="D254" s="22">
        <v>2</v>
      </c>
      <c r="E254" s="241">
        <v>43643</v>
      </c>
      <c r="F254" s="121" t="str">
        <f>HYPERLINK("https://www.cnnindonesia.com/teknologi/20190627153109-185-407047/pengamat-sebut-pembatasan-medsos-langgar-hak-digital ","sumber")</f>
        <v>sumber</v>
      </c>
      <c r="G254" s="223" t="s">
        <v>1</v>
      </c>
      <c r="H254" s="23" t="s">
        <v>3446</v>
      </c>
      <c r="I254" s="22">
        <v>4</v>
      </c>
      <c r="J254" s="22">
        <v>3</v>
      </c>
      <c r="K254" s="123" t="s">
        <v>3447</v>
      </c>
      <c r="L254" s="22">
        <v>0</v>
      </c>
      <c r="M254" s="22">
        <v>0</v>
      </c>
      <c r="N254" s="22">
        <v>0</v>
      </c>
      <c r="O254" s="22">
        <v>0</v>
      </c>
      <c r="P254" s="22">
        <v>0</v>
      </c>
      <c r="Q254" s="22" t="s">
        <v>160</v>
      </c>
      <c r="R254" s="22" t="s">
        <v>160</v>
      </c>
      <c r="S254" s="134"/>
      <c r="T254" s="22">
        <v>0</v>
      </c>
      <c r="U254" s="22">
        <v>0</v>
      </c>
      <c r="V254" s="22">
        <v>1</v>
      </c>
      <c r="W254" s="23"/>
      <c r="X254" s="23"/>
      <c r="Y254" s="23"/>
    </row>
    <row r="255" spans="1:25" ht="14.25" customHeight="1">
      <c r="A255" s="211">
        <v>1</v>
      </c>
      <c r="B255" s="46" t="s">
        <v>1527</v>
      </c>
      <c r="C255" s="33">
        <v>256</v>
      </c>
      <c r="D255" s="33">
        <v>7</v>
      </c>
      <c r="E255" s="243">
        <v>43629</v>
      </c>
      <c r="F255" s="130" t="str">
        <f>HYPERLINK("http://www.tribunnews.com/internasional/2019/06/13/video-homoseksual-menteri-malaysia-tersebar-pelaku-dia-memaksa-saya ","sumber")</f>
        <v>sumber</v>
      </c>
      <c r="G255" s="231" t="s">
        <v>1</v>
      </c>
      <c r="H255" s="33">
        <v>162</v>
      </c>
      <c r="I255" s="33">
        <v>1</v>
      </c>
      <c r="J255" s="33">
        <v>3</v>
      </c>
      <c r="K255" s="131" t="s">
        <v>3448</v>
      </c>
      <c r="L255" s="33">
        <v>0</v>
      </c>
      <c r="M255" s="33">
        <v>1</v>
      </c>
      <c r="N255" s="33">
        <v>0</v>
      </c>
      <c r="O255" s="33">
        <v>0</v>
      </c>
      <c r="P255" s="33">
        <v>0</v>
      </c>
      <c r="Q255" s="33" t="s">
        <v>29</v>
      </c>
      <c r="R255" s="33" t="s">
        <v>29</v>
      </c>
      <c r="S255" s="131"/>
      <c r="T255" s="33">
        <v>0</v>
      </c>
      <c r="U255" s="33">
        <v>0</v>
      </c>
      <c r="V255" s="33">
        <v>0</v>
      </c>
      <c r="W255" s="24"/>
      <c r="X255" s="24"/>
      <c r="Y255" s="33"/>
    </row>
    <row r="256" spans="1:25" ht="14.25" customHeight="1">
      <c r="A256" s="211">
        <v>1</v>
      </c>
      <c r="B256" s="46" t="s">
        <v>811</v>
      </c>
      <c r="C256" s="33">
        <v>257</v>
      </c>
      <c r="D256" s="33">
        <v>7</v>
      </c>
      <c r="E256" s="249">
        <v>43648</v>
      </c>
      <c r="F256" s="130" t="str">
        <f>HYPERLINK("http://www.tribunnews.com/regional/2019/07/02/anto-curi-obat-hiv-senilai-rp-75-juta-milik-pasangannya-sesama-jenis ","sumber")</f>
        <v>sumber</v>
      </c>
      <c r="G256" s="231" t="s">
        <v>1</v>
      </c>
      <c r="H256" s="33">
        <v>193</v>
      </c>
      <c r="I256" s="33">
        <v>1</v>
      </c>
      <c r="J256" s="33">
        <v>3</v>
      </c>
      <c r="K256" s="131" t="s">
        <v>3449</v>
      </c>
      <c r="L256" s="33">
        <v>0</v>
      </c>
      <c r="M256" s="33">
        <v>-1</v>
      </c>
      <c r="N256" s="33">
        <v>-1</v>
      </c>
      <c r="O256" s="33">
        <v>0</v>
      </c>
      <c r="P256" s="33">
        <v>0</v>
      </c>
      <c r="Q256" s="33" t="s">
        <v>29</v>
      </c>
      <c r="R256" s="33" t="s">
        <v>29</v>
      </c>
      <c r="S256" s="131"/>
      <c r="T256" s="33">
        <v>0</v>
      </c>
      <c r="U256" s="33">
        <v>0</v>
      </c>
      <c r="V256" s="33">
        <v>0</v>
      </c>
      <c r="W256" s="24"/>
      <c r="X256" s="24"/>
      <c r="Y256" s="33"/>
    </row>
    <row r="257" spans="1:25" ht="14.25" customHeight="1">
      <c r="A257" s="236">
        <v>1</v>
      </c>
      <c r="B257" s="237" t="s">
        <v>3450</v>
      </c>
      <c r="C257" s="22">
        <v>258</v>
      </c>
      <c r="D257" s="22">
        <v>2</v>
      </c>
      <c r="E257" s="241">
        <v>43652</v>
      </c>
      <c r="F257" s="121" t="str">
        <f>HYPERLINK("https://www.cnnindonesia.com/hiburan/20190705160451-220-409499/hijab-dan-lgbt-muncul-di-spider-man-far-from-home ","sumber")</f>
        <v>sumber</v>
      </c>
      <c r="G257" s="223" t="s">
        <v>1</v>
      </c>
      <c r="H257" s="23" t="s">
        <v>2979</v>
      </c>
      <c r="I257" s="22">
        <v>3</v>
      </c>
      <c r="J257" s="22">
        <v>3</v>
      </c>
      <c r="K257" s="123" t="s">
        <v>3451</v>
      </c>
      <c r="L257" s="22">
        <v>0</v>
      </c>
      <c r="M257" s="22">
        <v>0</v>
      </c>
      <c r="N257" s="22">
        <v>0</v>
      </c>
      <c r="O257" s="22">
        <v>0</v>
      </c>
      <c r="P257" s="22">
        <v>0</v>
      </c>
      <c r="Q257" s="22" t="s">
        <v>2591</v>
      </c>
      <c r="R257" s="22" t="s">
        <v>1026</v>
      </c>
      <c r="S257" s="134"/>
      <c r="T257" s="22">
        <v>0</v>
      </c>
      <c r="U257" s="22">
        <v>0</v>
      </c>
      <c r="V257" s="22">
        <v>1</v>
      </c>
      <c r="W257" s="23"/>
      <c r="X257" s="23"/>
      <c r="Y257" s="23"/>
    </row>
    <row r="258" spans="1:25" ht="14.25" customHeight="1">
      <c r="A258" s="171">
        <v>2</v>
      </c>
      <c r="B258" s="239" t="s">
        <v>3452</v>
      </c>
      <c r="C258" s="25">
        <v>259</v>
      </c>
      <c r="D258" s="25">
        <v>9</v>
      </c>
      <c r="E258" s="242">
        <v>43654</v>
      </c>
      <c r="F258" s="115" t="str">
        <f>HYPERLINK("https://republika.co.id/berita/pu99qw385/gay-inggris-perang-salib-berebut-kuasa-di-malukumataram ","sumber")</f>
        <v>sumber</v>
      </c>
      <c r="G258" s="228" t="s">
        <v>1</v>
      </c>
      <c r="H258" s="26" t="s">
        <v>3453</v>
      </c>
      <c r="I258" s="25">
        <v>2</v>
      </c>
      <c r="J258" s="25">
        <v>3</v>
      </c>
      <c r="K258" s="116"/>
      <c r="L258" s="26"/>
      <c r="M258" s="26"/>
      <c r="N258" s="26"/>
      <c r="O258" s="26"/>
      <c r="P258" s="26"/>
      <c r="Q258" s="26"/>
      <c r="R258" s="26"/>
      <c r="S258" s="124"/>
      <c r="T258" s="26"/>
      <c r="U258" s="26"/>
      <c r="V258" s="26"/>
      <c r="W258" s="26"/>
      <c r="X258" s="26"/>
      <c r="Y258" s="26"/>
    </row>
    <row r="259" spans="1:25" ht="14.25" customHeight="1">
      <c r="A259" s="171">
        <v>2</v>
      </c>
      <c r="B259" s="239" t="s">
        <v>3454</v>
      </c>
      <c r="C259" s="25">
        <v>260</v>
      </c>
      <c r="D259" s="25">
        <v>9</v>
      </c>
      <c r="E259" s="242">
        <v>43657</v>
      </c>
      <c r="F259" s="115" t="str">
        <f>HYPERLINK("https://trendtek.republika.co.id/berita/pugtzq368/fosil-di-yunani-jadi-petunjuk-ltemgthomo-sapiens-ltemgttiba-di-eropa ","sumber")</f>
        <v>sumber</v>
      </c>
      <c r="G259" s="228" t="s">
        <v>1</v>
      </c>
      <c r="H259" s="26" t="s">
        <v>3455</v>
      </c>
      <c r="I259" s="25">
        <v>5</v>
      </c>
      <c r="J259" s="25">
        <v>3</v>
      </c>
      <c r="K259" s="124"/>
      <c r="L259" s="26"/>
      <c r="M259" s="26"/>
      <c r="N259" s="26"/>
      <c r="O259" s="26"/>
      <c r="P259" s="26"/>
      <c r="Q259" s="26"/>
      <c r="R259" s="26"/>
      <c r="S259" s="124"/>
      <c r="T259" s="26"/>
      <c r="U259" s="26"/>
      <c r="V259" s="26"/>
      <c r="W259" s="26"/>
      <c r="X259" s="26"/>
      <c r="Y259" s="25"/>
    </row>
    <row r="260" spans="1:25" ht="14.25" customHeight="1">
      <c r="A260" s="171">
        <v>2</v>
      </c>
      <c r="B260" s="239" t="s">
        <v>3456</v>
      </c>
      <c r="C260" s="25">
        <v>261</v>
      </c>
      <c r="D260" s="25">
        <v>5</v>
      </c>
      <c r="E260" s="242">
        <v>43659</v>
      </c>
      <c r="F260" s="115" t="str">
        <f>HYPERLINK("https://www.tribunnews.com/metropolitan/2019/07/13/lapas-pemuda-tangerang-bina-warga-binaan-dengan-pkbm-dan-pesantren ","sumber")</f>
        <v>sumber</v>
      </c>
      <c r="G260" s="228" t="s">
        <v>1</v>
      </c>
      <c r="H260" s="26" t="s">
        <v>2984</v>
      </c>
      <c r="I260" s="25">
        <v>2</v>
      </c>
      <c r="J260" s="25">
        <v>3</v>
      </c>
      <c r="K260" s="124"/>
      <c r="L260" s="26"/>
      <c r="M260" s="26"/>
      <c r="N260" s="26"/>
      <c r="O260" s="26"/>
      <c r="P260" s="26"/>
      <c r="Q260" s="26"/>
      <c r="R260" s="26"/>
      <c r="S260" s="124"/>
      <c r="T260" s="26"/>
      <c r="U260" s="26"/>
      <c r="V260" s="26"/>
      <c r="W260" s="26"/>
      <c r="X260" s="26"/>
      <c r="Y260" s="25"/>
    </row>
    <row r="261" spans="1:25" ht="14.25" customHeight="1">
      <c r="A261" s="236">
        <v>1</v>
      </c>
      <c r="B261" s="237" t="s">
        <v>2416</v>
      </c>
      <c r="C261" s="22">
        <v>262</v>
      </c>
      <c r="D261" s="22">
        <v>3</v>
      </c>
      <c r="E261" s="241">
        <v>43663</v>
      </c>
      <c r="F261" s="121" t="str">
        <f>HYPERLINK("https://celebrity.okezone.com/read/2019/07/17/33/2079892/dilamar-pria-bule-dena-rachman-bakal-menikah-tahun-depan?page=2","sumber")</f>
        <v>sumber</v>
      </c>
      <c r="G261" s="223" t="s">
        <v>1</v>
      </c>
      <c r="H261" s="23" t="s">
        <v>3457</v>
      </c>
      <c r="I261" s="22">
        <v>2</v>
      </c>
      <c r="J261" s="22">
        <v>3</v>
      </c>
      <c r="K261" s="123" t="s">
        <v>3458</v>
      </c>
      <c r="L261" s="22">
        <v>0</v>
      </c>
      <c r="M261" s="22">
        <v>0</v>
      </c>
      <c r="N261" s="22">
        <v>0</v>
      </c>
      <c r="O261" s="22">
        <v>0</v>
      </c>
      <c r="P261" s="22">
        <v>0</v>
      </c>
      <c r="Q261" s="22" t="s">
        <v>29</v>
      </c>
      <c r="R261" s="22" t="s">
        <v>653</v>
      </c>
      <c r="S261" s="134"/>
      <c r="T261" s="22">
        <v>0</v>
      </c>
      <c r="U261" s="22">
        <v>-1</v>
      </c>
      <c r="V261" s="22">
        <v>0</v>
      </c>
      <c r="W261" s="23"/>
      <c r="X261" s="23"/>
      <c r="Y261" s="23"/>
    </row>
    <row r="262" spans="1:25" ht="14.25" customHeight="1">
      <c r="A262" s="171">
        <v>2</v>
      </c>
      <c r="B262" s="239" t="s">
        <v>3459</v>
      </c>
      <c r="C262" s="25">
        <v>263</v>
      </c>
      <c r="D262" s="25">
        <v>9</v>
      </c>
      <c r="E262" s="242">
        <v>43667</v>
      </c>
      <c r="F262" s="115" t="str">
        <f>HYPERLINK("https://republika.co.id/berita/puz5te349/cegah-kerusakan-umat-dari-pergaulan-bebas","sumber")</f>
        <v>sumber</v>
      </c>
      <c r="G262" s="228" t="s">
        <v>1</v>
      </c>
      <c r="H262" s="26" t="s">
        <v>3144</v>
      </c>
      <c r="I262" s="25">
        <v>2</v>
      </c>
      <c r="J262" s="25">
        <v>3</v>
      </c>
      <c r="K262" s="124"/>
      <c r="L262" s="26"/>
      <c r="M262" s="26"/>
      <c r="N262" s="26"/>
      <c r="O262" s="26"/>
      <c r="P262" s="26"/>
      <c r="Q262" s="26"/>
      <c r="R262" s="26"/>
      <c r="S262" s="124"/>
      <c r="T262" s="26"/>
      <c r="U262" s="26"/>
      <c r="V262" s="26"/>
      <c r="W262" s="26"/>
      <c r="X262" s="26"/>
      <c r="Y262" s="25"/>
    </row>
    <row r="263" spans="1:25" ht="14.25" customHeight="1">
      <c r="A263" s="236">
        <v>1</v>
      </c>
      <c r="B263" s="237" t="s">
        <v>3460</v>
      </c>
      <c r="C263" s="22">
        <v>264</v>
      </c>
      <c r="D263" s="22">
        <v>9</v>
      </c>
      <c r="E263" s="241">
        <v>43669</v>
      </c>
      <c r="F263" s="121" t="str">
        <f>HYPERLINK("https://internasional.republika.co.id/berita/pv1qut15000/raih-dukungan-politik-kaum-muda-saudi-gunakan-musik-pop ","sumber")</f>
        <v>sumber</v>
      </c>
      <c r="G263" s="223" t="s">
        <v>1</v>
      </c>
      <c r="H263" s="23" t="s">
        <v>3461</v>
      </c>
      <c r="I263" s="22">
        <v>4</v>
      </c>
      <c r="J263" s="22">
        <v>3</v>
      </c>
      <c r="K263" s="123" t="s">
        <v>3462</v>
      </c>
      <c r="L263" s="22">
        <v>0</v>
      </c>
      <c r="M263" s="22">
        <v>0</v>
      </c>
      <c r="N263" s="22">
        <v>0</v>
      </c>
      <c r="O263" s="22">
        <v>0</v>
      </c>
      <c r="P263" s="22">
        <v>0</v>
      </c>
      <c r="Q263" s="123" t="s">
        <v>185</v>
      </c>
      <c r="R263" s="22" t="s">
        <v>1026</v>
      </c>
      <c r="S263" s="134"/>
      <c r="T263" s="22">
        <v>0</v>
      </c>
      <c r="U263" s="22">
        <v>0</v>
      </c>
      <c r="V263" s="22">
        <v>1</v>
      </c>
      <c r="W263" s="23"/>
      <c r="X263" s="23"/>
      <c r="Y263" s="23"/>
    </row>
    <row r="264" spans="1:25" ht="14.25" customHeight="1">
      <c r="A264" s="211">
        <v>1</v>
      </c>
      <c r="B264" s="46" t="s">
        <v>3463</v>
      </c>
      <c r="C264" s="33">
        <v>265</v>
      </c>
      <c r="D264" s="33">
        <v>7</v>
      </c>
      <c r="E264" s="249">
        <v>43672</v>
      </c>
      <c r="F264" s="130" t="str">
        <f>HYPERLINK("https://www.tribunnews.com/regional/2019/07/26/temuan-mengejutkan-saat-menelusuri-penyimpangan-perilaku-seksual-pelajar-di-tulungagung ","sumber")</f>
        <v>sumber</v>
      </c>
      <c r="G264" s="231" t="s">
        <v>1</v>
      </c>
      <c r="H264" s="33">
        <v>281</v>
      </c>
      <c r="I264" s="33">
        <v>1</v>
      </c>
      <c r="J264" s="33">
        <v>3</v>
      </c>
      <c r="K264" s="131" t="s">
        <v>3464</v>
      </c>
      <c r="L264" s="33">
        <v>0</v>
      </c>
      <c r="M264" s="33">
        <v>-1</v>
      </c>
      <c r="N264" s="33">
        <v>0</v>
      </c>
      <c r="O264" s="33">
        <v>0</v>
      </c>
      <c r="P264" s="33">
        <v>0</v>
      </c>
      <c r="Q264" s="33">
        <v>0</v>
      </c>
      <c r="R264" s="33">
        <v>-1</v>
      </c>
      <c r="S264" s="131" t="s">
        <v>3465</v>
      </c>
      <c r="T264" s="33">
        <v>4</v>
      </c>
      <c r="U264" s="33">
        <v>0</v>
      </c>
      <c r="V264" s="33">
        <v>0</v>
      </c>
      <c r="W264" s="24"/>
      <c r="X264" s="24"/>
      <c r="Y264" s="33"/>
    </row>
    <row r="265" spans="1:25" ht="14.25" customHeight="1">
      <c r="A265" s="236">
        <v>1</v>
      </c>
      <c r="B265" s="237" t="s">
        <v>3466</v>
      </c>
      <c r="C265" s="22">
        <v>266</v>
      </c>
      <c r="D265" s="22">
        <v>8</v>
      </c>
      <c r="E265" s="241">
        <v>43673</v>
      </c>
      <c r="F265" s="121" t="str">
        <f>HYPERLINK("https://www.suara.com/health/2019/07/27/185014/meski-millen-cyrus-lakukan-terapi-hormon-bagian-ini-tak-akan-berubah ","sumber")</f>
        <v>sumber</v>
      </c>
      <c r="G265" s="223" t="s">
        <v>1</v>
      </c>
      <c r="H265" s="23" t="s">
        <v>2954</v>
      </c>
      <c r="I265" s="22">
        <v>2</v>
      </c>
      <c r="J265" s="22">
        <v>3</v>
      </c>
      <c r="K265" s="123" t="s">
        <v>3467</v>
      </c>
      <c r="L265" s="22">
        <v>0</v>
      </c>
      <c r="M265" s="22">
        <v>0</v>
      </c>
      <c r="N265" s="22">
        <v>0</v>
      </c>
      <c r="O265" s="22">
        <v>0</v>
      </c>
      <c r="P265" s="22">
        <v>-1</v>
      </c>
      <c r="Q265" s="22" t="s">
        <v>3468</v>
      </c>
      <c r="R265" s="22" t="s">
        <v>21</v>
      </c>
      <c r="S265" s="134"/>
      <c r="T265" s="22">
        <v>0</v>
      </c>
      <c r="U265" s="22">
        <v>0</v>
      </c>
      <c r="V265" s="22">
        <v>0</v>
      </c>
      <c r="W265" s="23"/>
      <c r="X265" s="23"/>
      <c r="Y265" s="23"/>
    </row>
    <row r="266" spans="1:25" ht="14.25" customHeight="1">
      <c r="A266" s="171">
        <v>2</v>
      </c>
      <c r="B266" s="239" t="s">
        <v>3469</v>
      </c>
      <c r="C266" s="25">
        <v>267</v>
      </c>
      <c r="D266" s="25">
        <v>2</v>
      </c>
      <c r="E266" s="242">
        <v>43674</v>
      </c>
      <c r="F266" s="115" t="str">
        <f>HYPERLINK("https://www.cnnindonesia.com/olahraga/20190728112602-178-416175/mcgregor-sebut-khabib-curang-di-ufc-229 ","sumber")</f>
        <v>sumber</v>
      </c>
      <c r="G266" s="228" t="s">
        <v>1</v>
      </c>
      <c r="H266" s="26" t="s">
        <v>3470</v>
      </c>
      <c r="I266" s="25">
        <v>2</v>
      </c>
      <c r="J266" s="25">
        <v>3</v>
      </c>
      <c r="K266" s="124"/>
      <c r="L266" s="26"/>
      <c r="M266" s="26"/>
      <c r="N266" s="26"/>
      <c r="O266" s="26"/>
      <c r="P266" s="26"/>
      <c r="Q266" s="26"/>
      <c r="R266" s="26"/>
      <c r="S266" s="124"/>
      <c r="T266" s="26"/>
      <c r="U266" s="26"/>
      <c r="V266" s="26"/>
      <c r="W266" s="26"/>
      <c r="X266" s="26"/>
      <c r="Y266" s="25"/>
    </row>
    <row r="267" spans="1:25" ht="14.25" customHeight="1">
      <c r="A267" s="211">
        <v>1</v>
      </c>
      <c r="B267" s="46" t="s">
        <v>3471</v>
      </c>
      <c r="C267" s="33">
        <v>268</v>
      </c>
      <c r="D267" s="33">
        <v>4</v>
      </c>
      <c r="E267" s="243">
        <v>43647</v>
      </c>
      <c r="F267" s="130" t="str">
        <f>HYPERLINK("https://www.liputan6.com/tekno/read/4001473/ups-aplikasi-kencan-lgbt-ekspos-foto-pribadi-pengguna ","sumber")</f>
        <v>sumber</v>
      </c>
      <c r="G267" s="231" t="s">
        <v>1</v>
      </c>
      <c r="H267" s="33">
        <v>385</v>
      </c>
      <c r="I267" s="33">
        <v>1</v>
      </c>
      <c r="J267" s="33">
        <v>3</v>
      </c>
      <c r="K267" s="131" t="s">
        <v>3472</v>
      </c>
      <c r="L267" s="33">
        <v>0</v>
      </c>
      <c r="M267" s="33">
        <v>1</v>
      </c>
      <c r="N267" s="33">
        <v>0</v>
      </c>
      <c r="O267" s="33">
        <v>0</v>
      </c>
      <c r="P267" s="33">
        <v>-1</v>
      </c>
      <c r="Q267" s="33" t="s">
        <v>29</v>
      </c>
      <c r="R267" s="33" t="s">
        <v>182</v>
      </c>
      <c r="S267" s="131"/>
      <c r="T267" s="33">
        <v>0</v>
      </c>
      <c r="U267" s="33">
        <v>0</v>
      </c>
      <c r="V267" s="33">
        <v>0</v>
      </c>
      <c r="W267" s="24"/>
      <c r="X267" s="24"/>
      <c r="Y267" s="33"/>
    </row>
    <row r="268" spans="1:25" ht="14.25" customHeight="1">
      <c r="A268" s="211">
        <v>1</v>
      </c>
      <c r="B268" s="46" t="s">
        <v>3473</v>
      </c>
      <c r="C268" s="33">
        <v>269</v>
      </c>
      <c r="D268" s="33">
        <v>1</v>
      </c>
      <c r="E268" s="249">
        <v>43681</v>
      </c>
      <c r="F268" s="130" t="str">
        <f>HYPERLINK("https://hot.detik.com/celeb/d-4651048/kembali-ke-kodrat-aby-respati-malah-di-unfollow-millendaru ","sumber")</f>
        <v>sumber</v>
      </c>
      <c r="G268" s="231" t="s">
        <v>1</v>
      </c>
      <c r="H268" s="33">
        <v>1286</v>
      </c>
      <c r="I268" s="33">
        <v>2</v>
      </c>
      <c r="J268" s="33">
        <v>3</v>
      </c>
      <c r="K268" s="131" t="s">
        <v>4</v>
      </c>
      <c r="L268" s="33">
        <v>0</v>
      </c>
      <c r="M268" s="33">
        <v>0</v>
      </c>
      <c r="N268" s="33">
        <v>0</v>
      </c>
      <c r="O268" s="33">
        <v>0</v>
      </c>
      <c r="P268" s="33">
        <v>0</v>
      </c>
      <c r="Q268" s="33">
        <v>2</v>
      </c>
      <c r="R268" s="33">
        <v>0</v>
      </c>
      <c r="S268" s="131"/>
      <c r="T268" s="33">
        <v>0</v>
      </c>
      <c r="U268" s="33">
        <v>0</v>
      </c>
      <c r="V268" s="33">
        <v>0</v>
      </c>
      <c r="W268" s="24"/>
      <c r="X268" s="24"/>
      <c r="Y268" s="33"/>
    </row>
    <row r="269" spans="1:25" ht="14.25" customHeight="1">
      <c r="A269" s="236">
        <v>1</v>
      </c>
      <c r="B269" s="237" t="s">
        <v>3474</v>
      </c>
      <c r="C269" s="22">
        <v>270</v>
      </c>
      <c r="D269" s="22">
        <v>4</v>
      </c>
      <c r="E269" s="241">
        <v>43684</v>
      </c>
      <c r="F269" s="121" t="str">
        <f>HYPERLINK("https://www.liputan6.com/lifestyle/read/4031093/sosok-model-transgender-pertama-victorias-secret ","sumber")</f>
        <v>sumber</v>
      </c>
      <c r="G269" s="223" t="s">
        <v>1</v>
      </c>
      <c r="H269" s="23" t="s">
        <v>3261</v>
      </c>
      <c r="I269" s="22">
        <v>3</v>
      </c>
      <c r="J269" s="22">
        <v>3</v>
      </c>
      <c r="K269" s="123" t="s">
        <v>3475</v>
      </c>
      <c r="L269" s="22">
        <v>0</v>
      </c>
      <c r="M269" s="22">
        <v>0</v>
      </c>
      <c r="N269" s="22">
        <v>0</v>
      </c>
      <c r="O269" s="22">
        <v>0</v>
      </c>
      <c r="P269" s="22">
        <v>0</v>
      </c>
      <c r="Q269" s="123" t="s">
        <v>245</v>
      </c>
      <c r="R269" s="123" t="s">
        <v>3476</v>
      </c>
      <c r="S269" s="134"/>
      <c r="T269" s="22">
        <v>0</v>
      </c>
      <c r="U269" s="22">
        <v>0</v>
      </c>
      <c r="V269" s="22">
        <v>0</v>
      </c>
      <c r="W269" s="23"/>
      <c r="X269" s="23"/>
      <c r="Y269" s="23"/>
    </row>
    <row r="270" spans="1:25" ht="14.25" customHeight="1">
      <c r="A270" s="236">
        <v>1</v>
      </c>
      <c r="B270" s="237" t="s">
        <v>3477</v>
      </c>
      <c r="C270" s="22">
        <v>271</v>
      </c>
      <c r="D270" s="22">
        <v>8</v>
      </c>
      <c r="E270" s="241">
        <v>43686</v>
      </c>
      <c r="F270" s="121" t="str">
        <f>HYPERLINK("https://www.suara.com/health/2019/08/09/164226/dena-rachman-bakal-dinikahi-pria-bule-duh-waspadai-risiko-ini ","sumber")</f>
        <v>sumber</v>
      </c>
      <c r="G270" s="223" t="s">
        <v>1</v>
      </c>
      <c r="H270" s="23" t="s">
        <v>3400</v>
      </c>
      <c r="I270" s="22">
        <v>2</v>
      </c>
      <c r="J270" s="22">
        <v>3</v>
      </c>
      <c r="K270" s="259" t="s">
        <v>3478</v>
      </c>
      <c r="L270" s="22">
        <v>0</v>
      </c>
      <c r="M270" s="22">
        <v>0</v>
      </c>
      <c r="N270" s="22">
        <v>0</v>
      </c>
      <c r="O270" s="22">
        <v>0</v>
      </c>
      <c r="P270" s="22">
        <v>-1</v>
      </c>
      <c r="Q270" s="22" t="s">
        <v>29</v>
      </c>
      <c r="R270" s="22" t="s">
        <v>748</v>
      </c>
      <c r="S270" s="123" t="s">
        <v>3479</v>
      </c>
      <c r="T270" s="22">
        <v>2</v>
      </c>
      <c r="U270" s="22">
        <v>0</v>
      </c>
      <c r="V270" s="22">
        <v>0</v>
      </c>
      <c r="W270" s="23"/>
      <c r="X270" s="23"/>
      <c r="Y270" s="23"/>
    </row>
    <row r="271" spans="1:25" ht="14.25" customHeight="1">
      <c r="A271" s="236">
        <v>1</v>
      </c>
      <c r="B271" s="237" t="s">
        <v>3480</v>
      </c>
      <c r="C271" s="22">
        <v>272</v>
      </c>
      <c r="D271" s="22">
        <v>6</v>
      </c>
      <c r="E271" s="241">
        <v>43688</v>
      </c>
      <c r="F271" s="121" t="str">
        <f>HYPERLINK("https://regional.kompas.com/read/2019/08/11/11140041/fakta-guru-ikat-dan-lecehkan-siswanya-mental-korban-terguncang-hingga ","sumber")</f>
        <v>sumber</v>
      </c>
      <c r="G271" s="223" t="s">
        <v>1</v>
      </c>
      <c r="H271" s="23" t="s">
        <v>3481</v>
      </c>
      <c r="I271" s="22">
        <v>1</v>
      </c>
      <c r="J271" s="22">
        <v>3</v>
      </c>
      <c r="K271" s="123" t="s">
        <v>3482</v>
      </c>
      <c r="L271" s="22">
        <v>0</v>
      </c>
      <c r="M271" s="22">
        <v>1</v>
      </c>
      <c r="N271" s="22">
        <v>0</v>
      </c>
      <c r="O271" s="22">
        <v>-1</v>
      </c>
      <c r="P271" s="22">
        <v>0</v>
      </c>
      <c r="Q271" s="123" t="s">
        <v>21</v>
      </c>
      <c r="R271" s="123" t="s">
        <v>3483</v>
      </c>
      <c r="S271" s="134"/>
      <c r="T271" s="22">
        <v>0</v>
      </c>
      <c r="U271" s="22">
        <v>0</v>
      </c>
      <c r="V271" s="22">
        <v>0</v>
      </c>
      <c r="W271" s="23"/>
      <c r="X271" s="23"/>
      <c r="Y271" s="23"/>
    </row>
    <row r="272" spans="1:25" ht="14.25" customHeight="1">
      <c r="A272" s="236">
        <v>1</v>
      </c>
      <c r="B272" s="237" t="s">
        <v>3484</v>
      </c>
      <c r="C272" s="22">
        <v>273</v>
      </c>
      <c r="D272" s="22">
        <v>2</v>
      </c>
      <c r="E272" s="241">
        <v>43692</v>
      </c>
      <c r="F272" s="121" t="str">
        <f>HYPERLINK("https://www.cnnindonesia.com/teknologi/20190815145149-185-421642/sri-mulyani-menteri-yang-paling-ramai-dibicarakan-netizen ","sumber")</f>
        <v>sumber</v>
      </c>
      <c r="G272" s="223" t="s">
        <v>1</v>
      </c>
      <c r="H272" s="23" t="s">
        <v>3274</v>
      </c>
      <c r="I272" s="22">
        <v>5</v>
      </c>
      <c r="J272" s="22">
        <v>3</v>
      </c>
      <c r="K272" s="123" t="s">
        <v>3485</v>
      </c>
      <c r="L272" s="22">
        <v>0</v>
      </c>
      <c r="M272" s="22">
        <v>0</v>
      </c>
      <c r="N272" s="22">
        <v>0</v>
      </c>
      <c r="O272" s="22">
        <v>0</v>
      </c>
      <c r="P272" s="22">
        <v>0</v>
      </c>
      <c r="Q272" s="22">
        <v>0</v>
      </c>
      <c r="R272" s="22">
        <v>0</v>
      </c>
      <c r="S272" s="134"/>
      <c r="T272" s="22">
        <v>0</v>
      </c>
      <c r="U272" s="22">
        <v>0</v>
      </c>
      <c r="V272" s="22">
        <v>0</v>
      </c>
      <c r="W272" s="23"/>
      <c r="X272" s="23"/>
      <c r="Y272" s="23"/>
    </row>
    <row r="273" spans="1:25" ht="14.25" customHeight="1">
      <c r="A273" s="211">
        <v>1</v>
      </c>
      <c r="B273" s="46" t="s">
        <v>3486</v>
      </c>
      <c r="C273" s="33">
        <v>274</v>
      </c>
      <c r="D273" s="33">
        <v>1</v>
      </c>
      <c r="E273" s="243">
        <v>43685</v>
      </c>
      <c r="F273" s="130" t="str">
        <f>HYPERLINK("https://hot.detik.com/celeb/d-4657661/m-fatah-disebut-sebut-lucinta-ngamuk-sampai-dorong-pegawai-geprek-bensu ","sumber")</f>
        <v>sumber</v>
      </c>
      <c r="G273" s="231" t="s">
        <v>1</v>
      </c>
      <c r="H273" s="33">
        <v>1798</v>
      </c>
      <c r="I273" s="33">
        <v>1</v>
      </c>
      <c r="J273" s="33">
        <v>3</v>
      </c>
      <c r="K273" s="131" t="s">
        <v>3487</v>
      </c>
      <c r="L273" s="33">
        <v>0</v>
      </c>
      <c r="M273" s="33">
        <v>1</v>
      </c>
      <c r="N273" s="33">
        <v>0</v>
      </c>
      <c r="O273" s="33">
        <v>0</v>
      </c>
      <c r="P273" s="33">
        <v>0</v>
      </c>
      <c r="Q273" s="33" t="s">
        <v>178</v>
      </c>
      <c r="R273" s="33" t="s">
        <v>29</v>
      </c>
      <c r="S273" s="131"/>
      <c r="T273" s="33">
        <v>0</v>
      </c>
      <c r="U273" s="33">
        <v>0</v>
      </c>
      <c r="V273" s="33">
        <v>0</v>
      </c>
      <c r="W273" s="24"/>
      <c r="X273" s="24"/>
      <c r="Y273" s="33"/>
    </row>
    <row r="274" spans="1:25" ht="14.25" customHeight="1">
      <c r="A274" s="236">
        <v>1</v>
      </c>
      <c r="B274" s="237" t="s">
        <v>3488</v>
      </c>
      <c r="C274" s="22">
        <v>275</v>
      </c>
      <c r="D274" s="22">
        <v>4</v>
      </c>
      <c r="E274" s="241">
        <v>43694</v>
      </c>
      <c r="F274" s="260" t="str">
        <f>HYPERLINK("https://www.liputan6.com/showbiz/read/4040169/sambut-hut-ke-74-ri-dena-rachman-tuliskan-harapannya ","sumber")</f>
        <v>sumber</v>
      </c>
      <c r="G274" s="223" t="s">
        <v>1</v>
      </c>
      <c r="H274" s="23" t="s">
        <v>3489</v>
      </c>
      <c r="I274" s="22">
        <v>3</v>
      </c>
      <c r="J274" s="22">
        <v>3</v>
      </c>
      <c r="K274" s="123" t="s">
        <v>3490</v>
      </c>
      <c r="L274" s="22">
        <v>0</v>
      </c>
      <c r="M274" s="22">
        <v>0</v>
      </c>
      <c r="N274" s="22">
        <v>0</v>
      </c>
      <c r="O274" s="22">
        <v>0</v>
      </c>
      <c r="P274" s="22">
        <v>0</v>
      </c>
      <c r="Q274" s="22">
        <v>2</v>
      </c>
      <c r="R274" s="22">
        <v>1</v>
      </c>
      <c r="S274" s="134"/>
      <c r="T274" s="22">
        <v>0</v>
      </c>
      <c r="U274" s="22">
        <v>0</v>
      </c>
      <c r="V274" s="22">
        <v>0</v>
      </c>
      <c r="W274" s="23"/>
      <c r="X274" s="23"/>
      <c r="Y274" s="23"/>
    </row>
    <row r="275" spans="1:25" ht="14.25" customHeight="1">
      <c r="A275" s="236">
        <v>1</v>
      </c>
      <c r="B275" s="237" t="s">
        <v>3491</v>
      </c>
      <c r="C275" s="22">
        <v>276</v>
      </c>
      <c r="D275" s="22">
        <v>7</v>
      </c>
      <c r="E275" s="241">
        <v>43696</v>
      </c>
      <c r="F275" s="121" t="str">
        <f>HYPERLINK("https://www.tribunnews.com/seleb/2019/08/19/nama-asli-lucinta-luna-yang-tertera-di-ktpnya-akhirnya-terungkap","sumber")</f>
        <v>sumber</v>
      </c>
      <c r="G275" s="223" t="s">
        <v>1</v>
      </c>
      <c r="H275" s="23" t="s">
        <v>3492</v>
      </c>
      <c r="I275" s="22">
        <v>2</v>
      </c>
      <c r="J275" s="22">
        <v>3</v>
      </c>
      <c r="K275" s="123" t="s">
        <v>3493</v>
      </c>
      <c r="L275" s="22">
        <v>0</v>
      </c>
      <c r="M275" s="22">
        <v>0</v>
      </c>
      <c r="N275" s="22">
        <v>0</v>
      </c>
      <c r="O275" s="22">
        <v>0</v>
      </c>
      <c r="P275" s="22">
        <v>0</v>
      </c>
      <c r="Q275" s="22" t="s">
        <v>178</v>
      </c>
      <c r="R275" s="22" t="s">
        <v>29</v>
      </c>
      <c r="S275" s="123" t="s">
        <v>3494</v>
      </c>
      <c r="T275" s="22">
        <v>1</v>
      </c>
      <c r="U275" s="22">
        <v>0</v>
      </c>
      <c r="V275" s="22">
        <v>0</v>
      </c>
      <c r="W275" s="23"/>
      <c r="X275" s="23"/>
      <c r="Y275" s="23"/>
    </row>
    <row r="276" spans="1:25" ht="14.25" customHeight="1">
      <c r="A276" s="236">
        <v>1</v>
      </c>
      <c r="B276" s="237" t="s">
        <v>3495</v>
      </c>
      <c r="C276" s="22">
        <v>277</v>
      </c>
      <c r="D276" s="22">
        <v>7</v>
      </c>
      <c r="E276" s="241">
        <v>43705</v>
      </c>
      <c r="F276" s="121" t="str">
        <f>HYPERLINK("https://www.tribunnews.com/internasional/2019/08/28/kisah-mereka-yang-pernah-dihukum-kebiri-psikolog-ungkap-efek-pelaku-seusai-bebas-ada-kebencian ","sumber")</f>
        <v>sumber</v>
      </c>
      <c r="G276" s="223" t="s">
        <v>1</v>
      </c>
      <c r="H276" s="23" t="s">
        <v>3496</v>
      </c>
      <c r="I276" s="22">
        <v>1</v>
      </c>
      <c r="J276" s="22">
        <v>3</v>
      </c>
      <c r="K276" s="261" t="s">
        <v>3497</v>
      </c>
      <c r="L276" s="22">
        <v>0</v>
      </c>
      <c r="M276" s="22">
        <v>1</v>
      </c>
      <c r="N276" s="22">
        <v>0</v>
      </c>
      <c r="O276" s="22">
        <v>0</v>
      </c>
      <c r="P276" s="22">
        <v>0</v>
      </c>
      <c r="Q276" s="261" t="s">
        <v>170</v>
      </c>
      <c r="R276" s="261" t="s">
        <v>170</v>
      </c>
      <c r="S276" s="134"/>
      <c r="T276" s="22">
        <v>0</v>
      </c>
      <c r="U276" s="22">
        <v>0</v>
      </c>
      <c r="V276" s="22">
        <v>1</v>
      </c>
      <c r="W276" s="23"/>
      <c r="X276" s="23"/>
      <c r="Y276" s="23"/>
    </row>
    <row r="277" spans="1:25" ht="14.25" customHeight="1">
      <c r="A277" s="171">
        <v>2</v>
      </c>
      <c r="B277" s="239" t="s">
        <v>3498</v>
      </c>
      <c r="C277" s="25">
        <v>278</v>
      </c>
      <c r="D277" s="25">
        <v>6</v>
      </c>
      <c r="E277" s="242">
        <v>43706</v>
      </c>
      <c r="F277" s="262" t="s">
        <v>2163</v>
      </c>
      <c r="G277" s="228" t="s">
        <v>1</v>
      </c>
      <c r="H277" s="26" t="s">
        <v>2962</v>
      </c>
      <c r="I277" s="25">
        <v>2</v>
      </c>
      <c r="J277" s="25">
        <v>3</v>
      </c>
      <c r="K277" s="124"/>
      <c r="L277" s="26"/>
      <c r="M277" s="26"/>
      <c r="N277" s="26"/>
      <c r="O277" s="26"/>
      <c r="P277" s="26"/>
      <c r="Q277" s="26"/>
      <c r="R277" s="26"/>
      <c r="S277" s="124"/>
      <c r="T277" s="26"/>
      <c r="U277" s="26"/>
      <c r="V277" s="26"/>
      <c r="W277" s="26"/>
      <c r="X277" s="26"/>
      <c r="Y277" s="25"/>
    </row>
    <row r="278" spans="1:25" ht="14.25" customHeight="1">
      <c r="A278" s="236">
        <v>1</v>
      </c>
      <c r="B278" s="237" t="s">
        <v>3499</v>
      </c>
      <c r="C278" s="22">
        <v>279</v>
      </c>
      <c r="D278" s="22">
        <v>6</v>
      </c>
      <c r="E278" s="241">
        <v>43707</v>
      </c>
      <c r="F278" s="121" t="str">
        <f>HYPERLINK("https://nasional.kompas.com/read/2019/08/30/18035271/pks-ingin-rkuhp-tegas-menghukum-perzinaan-sesama-jenis ","sumber")</f>
        <v>sumber</v>
      </c>
      <c r="G278" s="223" t="s">
        <v>1</v>
      </c>
      <c r="H278" s="23" t="s">
        <v>3500</v>
      </c>
      <c r="I278" s="22">
        <v>4</v>
      </c>
      <c r="J278" s="22">
        <v>3</v>
      </c>
      <c r="K278" s="123" t="s">
        <v>3501</v>
      </c>
      <c r="L278" s="22">
        <v>0</v>
      </c>
      <c r="M278" s="22">
        <v>0</v>
      </c>
      <c r="N278" s="22">
        <v>0</v>
      </c>
      <c r="O278" s="22">
        <v>0</v>
      </c>
      <c r="P278" s="22">
        <v>0</v>
      </c>
      <c r="Q278" s="22" t="s">
        <v>29</v>
      </c>
      <c r="R278" s="22" t="s">
        <v>30</v>
      </c>
      <c r="S278" s="123" t="s">
        <v>3502</v>
      </c>
      <c r="T278" s="22">
        <v>2</v>
      </c>
      <c r="U278" s="22">
        <v>0</v>
      </c>
      <c r="V278" s="22">
        <v>0</v>
      </c>
      <c r="W278" s="23"/>
      <c r="X278" s="23"/>
      <c r="Y278" s="23"/>
    </row>
    <row r="279" spans="1:25" ht="14.25" customHeight="1">
      <c r="A279" s="236">
        <v>1</v>
      </c>
      <c r="B279" s="237" t="s">
        <v>3503</v>
      </c>
      <c r="C279" s="22">
        <v>280</v>
      </c>
      <c r="D279" s="22">
        <v>9</v>
      </c>
      <c r="E279" s="241">
        <v>43707</v>
      </c>
      <c r="F279" s="121" t="str">
        <f>HYPERLINK("https://gayahidup.republika.co.id/berita/px0n4u349/peneliti-ungkap-tak-ada-gen-yang-sebabkan-seseorang-jadi-gay ","sumber")</f>
        <v>sumber</v>
      </c>
      <c r="G279" s="223" t="s">
        <v>1</v>
      </c>
      <c r="H279" s="23" t="s">
        <v>3504</v>
      </c>
      <c r="I279" s="22">
        <v>2</v>
      </c>
      <c r="J279" s="22">
        <v>3</v>
      </c>
      <c r="K279" s="123" t="s">
        <v>3505</v>
      </c>
      <c r="L279" s="22">
        <v>0</v>
      </c>
      <c r="M279" s="22">
        <v>0</v>
      </c>
      <c r="N279" s="22">
        <v>0</v>
      </c>
      <c r="O279" s="22">
        <v>0</v>
      </c>
      <c r="P279" s="22">
        <v>0</v>
      </c>
      <c r="Q279" s="22" t="s">
        <v>29</v>
      </c>
      <c r="R279" s="22" t="s">
        <v>30</v>
      </c>
      <c r="S279" s="123" t="s">
        <v>3506</v>
      </c>
      <c r="T279" s="22">
        <v>1</v>
      </c>
      <c r="U279" s="22">
        <v>0</v>
      </c>
      <c r="V279" s="22">
        <v>0</v>
      </c>
      <c r="W279" s="23"/>
      <c r="X279" s="23"/>
      <c r="Y279" s="23"/>
    </row>
    <row r="280" spans="1:25" ht="14.25" customHeight="1">
      <c r="A280" s="236">
        <v>1</v>
      </c>
      <c r="B280" s="237" t="s">
        <v>3507</v>
      </c>
      <c r="C280" s="22">
        <v>281</v>
      </c>
      <c r="D280" s="22">
        <v>7</v>
      </c>
      <c r="E280" s="241">
        <v>43711</v>
      </c>
      <c r="F280" s="121" t="str">
        <f>HYPERLINK("https://www.tribunnews.com/seleb/2019/09/03/cuhatan-dena-rachman-jadi-transgender-terkuak-hubungan-dengan-ibu-kandung-yang-sempat-menentangnya ","sumber")</f>
        <v>sumber</v>
      </c>
      <c r="G280" s="223" t="s">
        <v>1</v>
      </c>
      <c r="H280" s="23" t="s">
        <v>3508</v>
      </c>
      <c r="I280" s="22">
        <v>2</v>
      </c>
      <c r="J280" s="22">
        <v>3</v>
      </c>
      <c r="K280" s="123" t="s">
        <v>3490</v>
      </c>
      <c r="L280" s="22">
        <v>0</v>
      </c>
      <c r="M280" s="22">
        <v>0</v>
      </c>
      <c r="N280" s="22">
        <v>-1</v>
      </c>
      <c r="O280" s="22">
        <v>0</v>
      </c>
      <c r="P280" s="22">
        <v>0</v>
      </c>
      <c r="Q280" s="22">
        <v>2</v>
      </c>
      <c r="R280" s="22">
        <v>1</v>
      </c>
      <c r="S280" s="123"/>
      <c r="T280" s="22">
        <v>0</v>
      </c>
      <c r="U280" s="22">
        <v>0</v>
      </c>
      <c r="V280" s="22">
        <v>0</v>
      </c>
      <c r="W280" s="23"/>
      <c r="X280" s="23"/>
      <c r="Y280" s="23"/>
    </row>
    <row r="281" spans="1:25" ht="14.25" customHeight="1">
      <c r="A281" s="148">
        <v>1</v>
      </c>
      <c r="B281" s="202" t="s">
        <v>3509</v>
      </c>
      <c r="C281" s="33">
        <v>282</v>
      </c>
      <c r="D281" s="33">
        <v>3</v>
      </c>
      <c r="E281" s="249">
        <v>43734</v>
      </c>
      <c r="F281" s="130" t="str">
        <f>HYPERLINK("https://index.okezone.com/read/2019/09/26/612/2109476/kisah-titi-pudji-nenek-yang-viral-ikut-aksi-unjuk-rasa-di-bandung","sumber")</f>
        <v>sumber</v>
      </c>
      <c r="G281" s="231" t="s">
        <v>1</v>
      </c>
      <c r="H281" s="33">
        <v>959</v>
      </c>
      <c r="I281" s="33">
        <v>4</v>
      </c>
      <c r="J281" s="33">
        <v>1</v>
      </c>
      <c r="K281" s="131" t="s">
        <v>3510</v>
      </c>
      <c r="L281" s="33">
        <v>0</v>
      </c>
      <c r="M281" s="33">
        <v>0</v>
      </c>
      <c r="N281" s="33">
        <v>0</v>
      </c>
      <c r="O281" s="33">
        <v>0</v>
      </c>
      <c r="P281" s="33">
        <v>0</v>
      </c>
      <c r="Q281" s="33">
        <v>0</v>
      </c>
      <c r="R281" s="33">
        <v>1</v>
      </c>
      <c r="S281" s="131"/>
      <c r="T281" s="33">
        <v>0</v>
      </c>
      <c r="U281" s="33">
        <v>0</v>
      </c>
      <c r="V281" s="33">
        <v>0</v>
      </c>
      <c r="W281" s="24"/>
      <c r="X281" s="24"/>
      <c r="Y281" s="33"/>
    </row>
    <row r="282" spans="1:25" ht="14.25" customHeight="1">
      <c r="A282" s="171">
        <v>2</v>
      </c>
      <c r="B282" s="239" t="s">
        <v>3511</v>
      </c>
      <c r="C282" s="25">
        <v>283</v>
      </c>
      <c r="D282" s="25">
        <v>2</v>
      </c>
      <c r="E282" s="242">
        <v>43736</v>
      </c>
      <c r="F282" s="115" t="str">
        <f>HYPERLINK("https://www.cnnindonesia.com/hiburan/20190927223833-241-434848/tribut-sederhana-untuk-srimulat-yang-melukis-senyum-indonesia ","sumber")</f>
        <v>sumber</v>
      </c>
      <c r="G282" s="228" t="s">
        <v>1</v>
      </c>
      <c r="H282" s="26" t="s">
        <v>3512</v>
      </c>
      <c r="I282" s="25">
        <v>3</v>
      </c>
      <c r="J282" s="25">
        <v>3</v>
      </c>
      <c r="K282" s="116"/>
      <c r="L282" s="26"/>
      <c r="M282" s="26"/>
      <c r="N282" s="26"/>
      <c r="O282" s="26"/>
      <c r="P282" s="26"/>
      <c r="Q282" s="26"/>
      <c r="R282" s="26"/>
      <c r="S282" s="116"/>
      <c r="T282" s="26"/>
      <c r="U282" s="26"/>
      <c r="V282" s="26"/>
      <c r="W282" s="26"/>
      <c r="X282" s="26"/>
      <c r="Y282" s="25"/>
    </row>
    <row r="283" spans="1:25" ht="14.25" customHeight="1">
      <c r="A283" s="236">
        <v>1</v>
      </c>
      <c r="B283" s="237" t="s">
        <v>1578</v>
      </c>
      <c r="C283" s="22">
        <v>284</v>
      </c>
      <c r="D283" s="22">
        <v>6</v>
      </c>
      <c r="E283" s="241">
        <v>43471</v>
      </c>
      <c r="F283" s="121" t="str">
        <f>HYPERLINK("https://entertainment.kompas.com/read/2019/01/06/112435410/polisi-sebut-pria-diduga-pemesan-artis-va-adalah-pengusaha ","sumber")</f>
        <v>sumber</v>
      </c>
      <c r="G283" s="223" t="s">
        <v>1</v>
      </c>
      <c r="H283" s="23" t="s">
        <v>3513</v>
      </c>
      <c r="I283" s="22">
        <v>1</v>
      </c>
      <c r="J283" s="22">
        <v>1</v>
      </c>
      <c r="K283" s="123" t="s">
        <v>3514</v>
      </c>
      <c r="L283" s="22">
        <v>0</v>
      </c>
      <c r="M283" s="22">
        <v>-1</v>
      </c>
      <c r="N283" s="22">
        <v>-1</v>
      </c>
      <c r="O283" s="22">
        <v>0</v>
      </c>
      <c r="P283" s="22">
        <v>0</v>
      </c>
      <c r="Q283" s="22" t="s">
        <v>21</v>
      </c>
      <c r="R283" s="22" t="s">
        <v>419</v>
      </c>
      <c r="S283" s="134"/>
      <c r="T283" s="22">
        <v>0</v>
      </c>
      <c r="U283" s="22">
        <v>0</v>
      </c>
      <c r="V283" s="22">
        <v>0</v>
      </c>
      <c r="W283" s="23"/>
      <c r="X283" s="23"/>
      <c r="Y283" s="23"/>
    </row>
    <row r="284" spans="1:25" ht="14.25" customHeight="1">
      <c r="A284" s="236">
        <v>1</v>
      </c>
      <c r="B284" s="237" t="s">
        <v>3515</v>
      </c>
      <c r="C284" s="22">
        <v>285</v>
      </c>
      <c r="D284" s="22">
        <v>8</v>
      </c>
      <c r="E284" s="241">
        <v>43471</v>
      </c>
      <c r="F284" s="121" t="str">
        <f>HYPERLINK("https://www.suara.com/entertainment/2019/01/06/104610/ini-avriellya-shaqila-model-seksi-yang-ditangkap-bareng-vanessa-angel ","sumber")</f>
        <v>sumber</v>
      </c>
      <c r="G284" s="223" t="s">
        <v>1</v>
      </c>
      <c r="H284" s="23" t="s">
        <v>3489</v>
      </c>
      <c r="I284" s="22">
        <v>1</v>
      </c>
      <c r="J284" s="22">
        <v>1</v>
      </c>
      <c r="K284" s="123" t="s">
        <v>3516</v>
      </c>
      <c r="L284" s="22">
        <v>0</v>
      </c>
      <c r="M284" s="22">
        <v>-1</v>
      </c>
      <c r="N284" s="22">
        <v>-1</v>
      </c>
      <c r="O284" s="22">
        <v>0</v>
      </c>
      <c r="P284" s="22">
        <v>-1</v>
      </c>
      <c r="Q284" s="22" t="s">
        <v>29</v>
      </c>
      <c r="R284" s="22" t="s">
        <v>30</v>
      </c>
      <c r="S284" s="123" t="s">
        <v>3517</v>
      </c>
      <c r="T284" s="22">
        <v>2</v>
      </c>
      <c r="U284" s="22">
        <v>-1</v>
      </c>
      <c r="V284" s="22">
        <v>0</v>
      </c>
      <c r="W284" s="23"/>
      <c r="X284" s="23"/>
      <c r="Y284" s="23"/>
    </row>
    <row r="285" spans="1:25" ht="14.25" customHeight="1">
      <c r="A285" s="236">
        <v>1</v>
      </c>
      <c r="B285" s="237" t="s">
        <v>3518</v>
      </c>
      <c r="C285" s="22">
        <v>286</v>
      </c>
      <c r="D285" s="22">
        <v>3</v>
      </c>
      <c r="E285" s="241">
        <v>43472</v>
      </c>
      <c r="F285" s="121" t="str">
        <f>HYPERLINK("https://news.okezone.com/read/2019/01/07/519/2001006/ditanya-ada-pejabat-pelanggan-psk-artis-kapolda-jatim-tersenyum ","sumber")</f>
        <v>sumber</v>
      </c>
      <c r="G285" s="223" t="s">
        <v>1</v>
      </c>
      <c r="H285" s="23" t="s">
        <v>3519</v>
      </c>
      <c r="I285" s="22">
        <v>1</v>
      </c>
      <c r="J285" s="22">
        <v>1</v>
      </c>
      <c r="K285" s="123" t="s">
        <v>3520</v>
      </c>
      <c r="L285" s="22">
        <v>0</v>
      </c>
      <c r="M285" s="22">
        <v>-1</v>
      </c>
      <c r="N285" s="22">
        <v>-1</v>
      </c>
      <c r="O285" s="22">
        <v>0</v>
      </c>
      <c r="P285" s="22">
        <v>-1</v>
      </c>
      <c r="Q285" s="22" t="s">
        <v>87</v>
      </c>
      <c r="R285" s="22" t="s">
        <v>29</v>
      </c>
      <c r="S285" s="123" t="s">
        <v>3521</v>
      </c>
      <c r="T285" s="22">
        <v>1</v>
      </c>
      <c r="U285" s="22">
        <v>0</v>
      </c>
      <c r="V285" s="22">
        <v>0</v>
      </c>
      <c r="W285" s="23"/>
      <c r="X285" s="23"/>
      <c r="Y285" s="23"/>
    </row>
    <row r="286" spans="1:25" ht="14.25" customHeight="1">
      <c r="A286" s="236">
        <v>1</v>
      </c>
      <c r="B286" s="237" t="s">
        <v>3522</v>
      </c>
      <c r="C286" s="22">
        <v>287</v>
      </c>
      <c r="D286" s="22">
        <v>5</v>
      </c>
      <c r="E286" s="241">
        <v>43472</v>
      </c>
      <c r="F286" s="121" t="str">
        <f>HYPERLINK("http://www.tribunnews.com/seleb/2019/01/07/prostitusi-artis-vanessa-angel-ingatkan-pada-kasus-robbie-abbas-mengapa-cuma-mucikari-yang-dihukum ","sumber")</f>
        <v>sumber</v>
      </c>
      <c r="G286" s="223" t="s">
        <v>1</v>
      </c>
      <c r="H286" s="23" t="s">
        <v>3223</v>
      </c>
      <c r="I286" s="22">
        <v>1</v>
      </c>
      <c r="J286" s="22">
        <v>1</v>
      </c>
      <c r="K286" s="123" t="s">
        <v>3523</v>
      </c>
      <c r="L286" s="22">
        <v>0</v>
      </c>
      <c r="M286" s="22">
        <v>1</v>
      </c>
      <c r="N286" s="22">
        <v>-1</v>
      </c>
      <c r="O286" s="22">
        <v>0</v>
      </c>
      <c r="P286" s="22">
        <v>0</v>
      </c>
      <c r="Q286" s="185" t="s">
        <v>21</v>
      </c>
      <c r="R286" s="123" t="s">
        <v>3483</v>
      </c>
      <c r="S286" s="123" t="s">
        <v>3524</v>
      </c>
      <c r="T286" s="22">
        <v>2</v>
      </c>
      <c r="U286" s="22">
        <v>0</v>
      </c>
      <c r="V286" s="22">
        <v>0</v>
      </c>
      <c r="W286" s="23"/>
      <c r="X286" s="23"/>
      <c r="Y286" s="23"/>
    </row>
    <row r="287" spans="1:25" ht="14.25" customHeight="1">
      <c r="A287" s="236">
        <v>1</v>
      </c>
      <c r="B287" s="237" t="s">
        <v>3525</v>
      </c>
      <c r="C287" s="22">
        <v>288</v>
      </c>
      <c r="D287" s="22">
        <v>8</v>
      </c>
      <c r="E287" s="241">
        <v>43477</v>
      </c>
      <c r="F287" s="121" t="str">
        <f>HYPERLINK("https://www.suara.com/entertainment/2019/01/12/011907/kasus-prostitusi-pihak-puteri-indonesia-belum-mau-berkomentar ","sumber")</f>
        <v>sumber</v>
      </c>
      <c r="G287" s="223" t="s">
        <v>1</v>
      </c>
      <c r="H287" s="23" t="s">
        <v>3526</v>
      </c>
      <c r="I287" s="22">
        <v>1</v>
      </c>
      <c r="J287" s="22">
        <v>1</v>
      </c>
      <c r="K287" s="123"/>
      <c r="L287" s="22">
        <v>-1</v>
      </c>
      <c r="M287" s="22">
        <v>-1</v>
      </c>
      <c r="N287" s="22">
        <v>-1</v>
      </c>
      <c r="O287" s="22">
        <v>0</v>
      </c>
      <c r="P287" s="22">
        <v>0</v>
      </c>
      <c r="Q287" s="22"/>
      <c r="R287" s="22"/>
      <c r="S287" s="134"/>
      <c r="T287" s="22">
        <v>0</v>
      </c>
      <c r="U287" s="22">
        <v>0</v>
      </c>
      <c r="V287" s="22">
        <v>0</v>
      </c>
      <c r="W287" s="23"/>
      <c r="X287" s="23"/>
      <c r="Y287" s="23"/>
    </row>
    <row r="288" spans="1:25" ht="14.25" customHeight="1">
      <c r="A288" s="236">
        <v>1</v>
      </c>
      <c r="B288" s="237" t="s">
        <v>3527</v>
      </c>
      <c r="C288" s="22">
        <v>289</v>
      </c>
      <c r="D288" s="22">
        <v>6</v>
      </c>
      <c r="E288" s="241">
        <v>43481</v>
      </c>
      <c r="F288" s="121" t="str">
        <f>HYPERLINK("https://entertainment.kompas.com/read/2019/01/16/192858910/vanessa-angel-tanggapi-tuduhan-tawarkan-diri-gunakan-video-dan-foto ","sumber")</f>
        <v>sumber</v>
      </c>
      <c r="G288" s="223" t="s">
        <v>1</v>
      </c>
      <c r="H288" s="23" t="s">
        <v>2927</v>
      </c>
      <c r="I288" s="22">
        <v>1</v>
      </c>
      <c r="J288" s="22">
        <v>1</v>
      </c>
      <c r="K288" s="123" t="s">
        <v>3528</v>
      </c>
      <c r="L288" s="22">
        <v>0</v>
      </c>
      <c r="M288" s="22">
        <v>-1</v>
      </c>
      <c r="N288" s="22">
        <v>-1</v>
      </c>
      <c r="O288" s="22">
        <v>0</v>
      </c>
      <c r="P288" s="22">
        <v>0</v>
      </c>
      <c r="Q288" s="22" t="s">
        <v>134</v>
      </c>
      <c r="R288" s="22" t="s">
        <v>21</v>
      </c>
      <c r="S288" s="134"/>
      <c r="T288" s="22">
        <v>0</v>
      </c>
      <c r="U288" s="22">
        <v>0</v>
      </c>
      <c r="V288" s="22">
        <v>0</v>
      </c>
      <c r="W288" s="23"/>
      <c r="X288" s="23"/>
      <c r="Y288" s="23"/>
    </row>
    <row r="289" spans="1:25" ht="14.25" customHeight="1">
      <c r="A289" s="236">
        <v>1</v>
      </c>
      <c r="B289" s="237" t="s">
        <v>3529</v>
      </c>
      <c r="C289" s="22">
        <v>290</v>
      </c>
      <c r="D289" s="22">
        <v>3</v>
      </c>
      <c r="E289" s="241">
        <v>43481</v>
      </c>
      <c r="F289" s="121" t="str">
        <f>HYPERLINK("https://news.okezone.com/read/2019/01/16/519/2005346/kuasa-hukum-vanessa-angel-minta-polisi-tunjukkan-transaksi-aliran-dana ","sumber")</f>
        <v>sumber</v>
      </c>
      <c r="G289" s="223" t="s">
        <v>1</v>
      </c>
      <c r="H289" s="23" t="s">
        <v>3530</v>
      </c>
      <c r="I289" s="22">
        <v>1</v>
      </c>
      <c r="J289" s="22">
        <v>1</v>
      </c>
      <c r="K289" s="123" t="s">
        <v>3531</v>
      </c>
      <c r="L289" s="22">
        <v>0</v>
      </c>
      <c r="M289" s="22">
        <v>-1</v>
      </c>
      <c r="N289" s="22">
        <v>-1</v>
      </c>
      <c r="O289" s="22">
        <v>0</v>
      </c>
      <c r="P289" s="22">
        <v>0</v>
      </c>
      <c r="Q289" s="22">
        <v>0</v>
      </c>
      <c r="R289" s="22">
        <v>0</v>
      </c>
      <c r="S289" s="134"/>
      <c r="T289" s="22">
        <v>0</v>
      </c>
      <c r="U289" s="22">
        <v>0</v>
      </c>
      <c r="V289" s="22">
        <v>0</v>
      </c>
      <c r="W289" s="23"/>
      <c r="X289" s="23"/>
      <c r="Y289" s="23"/>
    </row>
    <row r="290" spans="1:25" ht="14.25" customHeight="1">
      <c r="A290" s="236">
        <v>1</v>
      </c>
      <c r="B290" s="237" t="s">
        <v>3532</v>
      </c>
      <c r="C290" s="22">
        <v>291</v>
      </c>
      <c r="D290" s="22">
        <v>5</v>
      </c>
      <c r="E290" s="241">
        <v>43496</v>
      </c>
      <c r="F290" s="121" t="str">
        <f>HYPERLINK("https://tirto.id/lbh-masyarakat-penolak-ruu-pks-lakukan-penyesatan-informasi-dfuF ","sumber")</f>
        <v>sumber</v>
      </c>
      <c r="G290" s="223" t="s">
        <v>1</v>
      </c>
      <c r="H290" s="23" t="s">
        <v>3533</v>
      </c>
      <c r="I290" s="22">
        <v>4</v>
      </c>
      <c r="J290" s="22">
        <v>1</v>
      </c>
      <c r="K290" s="123" t="s">
        <v>3534</v>
      </c>
      <c r="L290" s="22">
        <v>0</v>
      </c>
      <c r="M290" s="22">
        <v>0</v>
      </c>
      <c r="N290" s="22">
        <v>0</v>
      </c>
      <c r="O290" s="22">
        <v>0</v>
      </c>
      <c r="P290" s="22">
        <v>0</v>
      </c>
      <c r="Q290" s="22">
        <v>1</v>
      </c>
      <c r="R290" s="22">
        <v>1</v>
      </c>
      <c r="S290" s="134"/>
      <c r="T290" s="22">
        <v>0</v>
      </c>
      <c r="U290" s="22">
        <v>0</v>
      </c>
      <c r="V290" s="22">
        <v>1</v>
      </c>
      <c r="W290" s="23"/>
      <c r="X290" s="23"/>
      <c r="Y290" s="23"/>
    </row>
    <row r="291" spans="1:25" ht="14.25" customHeight="1">
      <c r="A291" s="236">
        <v>1</v>
      </c>
      <c r="B291" s="237" t="s">
        <v>3535</v>
      </c>
      <c r="C291" s="22">
        <v>292</v>
      </c>
      <c r="D291" s="22">
        <v>6</v>
      </c>
      <c r="E291" s="241">
        <v>43498</v>
      </c>
      <c r="F291" s="121" t="str">
        <f>HYPERLINK("https://olahraga.kompas.com/read/2019/02/02/00343058/pelatih-loncat-indah-bebas-dari-tuduhan-perkosaan ","sumber")</f>
        <v>sumber</v>
      </c>
      <c r="G291" s="223" t="s">
        <v>1</v>
      </c>
      <c r="H291" s="23" t="s">
        <v>3223</v>
      </c>
      <c r="I291" s="22">
        <v>1</v>
      </c>
      <c r="J291" s="22">
        <v>1</v>
      </c>
      <c r="K291" s="123"/>
      <c r="L291" s="22">
        <v>-1</v>
      </c>
      <c r="M291" s="22">
        <v>-1</v>
      </c>
      <c r="N291" s="22">
        <v>0</v>
      </c>
      <c r="O291" s="22">
        <v>0</v>
      </c>
      <c r="P291" s="22">
        <v>0</v>
      </c>
      <c r="Q291" s="22"/>
      <c r="R291" s="22"/>
      <c r="S291" s="123"/>
      <c r="T291" s="22">
        <v>0</v>
      </c>
      <c r="U291" s="22">
        <v>0</v>
      </c>
      <c r="V291" s="22">
        <v>0</v>
      </c>
      <c r="W291" s="23"/>
      <c r="X291" s="23"/>
      <c r="Y291" s="23"/>
    </row>
    <row r="292" spans="1:25" ht="14.25" customHeight="1">
      <c r="A292" s="236">
        <v>1</v>
      </c>
      <c r="B292" s="237" t="s">
        <v>3536</v>
      </c>
      <c r="C292" s="22">
        <v>293</v>
      </c>
      <c r="D292" s="22">
        <v>4</v>
      </c>
      <c r="E292" s="241">
        <v>43498</v>
      </c>
      <c r="F292" s="121" t="str">
        <f>HYPERLINK("https://www.liputan6.com/news/read/3885876/mahasiswi-di-palembang-diduga-jadi-korban-pemerkosaan-dan-perampokan ","sumber")</f>
        <v>sumber</v>
      </c>
      <c r="G292" s="223" t="s">
        <v>1</v>
      </c>
      <c r="H292" s="23" t="s">
        <v>3537</v>
      </c>
      <c r="I292" s="22">
        <v>1</v>
      </c>
      <c r="J292" s="22">
        <v>1</v>
      </c>
      <c r="K292" s="123" t="s">
        <v>3538</v>
      </c>
      <c r="L292" s="22">
        <v>0</v>
      </c>
      <c r="M292" s="22">
        <v>-1</v>
      </c>
      <c r="N292" s="22">
        <v>0</v>
      </c>
      <c r="O292" s="22">
        <v>0</v>
      </c>
      <c r="P292" s="22">
        <v>0</v>
      </c>
      <c r="Q292" s="22">
        <v>0</v>
      </c>
      <c r="R292" s="22">
        <v>0</v>
      </c>
      <c r="S292" s="123"/>
      <c r="T292" s="22">
        <v>0</v>
      </c>
      <c r="U292" s="22">
        <v>0</v>
      </c>
      <c r="V292" s="22">
        <v>0</v>
      </c>
      <c r="W292" s="23"/>
      <c r="X292" s="23"/>
      <c r="Y292" s="23"/>
    </row>
    <row r="293" spans="1:25" ht="14.25" customHeight="1">
      <c r="A293" s="236">
        <v>1</v>
      </c>
      <c r="B293" s="237" t="s">
        <v>3539</v>
      </c>
      <c r="C293" s="22">
        <v>294</v>
      </c>
      <c r="D293" s="22">
        <v>7</v>
      </c>
      <c r="E293" s="241">
        <v>43499</v>
      </c>
      <c r="F293" s="121" t="str">
        <f>HYPERLINK("http://www.tribunnews.com/regional/2019/02/03/pembunuhan-mahasiswi-uin-palembang-pelaku-nekat-perkosa-korbannya-yang-sudah-jadi-jenazah ","sumber")</f>
        <v>sumber</v>
      </c>
      <c r="G293" s="223" t="s">
        <v>1</v>
      </c>
      <c r="H293" s="23" t="s">
        <v>3540</v>
      </c>
      <c r="I293" s="22">
        <v>1</v>
      </c>
      <c r="J293" s="22">
        <v>1</v>
      </c>
      <c r="K293" s="123" t="s">
        <v>3541</v>
      </c>
      <c r="L293" s="22">
        <v>0</v>
      </c>
      <c r="M293" s="22">
        <v>-1</v>
      </c>
      <c r="N293" s="22">
        <v>0</v>
      </c>
      <c r="O293" s="22">
        <v>0</v>
      </c>
      <c r="P293" s="22">
        <v>0</v>
      </c>
      <c r="Q293" s="22">
        <v>0</v>
      </c>
      <c r="R293" s="22">
        <v>0</v>
      </c>
      <c r="S293" s="123"/>
      <c r="T293" s="22">
        <v>0</v>
      </c>
      <c r="U293" s="22">
        <v>0</v>
      </c>
      <c r="V293" s="22">
        <v>0</v>
      </c>
      <c r="W293" s="23"/>
      <c r="X293" s="23"/>
      <c r="Y293" s="23"/>
    </row>
    <row r="294" spans="1:25" ht="14.25" customHeight="1">
      <c r="A294" s="236">
        <v>1</v>
      </c>
      <c r="B294" s="237" t="s">
        <v>3542</v>
      </c>
      <c r="C294" s="22">
        <v>295</v>
      </c>
      <c r="D294" s="22">
        <v>8</v>
      </c>
      <c r="E294" s="241">
        <v>43500</v>
      </c>
      <c r="F294" s="121" t="str">
        <f>HYPERLINK("https://www.suara.com/news/2019/02/04/185352/vanessa-angel-dan-4-prostitusi-heboh-ada-psk-dibunuh-karena-ejek-bau-badan ","sumber")</f>
        <v>sumber</v>
      </c>
      <c r="G294" s="223" t="s">
        <v>1</v>
      </c>
      <c r="H294" s="23" t="s">
        <v>3543</v>
      </c>
      <c r="I294" s="22">
        <v>1</v>
      </c>
      <c r="J294" s="22">
        <v>1</v>
      </c>
      <c r="K294" s="123"/>
      <c r="L294" s="22">
        <v>-1</v>
      </c>
      <c r="M294" s="22">
        <v>-1</v>
      </c>
      <c r="N294" s="22">
        <v>-1</v>
      </c>
      <c r="O294" s="22">
        <v>0</v>
      </c>
      <c r="P294" s="22">
        <v>-1</v>
      </c>
      <c r="Q294" s="22"/>
      <c r="R294" s="22"/>
      <c r="S294" s="123" t="s">
        <v>3544</v>
      </c>
      <c r="T294" s="22">
        <v>4</v>
      </c>
      <c r="U294" s="22">
        <v>0</v>
      </c>
      <c r="V294" s="22">
        <v>1</v>
      </c>
      <c r="W294" s="23"/>
      <c r="X294" s="23"/>
      <c r="Y294" s="23"/>
    </row>
    <row r="295" spans="1:25" ht="14.25" customHeight="1">
      <c r="A295" s="236">
        <v>1</v>
      </c>
      <c r="B295" s="237" t="s">
        <v>3545</v>
      </c>
      <c r="C295" s="22">
        <v>296</v>
      </c>
      <c r="D295" s="22">
        <v>1</v>
      </c>
      <c r="E295" s="241">
        <v>43501</v>
      </c>
      <c r="F295" s="121" t="str">
        <f>HYPERLINK("https://news.detik.com/berita/d-4415189/sekap-dan-perkosa-remaja-12-tahun-2-pria-di-kaltim-ditangkap ","sumber")</f>
        <v>sumber</v>
      </c>
      <c r="G295" s="223" t="s">
        <v>1</v>
      </c>
      <c r="H295" s="23" t="s">
        <v>3546</v>
      </c>
      <c r="I295" s="22">
        <v>1</v>
      </c>
      <c r="J295" s="22">
        <v>1</v>
      </c>
      <c r="K295" s="123" t="s">
        <v>3547</v>
      </c>
      <c r="L295" s="22">
        <v>0</v>
      </c>
      <c r="M295" s="22">
        <v>1</v>
      </c>
      <c r="N295" s="22">
        <v>0</v>
      </c>
      <c r="O295" s="22">
        <v>0</v>
      </c>
      <c r="P295" s="22">
        <v>0</v>
      </c>
      <c r="Q295" s="22" t="s">
        <v>29</v>
      </c>
      <c r="R295" s="22" t="s">
        <v>29</v>
      </c>
      <c r="S295" s="134"/>
      <c r="T295" s="22">
        <v>0</v>
      </c>
      <c r="U295" s="22">
        <v>0</v>
      </c>
      <c r="V295" s="22">
        <v>0</v>
      </c>
      <c r="W295" s="23"/>
      <c r="X295" s="23"/>
      <c r="Y295" s="23"/>
    </row>
    <row r="296" spans="1:25" ht="14.25" customHeight="1">
      <c r="A296" s="236">
        <v>1</v>
      </c>
      <c r="B296" s="237" t="s">
        <v>3548</v>
      </c>
      <c r="C296" s="22">
        <v>297</v>
      </c>
      <c r="D296" s="22">
        <v>2</v>
      </c>
      <c r="E296" s="241">
        <v>43503</v>
      </c>
      <c r="F296" s="121" t="str">
        <f>HYPERLINK("https://www.cnnindonesia.com/nasional/20190207185343-12-367293/vanessa-disebut-tak-diperiksa-meski-5-jam-di-ruang-penyidik ","sumber")</f>
        <v>sumber</v>
      </c>
      <c r="G296" s="223" t="s">
        <v>1</v>
      </c>
      <c r="H296" s="23" t="s">
        <v>3549</v>
      </c>
      <c r="I296" s="22">
        <v>1</v>
      </c>
      <c r="J296" s="22">
        <v>1</v>
      </c>
      <c r="K296" s="123" t="s">
        <v>3531</v>
      </c>
      <c r="L296" s="22">
        <v>0</v>
      </c>
      <c r="M296" s="22">
        <v>1</v>
      </c>
      <c r="N296" s="22">
        <v>-1</v>
      </c>
      <c r="O296" s="22">
        <v>0</v>
      </c>
      <c r="P296" s="22">
        <v>0</v>
      </c>
      <c r="Q296" s="22">
        <v>0</v>
      </c>
      <c r="R296" s="22">
        <v>0</v>
      </c>
      <c r="S296" s="134"/>
      <c r="T296" s="22">
        <v>0</v>
      </c>
      <c r="U296" s="22">
        <v>0</v>
      </c>
      <c r="V296" s="22">
        <v>0</v>
      </c>
      <c r="W296" s="23"/>
      <c r="X296" s="23"/>
      <c r="Y296" s="23"/>
    </row>
    <row r="297" spans="1:25" ht="14.25" customHeight="1">
      <c r="A297" s="171">
        <v>2</v>
      </c>
      <c r="B297" s="239" t="s">
        <v>3550</v>
      </c>
      <c r="C297" s="25">
        <v>298</v>
      </c>
      <c r="D297" s="25">
        <v>1</v>
      </c>
      <c r="E297" s="242">
        <v>43503</v>
      </c>
      <c r="F297" s="115" t="str">
        <f>HYPERLINK("https://health.detik.com/berita-detikhealth/d-4417627/viral-pemotor-ngamuk-saat-ditilang-psikolog-singgung-masalah-kejiwaan ","sumber")</f>
        <v>sumber</v>
      </c>
      <c r="G297" s="228" t="s">
        <v>1</v>
      </c>
      <c r="H297" s="26" t="s">
        <v>3044</v>
      </c>
      <c r="I297" s="25">
        <v>1</v>
      </c>
      <c r="J297" s="25">
        <v>2</v>
      </c>
      <c r="K297" s="116"/>
      <c r="L297" s="26"/>
      <c r="M297" s="26"/>
      <c r="N297" s="26"/>
      <c r="O297" s="26"/>
      <c r="P297" s="26"/>
      <c r="Q297" s="26"/>
      <c r="R297" s="26"/>
      <c r="S297" s="124"/>
      <c r="T297" s="26"/>
      <c r="U297" s="26"/>
      <c r="V297" s="26"/>
      <c r="W297" s="26"/>
      <c r="X297" s="26"/>
      <c r="Y297" s="26"/>
    </row>
    <row r="298" spans="1:25" ht="14.25" customHeight="1">
      <c r="A298" s="171">
        <v>2</v>
      </c>
      <c r="B298" s="239" t="s">
        <v>3551</v>
      </c>
      <c r="C298" s="25">
        <v>299</v>
      </c>
      <c r="D298" s="25">
        <v>2</v>
      </c>
      <c r="E298" s="242">
        <v>43508</v>
      </c>
      <c r="F298" s="115" t="str">
        <f>HYPERLINK("https://www.cnnindonesia.com/olahraga/20190212172158-142-368596/dikalahkan-newcastle-persija-gagal-ke-liga-champions-asia ","sumber")</f>
        <v>sumber</v>
      </c>
      <c r="G298" s="228" t="s">
        <v>1</v>
      </c>
      <c r="H298" s="26" t="s">
        <v>3234</v>
      </c>
      <c r="I298" s="25">
        <v>2</v>
      </c>
      <c r="J298" s="25">
        <v>1</v>
      </c>
      <c r="K298" s="124"/>
      <c r="L298" s="26"/>
      <c r="M298" s="26"/>
      <c r="N298" s="26"/>
      <c r="O298" s="26"/>
      <c r="P298" s="26"/>
      <c r="Q298" s="26"/>
      <c r="R298" s="26"/>
      <c r="S298" s="124"/>
      <c r="T298" s="26"/>
      <c r="U298" s="26"/>
      <c r="V298" s="26"/>
      <c r="W298" s="26"/>
      <c r="X298" s="26"/>
      <c r="Y298" s="25"/>
    </row>
    <row r="299" spans="1:25" ht="14.25" customHeight="1">
      <c r="A299" s="236">
        <v>1</v>
      </c>
      <c r="B299" s="237" t="s">
        <v>3552</v>
      </c>
      <c r="C299" s="22">
        <v>300</v>
      </c>
      <c r="D299" s="22">
        <v>3</v>
      </c>
      <c r="E299" s="241">
        <v>43508</v>
      </c>
      <c r="F299" s="121" t="str">
        <f>HYPERLINK("https://lifestyle.okezone.com/read/2019/02/12/196/2016858/skandal-seks-di-lingkar-kekuasaan-ada-yang-libatkan-jenderal-bintang-empat ","sumber")</f>
        <v>sumber</v>
      </c>
      <c r="G299" s="223" t="s">
        <v>1</v>
      </c>
      <c r="H299" s="23" t="s">
        <v>3025</v>
      </c>
      <c r="I299" s="22">
        <v>1</v>
      </c>
      <c r="J299" s="22">
        <v>1</v>
      </c>
      <c r="K299" s="123"/>
      <c r="L299" s="22">
        <v>-1</v>
      </c>
      <c r="M299" s="22">
        <v>-1</v>
      </c>
      <c r="N299" s="22">
        <v>0</v>
      </c>
      <c r="O299" s="22">
        <v>0</v>
      </c>
      <c r="P299" s="22">
        <v>-1</v>
      </c>
      <c r="Q299" s="22"/>
      <c r="R299" s="22"/>
      <c r="S299" s="123"/>
      <c r="T299" s="22">
        <v>0</v>
      </c>
      <c r="U299" s="22">
        <v>0</v>
      </c>
      <c r="V299" s="22">
        <v>1</v>
      </c>
      <c r="W299" s="23"/>
      <c r="X299" s="23"/>
      <c r="Y299" s="23"/>
    </row>
    <row r="300" spans="1:25" ht="14.25" customHeight="1">
      <c r="A300" s="236">
        <v>1</v>
      </c>
      <c r="B300" s="237" t="s">
        <v>3553</v>
      </c>
      <c r="C300" s="22">
        <v>301</v>
      </c>
      <c r="D300" s="22">
        <v>8</v>
      </c>
      <c r="E300" s="241">
        <v>43508</v>
      </c>
      <c r="F300" s="121" t="str">
        <f>HYPERLINK("https://www.suara.com/news/2019/02/12/153632/kesal-dibilang-tak-mampu-bayar-cikal-anarki-bunuh-psk-di-cafe-jenggot ","sumber")</f>
        <v>sumber</v>
      </c>
      <c r="G300" s="223" t="s">
        <v>1</v>
      </c>
      <c r="H300" s="23" t="s">
        <v>3397</v>
      </c>
      <c r="I300" s="22">
        <v>1</v>
      </c>
      <c r="J300" s="22">
        <v>1</v>
      </c>
      <c r="K300" s="123" t="s">
        <v>3554</v>
      </c>
      <c r="L300" s="22">
        <v>0</v>
      </c>
      <c r="M300" s="22">
        <v>-1</v>
      </c>
      <c r="N300" s="22">
        <v>0</v>
      </c>
      <c r="O300" s="22">
        <v>0</v>
      </c>
      <c r="P300" s="22">
        <v>0</v>
      </c>
      <c r="Q300" s="22">
        <v>0</v>
      </c>
      <c r="R300" s="22">
        <v>0</v>
      </c>
      <c r="S300" s="123" t="s">
        <v>3555</v>
      </c>
      <c r="T300" s="22">
        <v>1</v>
      </c>
      <c r="U300" s="22">
        <v>0</v>
      </c>
      <c r="V300" s="22">
        <v>0</v>
      </c>
      <c r="W300" s="23"/>
      <c r="X300" s="23"/>
      <c r="Y300" s="23"/>
    </row>
    <row r="301" spans="1:25" ht="14.25" customHeight="1">
      <c r="A301" s="236">
        <v>1</v>
      </c>
      <c r="B301" s="237" t="s">
        <v>3556</v>
      </c>
      <c r="C301" s="22">
        <v>302</v>
      </c>
      <c r="D301" s="22">
        <v>5</v>
      </c>
      <c r="E301" s="241">
        <v>43509</v>
      </c>
      <c r="F301" s="121" t="str">
        <f>HYPERLINK("https://tirto.id/tentara-jerman-boleh-tolak-perintah-jika-berpotensi-langgar-ham-dgGi ","sumber")</f>
        <v>sumber</v>
      </c>
      <c r="G301" s="223" t="s">
        <v>1</v>
      </c>
      <c r="H301" s="23" t="s">
        <v>3557</v>
      </c>
      <c r="I301" s="22">
        <v>4</v>
      </c>
      <c r="J301" s="22">
        <v>1</v>
      </c>
      <c r="K301" s="123" t="s">
        <v>3558</v>
      </c>
      <c r="L301" s="22">
        <v>0</v>
      </c>
      <c r="M301" s="22">
        <v>0</v>
      </c>
      <c r="N301" s="22">
        <v>0</v>
      </c>
      <c r="O301" s="22">
        <v>0</v>
      </c>
      <c r="P301" s="22">
        <v>0</v>
      </c>
      <c r="Q301" s="123" t="s">
        <v>170</v>
      </c>
      <c r="R301" s="123" t="s">
        <v>170</v>
      </c>
      <c r="S301" s="134"/>
      <c r="T301" s="22">
        <v>0</v>
      </c>
      <c r="U301" s="22">
        <v>0</v>
      </c>
      <c r="V301" s="22">
        <v>1</v>
      </c>
      <c r="W301" s="23"/>
      <c r="X301" s="23"/>
      <c r="Y301" s="23"/>
    </row>
    <row r="302" spans="1:25" ht="14.25" customHeight="1">
      <c r="A302" s="236">
        <v>1</v>
      </c>
      <c r="B302" s="237" t="s">
        <v>3559</v>
      </c>
      <c r="C302" s="22">
        <v>303</v>
      </c>
      <c r="D302" s="22">
        <v>5</v>
      </c>
      <c r="E302" s="241">
        <v>43511</v>
      </c>
      <c r="F302" s="121" t="str">
        <f>HYPERLINK("https://tirto.id/polri-tangkap-pelaku-pemerasan-melalui-video-call-sex-dg6E ","sumber")</f>
        <v>sumber</v>
      </c>
      <c r="G302" s="223" t="s">
        <v>1</v>
      </c>
      <c r="H302" s="23" t="s">
        <v>3560</v>
      </c>
      <c r="I302" s="22">
        <v>1</v>
      </c>
      <c r="J302" s="22">
        <v>1</v>
      </c>
      <c r="K302" s="123" t="s">
        <v>3561</v>
      </c>
      <c r="L302" s="22">
        <v>0</v>
      </c>
      <c r="M302" s="22">
        <v>-1</v>
      </c>
      <c r="N302" s="22">
        <v>0</v>
      </c>
      <c r="O302" s="22">
        <v>0</v>
      </c>
      <c r="P302" s="22">
        <v>0</v>
      </c>
      <c r="Q302" s="22">
        <v>0</v>
      </c>
      <c r="R302" s="22">
        <v>0</v>
      </c>
      <c r="S302" s="123"/>
      <c r="T302" s="22">
        <v>0</v>
      </c>
      <c r="U302" s="22">
        <v>0</v>
      </c>
      <c r="V302" s="22">
        <v>0</v>
      </c>
      <c r="W302" s="23"/>
      <c r="X302" s="23"/>
      <c r="Y302" s="23"/>
    </row>
    <row r="303" spans="1:25" ht="14.25" customHeight="1">
      <c r="A303" s="236">
        <v>1</v>
      </c>
      <c r="B303" s="237" t="s">
        <v>3562</v>
      </c>
      <c r="C303" s="22">
        <v>304</v>
      </c>
      <c r="D303" s="22">
        <v>10</v>
      </c>
      <c r="E303" s="241">
        <v>43512</v>
      </c>
      <c r="F303" s="121" t="str">
        <f>HYPERLINK("https://nasional.tempo.co/read/1176179/polisi-sebut-ada-kasus-prostitusi-online-di-atas-vanessa-angel ","sumber")</f>
        <v>sumber</v>
      </c>
      <c r="G303" s="223" t="s">
        <v>1</v>
      </c>
      <c r="H303" s="23" t="s">
        <v>3563</v>
      </c>
      <c r="I303" s="22">
        <v>1</v>
      </c>
      <c r="J303" s="22">
        <v>1</v>
      </c>
      <c r="K303" s="123" t="s">
        <v>3564</v>
      </c>
      <c r="L303" s="22">
        <v>0</v>
      </c>
      <c r="M303" s="22">
        <v>-1</v>
      </c>
      <c r="N303" s="22">
        <v>-1</v>
      </c>
      <c r="O303" s="22">
        <v>0</v>
      </c>
      <c r="P303" s="22">
        <v>0</v>
      </c>
      <c r="Q303" s="22">
        <v>0</v>
      </c>
      <c r="R303" s="22">
        <v>0</v>
      </c>
      <c r="S303" s="134"/>
      <c r="T303" s="22">
        <v>0</v>
      </c>
      <c r="U303" s="22">
        <v>0</v>
      </c>
      <c r="V303" s="22">
        <v>0</v>
      </c>
      <c r="W303" s="23"/>
      <c r="X303" s="23"/>
      <c r="Y303" s="23"/>
    </row>
    <row r="304" spans="1:25" ht="14.25" customHeight="1">
      <c r="A304" s="236">
        <v>1</v>
      </c>
      <c r="B304" s="237" t="s">
        <v>3565</v>
      </c>
      <c r="C304" s="22">
        <v>305</v>
      </c>
      <c r="D304" s="22">
        <v>3</v>
      </c>
      <c r="E304" s="241">
        <v>43513</v>
      </c>
      <c r="F304" s="121" t="str">
        <f>HYPERLINK("https://news.okezone.com/read/2019/02/17/18/2019072/paus-fransiskus-pecat-mantan-kardinal-as-atas-kasus-pelecehan-seksual ","sumber")</f>
        <v>sumber</v>
      </c>
      <c r="G304" s="223" t="s">
        <v>1</v>
      </c>
      <c r="H304" s="23" t="s">
        <v>3566</v>
      </c>
      <c r="I304" s="22">
        <v>1</v>
      </c>
      <c r="J304" s="22">
        <v>1</v>
      </c>
      <c r="K304" s="123" t="s">
        <v>3567</v>
      </c>
      <c r="L304" s="22">
        <v>0</v>
      </c>
      <c r="M304" s="22">
        <v>1</v>
      </c>
      <c r="N304" s="22">
        <v>0</v>
      </c>
      <c r="O304" s="22">
        <v>0</v>
      </c>
      <c r="P304" s="22">
        <v>0</v>
      </c>
      <c r="Q304" s="123" t="s">
        <v>29</v>
      </c>
      <c r="R304" s="22" t="s">
        <v>68</v>
      </c>
      <c r="S304" s="134"/>
      <c r="T304" s="22">
        <v>0</v>
      </c>
      <c r="U304" s="22">
        <v>0</v>
      </c>
      <c r="V304" s="22">
        <v>0</v>
      </c>
      <c r="W304" s="23"/>
      <c r="X304" s="23"/>
      <c r="Y304" s="23"/>
    </row>
    <row r="305" spans="1:25" ht="14.25" customHeight="1">
      <c r="A305" s="236">
        <v>1</v>
      </c>
      <c r="B305" s="237" t="s">
        <v>2486</v>
      </c>
      <c r="C305" s="22">
        <v>306</v>
      </c>
      <c r="D305" s="22">
        <v>10</v>
      </c>
      <c r="E305" s="241">
        <v>43515</v>
      </c>
      <c r="F305" s="121" t="str">
        <f>HYPERLINK("https://dunia.tempo.co/read/1177381/vatikan-punya-aturan-bagi-imam-yang-punya-anak-ini-alasannya ","sumber")</f>
        <v>sumber</v>
      </c>
      <c r="G305" s="223" t="s">
        <v>1</v>
      </c>
      <c r="H305" s="23" t="s">
        <v>3568</v>
      </c>
      <c r="I305" s="22">
        <v>1</v>
      </c>
      <c r="J305" s="22">
        <v>1</v>
      </c>
      <c r="K305" s="123" t="s">
        <v>3569</v>
      </c>
      <c r="L305" s="22">
        <v>0</v>
      </c>
      <c r="M305" s="22">
        <v>1</v>
      </c>
      <c r="N305" s="22">
        <v>0</v>
      </c>
      <c r="O305" s="22">
        <v>0</v>
      </c>
      <c r="P305" s="22">
        <v>0</v>
      </c>
      <c r="Q305" s="22">
        <v>0</v>
      </c>
      <c r="R305" s="22">
        <v>1</v>
      </c>
      <c r="S305" s="123"/>
      <c r="T305" s="22">
        <v>0</v>
      </c>
      <c r="U305" s="22">
        <v>0</v>
      </c>
      <c r="V305" s="22">
        <v>1</v>
      </c>
      <c r="W305" s="23"/>
      <c r="X305" s="23"/>
      <c r="Y305" s="23"/>
    </row>
    <row r="306" spans="1:25" ht="14.25" customHeight="1">
      <c r="A306" s="236">
        <v>1</v>
      </c>
      <c r="B306" s="237" t="s">
        <v>3570</v>
      </c>
      <c r="C306" s="22">
        <v>307</v>
      </c>
      <c r="D306" s="22">
        <v>2</v>
      </c>
      <c r="E306" s="241">
        <v>43516</v>
      </c>
      <c r="F306" s="121" t="str">
        <f>HYPERLINK("https://www.cnnindonesia.com/nasional/20190219213252-12-370863/perbuatan-maksiat-eks-pejabat-bpjs-tk-disebut-coba-ditutupi ","sumber")</f>
        <v>sumber</v>
      </c>
      <c r="G306" s="223" t="s">
        <v>1</v>
      </c>
      <c r="H306" s="23" t="s">
        <v>3571</v>
      </c>
      <c r="I306" s="22">
        <v>1</v>
      </c>
      <c r="J306" s="22">
        <v>1</v>
      </c>
      <c r="K306" s="123" t="s">
        <v>3572</v>
      </c>
      <c r="L306" s="22">
        <v>0</v>
      </c>
      <c r="M306" s="22">
        <v>1</v>
      </c>
      <c r="N306" s="22">
        <v>0</v>
      </c>
      <c r="O306" s="22">
        <v>0</v>
      </c>
      <c r="P306" s="22">
        <v>0</v>
      </c>
      <c r="Q306" s="22" t="s">
        <v>68</v>
      </c>
      <c r="R306" s="22" t="s">
        <v>160</v>
      </c>
      <c r="S306" s="123" t="s">
        <v>3573</v>
      </c>
      <c r="T306" s="22">
        <v>3</v>
      </c>
      <c r="U306" s="22">
        <v>0</v>
      </c>
      <c r="V306" s="22">
        <v>0</v>
      </c>
      <c r="W306" s="23"/>
      <c r="X306" s="23"/>
      <c r="Y306" s="23"/>
    </row>
    <row r="307" spans="1:25" ht="14.25" customHeight="1">
      <c r="A307" s="236">
        <v>1</v>
      </c>
      <c r="B307" s="237" t="s">
        <v>3574</v>
      </c>
      <c r="C307" s="22">
        <v>308</v>
      </c>
      <c r="D307" s="22">
        <v>1</v>
      </c>
      <c r="E307" s="241">
        <v>43518</v>
      </c>
      <c r="F307" s="121" t="str">
        <f>HYPERLINK("https://news.detik.com/berita-jawa-timur/d-4439119/sudah-19-hari-vanessa-ditahan-akankah-penahanannya-diperpanjang ","sumber")</f>
        <v>sumber</v>
      </c>
      <c r="G307" s="223" t="s">
        <v>1</v>
      </c>
      <c r="H307" s="23" t="s">
        <v>3138</v>
      </c>
      <c r="I307" s="22">
        <v>4</v>
      </c>
      <c r="J307" s="22">
        <v>1</v>
      </c>
      <c r="K307" s="123" t="s">
        <v>3575</v>
      </c>
      <c r="L307" s="22">
        <v>0</v>
      </c>
      <c r="M307" s="22">
        <v>0</v>
      </c>
      <c r="N307" s="22">
        <v>-1</v>
      </c>
      <c r="O307" s="22">
        <v>0</v>
      </c>
      <c r="P307" s="22">
        <v>0</v>
      </c>
      <c r="Q307" s="22">
        <v>0</v>
      </c>
      <c r="R307" s="22">
        <v>1</v>
      </c>
      <c r="S307" s="134"/>
      <c r="T307" s="22">
        <v>0</v>
      </c>
      <c r="U307" s="22">
        <v>0</v>
      </c>
      <c r="V307" s="22">
        <v>0</v>
      </c>
      <c r="W307" s="23"/>
      <c r="X307" s="23"/>
      <c r="Y307" s="23"/>
    </row>
    <row r="308" spans="1:25" ht="14.25" customHeight="1">
      <c r="A308" s="236">
        <v>1</v>
      </c>
      <c r="B308" s="237" t="s">
        <v>3576</v>
      </c>
      <c r="C308" s="22">
        <v>309</v>
      </c>
      <c r="D308" s="22">
        <v>10</v>
      </c>
      <c r="E308" s="241">
        <v>43518</v>
      </c>
      <c r="F308" s="121" t="str">
        <f>HYPERLINK("https://dunia.tempo.co/read/1178451/lsm-laporkan-24-uskup-ke-paus-terkait-kasus-pelecehan-seksual ","sumber")</f>
        <v>sumber</v>
      </c>
      <c r="G308" s="223" t="s">
        <v>1</v>
      </c>
      <c r="H308" s="23" t="s">
        <v>3153</v>
      </c>
      <c r="I308" s="22">
        <v>1</v>
      </c>
      <c r="J308" s="22">
        <v>1</v>
      </c>
      <c r="K308" s="123" t="s">
        <v>3577</v>
      </c>
      <c r="L308" s="22">
        <v>0</v>
      </c>
      <c r="M308" s="22">
        <v>1</v>
      </c>
      <c r="N308" s="22">
        <v>0</v>
      </c>
      <c r="O308" s="22">
        <v>0</v>
      </c>
      <c r="P308" s="22">
        <v>0</v>
      </c>
      <c r="Q308" s="123" t="s">
        <v>1697</v>
      </c>
      <c r="R308" s="123" t="s">
        <v>1552</v>
      </c>
      <c r="S308" s="123"/>
      <c r="T308" s="22">
        <v>0</v>
      </c>
      <c r="U308" s="22">
        <v>0</v>
      </c>
      <c r="V308" s="22">
        <v>0</v>
      </c>
      <c r="W308" s="23"/>
      <c r="X308" s="23"/>
      <c r="Y308" s="23"/>
    </row>
    <row r="309" spans="1:25" ht="14.25" customHeight="1">
      <c r="A309" s="236">
        <v>1</v>
      </c>
      <c r="B309" s="237" t="s">
        <v>3578</v>
      </c>
      <c r="C309" s="22">
        <v>310</v>
      </c>
      <c r="D309" s="22">
        <v>4</v>
      </c>
      <c r="E309" s="241">
        <v>43524</v>
      </c>
      <c r="F309" s="121" t="str">
        <f>HYPERLINK("https://www.liputan6.com/regional/read/3905192/rayuan-miras-dan-hilangnya-keperawanan-gadis-smp-di-jember ","sumber")</f>
        <v>sumber</v>
      </c>
      <c r="G309" s="223" t="s">
        <v>1</v>
      </c>
      <c r="H309" s="23" t="s">
        <v>3579</v>
      </c>
      <c r="I309" s="22">
        <v>1</v>
      </c>
      <c r="J309" s="22">
        <v>1</v>
      </c>
      <c r="K309" s="123" t="s">
        <v>3580</v>
      </c>
      <c r="L309" s="22">
        <v>0</v>
      </c>
      <c r="M309" s="22">
        <v>-1</v>
      </c>
      <c r="N309" s="22">
        <v>0</v>
      </c>
      <c r="O309" s="22">
        <v>-1</v>
      </c>
      <c r="P309" s="22">
        <v>0</v>
      </c>
      <c r="Q309" s="22">
        <v>0</v>
      </c>
      <c r="R309" s="22">
        <v>0</v>
      </c>
      <c r="S309" s="123" t="s">
        <v>3581</v>
      </c>
      <c r="T309" s="22">
        <v>3</v>
      </c>
      <c r="U309" s="22">
        <v>0</v>
      </c>
      <c r="V309" s="22">
        <v>0</v>
      </c>
      <c r="W309" s="23"/>
      <c r="X309" s="23"/>
      <c r="Y309" s="23"/>
    </row>
    <row r="310" spans="1:25" ht="14.25" customHeight="1">
      <c r="A310" s="236">
        <v>1</v>
      </c>
      <c r="B310" s="237" t="s">
        <v>3582</v>
      </c>
      <c r="C310" s="22">
        <v>311</v>
      </c>
      <c r="D310" s="22">
        <v>1</v>
      </c>
      <c r="E310" s="241">
        <v>43525</v>
      </c>
      <c r="F310" s="121" t="str">
        <f>HYPERLINK("https://news.detik.com/berita/d-4450235/sopir-di-depok-aniaya-istri-karena-tak-siapkan-makan-siang ","sumber")</f>
        <v>sumber</v>
      </c>
      <c r="G310" s="223" t="s">
        <v>1</v>
      </c>
      <c r="H310" s="23" t="s">
        <v>3583</v>
      </c>
      <c r="I310" s="22">
        <v>1</v>
      </c>
      <c r="J310" s="22">
        <v>1</v>
      </c>
      <c r="K310" s="123" t="s">
        <v>3584</v>
      </c>
      <c r="L310" s="22">
        <v>0</v>
      </c>
      <c r="M310" s="22">
        <v>-1</v>
      </c>
      <c r="N310" s="22">
        <v>0</v>
      </c>
      <c r="O310" s="22">
        <v>0</v>
      </c>
      <c r="P310" s="22">
        <v>0</v>
      </c>
      <c r="Q310" s="22">
        <v>0</v>
      </c>
      <c r="R310" s="22">
        <v>0</v>
      </c>
      <c r="S310" s="123"/>
      <c r="T310" s="22">
        <v>0</v>
      </c>
      <c r="U310" s="22">
        <v>0</v>
      </c>
      <c r="V310" s="22">
        <v>0</v>
      </c>
      <c r="W310" s="23"/>
      <c r="X310" s="23"/>
      <c r="Y310" s="23"/>
    </row>
    <row r="311" spans="1:25" ht="14.25" customHeight="1">
      <c r="A311" s="236">
        <v>1</v>
      </c>
      <c r="B311" s="237" t="s">
        <v>3585</v>
      </c>
      <c r="C311" s="22">
        <v>312</v>
      </c>
      <c r="D311" s="22">
        <v>5</v>
      </c>
      <c r="E311" s="241">
        <v>43530</v>
      </c>
      <c r="F311" s="121" t="str">
        <f>HYPERLINK("https://tirto.id/sidang-gugatan-korban-pelecehan-seksual-dewas-bpjs-tk-ditunda-diAA ","sumber")</f>
        <v>sumber</v>
      </c>
      <c r="G311" s="223" t="s">
        <v>1</v>
      </c>
      <c r="H311" s="23" t="s">
        <v>3586</v>
      </c>
      <c r="I311" s="22">
        <v>1</v>
      </c>
      <c r="J311" s="22">
        <v>1</v>
      </c>
      <c r="K311" s="123" t="s">
        <v>3587</v>
      </c>
      <c r="L311" s="22">
        <v>0</v>
      </c>
      <c r="M311" s="22">
        <v>1</v>
      </c>
      <c r="N311" s="22">
        <v>0</v>
      </c>
      <c r="O311" s="22">
        <v>0</v>
      </c>
      <c r="P311" s="22">
        <v>0</v>
      </c>
      <c r="Q311" s="22" t="s">
        <v>29</v>
      </c>
      <c r="R311" s="22" t="s">
        <v>29</v>
      </c>
      <c r="S311" s="123"/>
      <c r="T311" s="22">
        <v>0</v>
      </c>
      <c r="U311" s="22">
        <v>0</v>
      </c>
      <c r="V311" s="22">
        <v>0</v>
      </c>
      <c r="W311" s="23"/>
      <c r="X311" s="23"/>
      <c r="Y311" s="23"/>
    </row>
    <row r="312" spans="1:25" ht="14.25" customHeight="1">
      <c r="A312" s="148">
        <v>1</v>
      </c>
      <c r="B312" s="202" t="s">
        <v>3588</v>
      </c>
      <c r="C312" s="33">
        <v>313</v>
      </c>
      <c r="D312" s="33">
        <v>4</v>
      </c>
      <c r="E312" s="249">
        <v>43534</v>
      </c>
      <c r="F312" s="130" t="str">
        <f>HYPERLINK("https://www.liputan6.com/regional/read/3912926/janji-wali-kota-kupang-untuk-mantan-psk-karang-dempel","sumber")</f>
        <v>sumber</v>
      </c>
      <c r="G312" s="231" t="s">
        <v>1</v>
      </c>
      <c r="H312" s="33">
        <v>212</v>
      </c>
      <c r="I312" s="33">
        <v>4</v>
      </c>
      <c r="J312" s="33">
        <v>1</v>
      </c>
      <c r="K312" s="131" t="s">
        <v>3589</v>
      </c>
      <c r="L312" s="33">
        <v>0</v>
      </c>
      <c r="M312" s="33">
        <v>0</v>
      </c>
      <c r="N312" s="33">
        <v>0</v>
      </c>
      <c r="O312" s="33">
        <v>0</v>
      </c>
      <c r="P312" s="33">
        <v>0</v>
      </c>
      <c r="Q312" s="33">
        <v>0</v>
      </c>
      <c r="R312" s="33">
        <v>0</v>
      </c>
      <c r="S312" s="131"/>
      <c r="T312" s="33">
        <v>0</v>
      </c>
      <c r="U312" s="33">
        <v>0</v>
      </c>
      <c r="V312" s="33">
        <v>0</v>
      </c>
      <c r="W312" s="24"/>
      <c r="X312" s="24"/>
      <c r="Y312" s="33"/>
    </row>
    <row r="313" spans="1:25" ht="14.25" customHeight="1">
      <c r="A313" s="236">
        <v>1</v>
      </c>
      <c r="B313" s="237" t="s">
        <v>2499</v>
      </c>
      <c r="C313" s="22">
        <v>314</v>
      </c>
      <c r="D313" s="22">
        <v>10</v>
      </c>
      <c r="E313" s="241">
        <v>43537</v>
      </c>
      <c r="F313" s="121" t="str">
        <f>HYPERLINK("https://dunia.tempo.co/read/1184731/pbb-800-orang-banunu-dibantai-2-minggu-sebelum-pemilu-di-kongo ","sumber")</f>
        <v>sumber</v>
      </c>
      <c r="G313" s="223" t="s">
        <v>1</v>
      </c>
      <c r="H313" s="23" t="s">
        <v>3590</v>
      </c>
      <c r="I313" s="22">
        <v>1</v>
      </c>
      <c r="J313" s="22">
        <v>1</v>
      </c>
      <c r="K313" s="123" t="s">
        <v>3591</v>
      </c>
      <c r="L313" s="22">
        <v>0</v>
      </c>
      <c r="M313" s="22">
        <v>1</v>
      </c>
      <c r="N313" s="22">
        <v>0</v>
      </c>
      <c r="O313" s="22">
        <v>0</v>
      </c>
      <c r="P313" s="22">
        <v>0</v>
      </c>
      <c r="Q313" s="123" t="s">
        <v>58</v>
      </c>
      <c r="R313" s="123" t="s">
        <v>57</v>
      </c>
      <c r="S313" s="123"/>
      <c r="T313" s="22">
        <v>0</v>
      </c>
      <c r="U313" s="22">
        <v>0</v>
      </c>
      <c r="V313" s="22">
        <v>0</v>
      </c>
      <c r="W313" s="23"/>
      <c r="X313" s="23"/>
      <c r="Y313" s="23"/>
    </row>
    <row r="314" spans="1:25" ht="14.25" customHeight="1">
      <c r="A314" s="236">
        <v>1</v>
      </c>
      <c r="B314" s="237" t="s">
        <v>3592</v>
      </c>
      <c r="C314" s="22">
        <v>315</v>
      </c>
      <c r="D314" s="22">
        <v>6</v>
      </c>
      <c r="E314" s="241">
        <v>43538</v>
      </c>
      <c r="F314" s="121" t="str">
        <f>HYPERLINK("https://internasional.kompas.com/read/2019/03/14/19424931/dikira-senang-ibunya-meninggal-seorang-pria-bunuh-istrinya ","sumber")</f>
        <v>sumber</v>
      </c>
      <c r="G314" s="223" t="s">
        <v>1</v>
      </c>
      <c r="H314" s="23" t="s">
        <v>3593</v>
      </c>
      <c r="I314" s="22">
        <v>1</v>
      </c>
      <c r="J314" s="22">
        <v>1</v>
      </c>
      <c r="K314" s="123" t="s">
        <v>3594</v>
      </c>
      <c r="L314" s="22">
        <v>0</v>
      </c>
      <c r="M314" s="22">
        <v>1</v>
      </c>
      <c r="N314" s="22">
        <v>0</v>
      </c>
      <c r="O314" s="22">
        <v>0</v>
      </c>
      <c r="P314" s="22">
        <v>0</v>
      </c>
      <c r="Q314" s="123" t="s">
        <v>29</v>
      </c>
      <c r="R314" s="22" t="s">
        <v>29</v>
      </c>
      <c r="S314" s="123"/>
      <c r="T314" s="22">
        <v>0</v>
      </c>
      <c r="U314" s="22">
        <v>0</v>
      </c>
      <c r="V314" s="22">
        <v>0</v>
      </c>
      <c r="W314" s="23"/>
      <c r="X314" s="23"/>
      <c r="Y314" s="23"/>
    </row>
    <row r="315" spans="1:25" ht="14.25" customHeight="1">
      <c r="A315" s="236">
        <v>1</v>
      </c>
      <c r="B315" s="237" t="s">
        <v>3595</v>
      </c>
      <c r="C315" s="22">
        <v>316</v>
      </c>
      <c r="D315" s="22">
        <v>7</v>
      </c>
      <c r="E315" s="241">
        <v>43538</v>
      </c>
      <c r="F315" s="121" t="str">
        <f>HYPERLINK("http://www.tribunnews.com/section/2019/03/14/terbukti-terlibat-kasus-prostitusi-artis-jung-joon-young-lee-jong-hyun-sempat-membantah ","sumber")</f>
        <v>sumber</v>
      </c>
      <c r="G315" s="223" t="s">
        <v>1</v>
      </c>
      <c r="H315" s="23" t="s">
        <v>3596</v>
      </c>
      <c r="I315" s="22">
        <v>1</v>
      </c>
      <c r="J315" s="22">
        <v>1</v>
      </c>
      <c r="K315" s="123" t="s">
        <v>3597</v>
      </c>
      <c r="L315" s="22">
        <v>0</v>
      </c>
      <c r="M315" s="147">
        <v>0</v>
      </c>
      <c r="N315" s="22">
        <v>0</v>
      </c>
      <c r="O315" s="22">
        <v>0</v>
      </c>
      <c r="P315" s="22">
        <v>0</v>
      </c>
      <c r="Q315" s="22">
        <v>0</v>
      </c>
      <c r="R315" s="22">
        <v>0</v>
      </c>
      <c r="S315" s="123"/>
      <c r="T315" s="22">
        <v>0</v>
      </c>
      <c r="U315" s="22">
        <v>0</v>
      </c>
      <c r="V315" s="22">
        <v>0</v>
      </c>
      <c r="W315" s="23"/>
      <c r="X315" s="23"/>
      <c r="Y315" s="23"/>
    </row>
    <row r="316" spans="1:25" ht="14.25" customHeight="1">
      <c r="A316" s="236">
        <v>1</v>
      </c>
      <c r="B316" s="237" t="s">
        <v>3598</v>
      </c>
      <c r="C316" s="22">
        <v>317</v>
      </c>
      <c r="D316" s="22">
        <v>6</v>
      </c>
      <c r="E316" s="241">
        <v>43539</v>
      </c>
      <c r="F316" s="121" t="str">
        <f>HYPERLINK("https://megapolitan.kompas.com/read/2019/03/15/07185021/8-terduga-pelaku-prostitusi-online-di-kebagusan-city-ditangkap ","sumber")</f>
        <v>sumber</v>
      </c>
      <c r="G316" s="223" t="s">
        <v>1</v>
      </c>
      <c r="H316" s="23" t="s">
        <v>2973</v>
      </c>
      <c r="I316" s="22">
        <v>1</v>
      </c>
      <c r="J316" s="22">
        <v>1</v>
      </c>
      <c r="K316" s="123" t="s">
        <v>3599</v>
      </c>
      <c r="L316" s="22">
        <v>0</v>
      </c>
      <c r="M316" s="22">
        <v>-1</v>
      </c>
      <c r="N316" s="22">
        <v>0</v>
      </c>
      <c r="O316" s="22">
        <v>0</v>
      </c>
      <c r="P316" s="22">
        <v>0</v>
      </c>
      <c r="Q316" s="22" t="s">
        <v>29</v>
      </c>
      <c r="R316" s="22" t="s">
        <v>29</v>
      </c>
      <c r="S316" s="123"/>
      <c r="T316" s="22">
        <v>0</v>
      </c>
      <c r="U316" s="22">
        <v>0</v>
      </c>
      <c r="V316" s="22">
        <v>0</v>
      </c>
      <c r="W316" s="23"/>
      <c r="X316" s="23"/>
      <c r="Y316" s="23"/>
    </row>
    <row r="317" spans="1:25" ht="14.25" customHeight="1">
      <c r="A317" s="236">
        <v>1</v>
      </c>
      <c r="B317" s="237" t="s">
        <v>3600</v>
      </c>
      <c r="C317" s="22">
        <v>318</v>
      </c>
      <c r="D317" s="22">
        <v>3</v>
      </c>
      <c r="E317" s="241">
        <v>43540</v>
      </c>
      <c r="F317" s="121" t="str">
        <f>HYPERLINK("https://news.okezone.com/read/2019/03/16/18/2030736/teror-penembakan-di-selandia-baru-pelaku-terobsesi-supremasi-kulit-putih-atas-muslim ","sumber")</f>
        <v>sumber</v>
      </c>
      <c r="G317" s="223" t="s">
        <v>1</v>
      </c>
      <c r="H317" s="23" t="s">
        <v>3601</v>
      </c>
      <c r="I317" s="22">
        <v>1</v>
      </c>
      <c r="J317" s="22">
        <v>1</v>
      </c>
      <c r="K317" s="123" t="s">
        <v>3602</v>
      </c>
      <c r="L317" s="22">
        <v>0</v>
      </c>
      <c r="M317" s="22">
        <v>-1</v>
      </c>
      <c r="N317" s="22">
        <v>0</v>
      </c>
      <c r="O317" s="22">
        <v>0</v>
      </c>
      <c r="P317" s="22">
        <v>0</v>
      </c>
      <c r="Q317" s="22">
        <v>0</v>
      </c>
      <c r="R317" s="22">
        <v>0</v>
      </c>
      <c r="S317" s="123"/>
      <c r="T317" s="22">
        <v>0</v>
      </c>
      <c r="U317" s="22">
        <v>0</v>
      </c>
      <c r="V317" s="22">
        <v>0</v>
      </c>
      <c r="W317" s="23"/>
      <c r="X317" s="23"/>
      <c r="Y317" s="23"/>
    </row>
    <row r="318" spans="1:25" ht="14.25" customHeight="1">
      <c r="A318" s="236">
        <v>1</v>
      </c>
      <c r="B318" s="237" t="s">
        <v>3603</v>
      </c>
      <c r="C318" s="22">
        <v>319</v>
      </c>
      <c r="D318" s="22">
        <v>10</v>
      </c>
      <c r="E318" s="241">
        <v>43547</v>
      </c>
      <c r="F318" s="121" t="str">
        <f>HYPERLINK("https://bisnis.tempo.co/read/1188403/20-korban-pinjaman-online-melapor-ada-yang-alami-pelecehan-seks ","sumber")</f>
        <v>sumber</v>
      </c>
      <c r="G318" s="223" t="s">
        <v>1</v>
      </c>
      <c r="H318" s="23" t="s">
        <v>3604</v>
      </c>
      <c r="I318" s="22">
        <v>1</v>
      </c>
      <c r="J318" s="22">
        <v>1</v>
      </c>
      <c r="K318" s="123" t="s">
        <v>3605</v>
      </c>
      <c r="L318" s="22">
        <v>0</v>
      </c>
      <c r="M318" s="22">
        <v>1</v>
      </c>
      <c r="N318" s="22">
        <v>0</v>
      </c>
      <c r="O318" s="22">
        <v>0</v>
      </c>
      <c r="P318" s="22">
        <v>0</v>
      </c>
      <c r="Q318" s="123" t="s">
        <v>3606</v>
      </c>
      <c r="R318" s="22" t="s">
        <v>210</v>
      </c>
      <c r="S318" s="123"/>
      <c r="T318" s="22">
        <v>0</v>
      </c>
      <c r="U318" s="22">
        <v>0</v>
      </c>
      <c r="V318" s="22">
        <v>0</v>
      </c>
      <c r="W318" s="23"/>
      <c r="X318" s="23"/>
      <c r="Y318" s="23"/>
    </row>
    <row r="319" spans="1:25" ht="14.25" customHeight="1">
      <c r="A319" s="236">
        <v>1</v>
      </c>
      <c r="B319" s="237" t="s">
        <v>3607</v>
      </c>
      <c r="C319" s="22">
        <v>320</v>
      </c>
      <c r="D319" s="22">
        <v>2</v>
      </c>
      <c r="E319" s="241">
        <v>43549</v>
      </c>
      <c r="F319" s="121" t="str">
        <f>HYPERLINK("https://www.cnnindonesia.com/nasional/20190325141211-12-380433/dua-muncikari-prostitusi-online-disidang-di-surabaya ","sumber")</f>
        <v>sumber</v>
      </c>
      <c r="G319" s="223" t="s">
        <v>1</v>
      </c>
      <c r="H319" s="23" t="s">
        <v>3608</v>
      </c>
      <c r="I319" s="22">
        <v>1</v>
      </c>
      <c r="J319" s="22">
        <v>1</v>
      </c>
      <c r="K319" s="123" t="s">
        <v>3609</v>
      </c>
      <c r="L319" s="22">
        <v>0</v>
      </c>
      <c r="M319" s="22">
        <v>1</v>
      </c>
      <c r="N319" s="22">
        <v>0</v>
      </c>
      <c r="O319" s="22">
        <v>0</v>
      </c>
      <c r="P319" s="22">
        <v>0</v>
      </c>
      <c r="Q319" s="22" t="s">
        <v>21</v>
      </c>
      <c r="R319" s="22" t="s">
        <v>21</v>
      </c>
      <c r="S319" s="123"/>
      <c r="T319" s="22">
        <v>0</v>
      </c>
      <c r="U319" s="22">
        <v>0</v>
      </c>
      <c r="V319" s="22">
        <v>0</v>
      </c>
      <c r="W319" s="23"/>
      <c r="X319" s="23"/>
      <c r="Y319" s="23"/>
    </row>
    <row r="320" spans="1:25" ht="14.25" customHeight="1">
      <c r="A320" s="236">
        <v>1</v>
      </c>
      <c r="B320" s="237" t="s">
        <v>3610</v>
      </c>
      <c r="C320" s="22">
        <v>321</v>
      </c>
      <c r="D320" s="22">
        <v>4</v>
      </c>
      <c r="E320" s="241">
        <v>43549</v>
      </c>
      <c r="F320" s="121" t="str">
        <f>HYPERLINK("https://www.liputan6.com/regional/read/3925873/dua-muncikari-penyalur-artis-vanessa-angel-pasrah-didakwa-melanggar-uu-ite ","sumber")</f>
        <v>sumber</v>
      </c>
      <c r="G320" s="223" t="s">
        <v>1</v>
      </c>
      <c r="H320" s="23" t="s">
        <v>3611</v>
      </c>
      <c r="I320" s="22">
        <v>1</v>
      </c>
      <c r="J320" s="22">
        <v>1</v>
      </c>
      <c r="K320" s="123" t="s">
        <v>3612</v>
      </c>
      <c r="L320" s="22">
        <v>0</v>
      </c>
      <c r="M320" s="22">
        <v>-1</v>
      </c>
      <c r="N320" s="22">
        <v>0</v>
      </c>
      <c r="O320" s="22">
        <v>0</v>
      </c>
      <c r="P320" s="22">
        <v>0</v>
      </c>
      <c r="Q320" s="22" t="s">
        <v>57</v>
      </c>
      <c r="R320" s="22" t="s">
        <v>57</v>
      </c>
      <c r="S320" s="123"/>
      <c r="T320" s="22">
        <v>0</v>
      </c>
      <c r="U320" s="22">
        <v>0</v>
      </c>
      <c r="V320" s="22">
        <v>0</v>
      </c>
      <c r="W320" s="23"/>
      <c r="X320" s="23"/>
      <c r="Y320" s="23"/>
    </row>
    <row r="321" spans="1:25" ht="14.25" customHeight="1">
      <c r="A321" s="236">
        <v>1</v>
      </c>
      <c r="B321" s="237" t="s">
        <v>3613</v>
      </c>
      <c r="C321" s="22">
        <v>322</v>
      </c>
      <c r="D321" s="22">
        <v>6</v>
      </c>
      <c r="E321" s="241">
        <v>43550</v>
      </c>
      <c r="F321" s="121" t="str">
        <f>HYPERLINK("https://regional.kompas.com/read/2019/03/26/23132851/satu-murid-calon-pendeta-lolos-dari-pembunuhan-di-oki-polisi-tunggu ","sumber")</f>
        <v>sumber</v>
      </c>
      <c r="G321" s="223" t="s">
        <v>1</v>
      </c>
      <c r="H321" s="23" t="s">
        <v>3082</v>
      </c>
      <c r="I321" s="22">
        <v>1</v>
      </c>
      <c r="J321" s="22">
        <v>1</v>
      </c>
      <c r="K321" s="123" t="s">
        <v>3614</v>
      </c>
      <c r="L321" s="22">
        <v>0</v>
      </c>
      <c r="M321" s="22">
        <v>1</v>
      </c>
      <c r="N321" s="22">
        <v>0</v>
      </c>
      <c r="O321" s="22">
        <v>0</v>
      </c>
      <c r="P321" s="22">
        <v>0</v>
      </c>
      <c r="Q321" s="22">
        <v>0</v>
      </c>
      <c r="R321" s="22">
        <v>0</v>
      </c>
      <c r="S321" s="123"/>
      <c r="T321" s="22">
        <v>0</v>
      </c>
      <c r="U321" s="22">
        <v>0</v>
      </c>
      <c r="V321" s="22">
        <v>0</v>
      </c>
      <c r="W321" s="23"/>
      <c r="X321" s="23"/>
      <c r="Y321" s="23"/>
    </row>
    <row r="322" spans="1:25" ht="14.25" customHeight="1">
      <c r="A322" s="236">
        <v>1</v>
      </c>
      <c r="B322" s="237" t="s">
        <v>3615</v>
      </c>
      <c r="C322" s="22">
        <v>323</v>
      </c>
      <c r="D322" s="22">
        <v>2</v>
      </c>
      <c r="E322" s="241">
        <v>43551</v>
      </c>
      <c r="F322" s="121" t="str">
        <f>HYPERLINK("https://www.cnnindonesia.com/hiburan/20190327174138-234-381231/jejak-seungri-dihapus-dari-situs-yg-entertainment ","sumber")</f>
        <v>sumber</v>
      </c>
      <c r="G322" s="223" t="s">
        <v>1</v>
      </c>
      <c r="H322" s="23" t="s">
        <v>3616</v>
      </c>
      <c r="I322" s="22">
        <v>1</v>
      </c>
      <c r="J322" s="22">
        <v>1</v>
      </c>
      <c r="K322" s="123"/>
      <c r="L322" s="22">
        <v>0</v>
      </c>
      <c r="M322" s="22">
        <v>1</v>
      </c>
      <c r="N322" s="22">
        <v>0</v>
      </c>
      <c r="O322" s="22">
        <v>0</v>
      </c>
      <c r="P322" s="22">
        <v>0</v>
      </c>
      <c r="Q322" s="22"/>
      <c r="R322" s="22"/>
      <c r="S322" s="123"/>
      <c r="T322" s="22">
        <v>0</v>
      </c>
      <c r="U322" s="22">
        <v>0</v>
      </c>
      <c r="V322" s="22">
        <v>0</v>
      </c>
      <c r="W322" s="23"/>
      <c r="X322" s="23"/>
      <c r="Y322" s="23"/>
    </row>
    <row r="323" spans="1:25" ht="14.25" customHeight="1">
      <c r="A323" s="236">
        <v>1</v>
      </c>
      <c r="B323" s="237" t="s">
        <v>3617</v>
      </c>
      <c r="C323" s="22">
        <v>324</v>
      </c>
      <c r="D323" s="22">
        <v>6</v>
      </c>
      <c r="E323" s="241">
        <v>43551</v>
      </c>
      <c r="F323" s="121" t="str">
        <f>HYPERLINK("https://regional.kompas.com/read/2019/03/27/07415181/pembunuhan-sadis-calon-pendeta-di-oki-pelaku-pakai-topeng-hingga-murid ","sumber")</f>
        <v>sumber</v>
      </c>
      <c r="G323" s="223" t="s">
        <v>1</v>
      </c>
      <c r="H323" s="23" t="s">
        <v>3618</v>
      </c>
      <c r="I323" s="22">
        <v>1</v>
      </c>
      <c r="J323" s="22">
        <v>1</v>
      </c>
      <c r="K323" s="123" t="s">
        <v>3619</v>
      </c>
      <c r="L323" s="22">
        <v>0</v>
      </c>
      <c r="M323" s="22">
        <v>1</v>
      </c>
      <c r="N323" s="22">
        <v>0</v>
      </c>
      <c r="O323" s="22">
        <v>0</v>
      </c>
      <c r="P323" s="22">
        <v>0</v>
      </c>
      <c r="Q323" s="22" t="s">
        <v>21</v>
      </c>
      <c r="R323" s="22" t="s">
        <v>21</v>
      </c>
      <c r="S323" s="123"/>
      <c r="T323" s="22">
        <v>0</v>
      </c>
      <c r="U323" s="22">
        <v>0</v>
      </c>
      <c r="V323" s="22">
        <v>0</v>
      </c>
      <c r="W323" s="23"/>
      <c r="X323" s="23"/>
      <c r="Y323" s="23"/>
    </row>
    <row r="324" spans="1:25" ht="14.25" customHeight="1">
      <c r="A324" s="236">
        <v>1</v>
      </c>
      <c r="B324" s="237" t="s">
        <v>3620</v>
      </c>
      <c r="C324" s="22">
        <v>325</v>
      </c>
      <c r="D324" s="22">
        <v>7</v>
      </c>
      <c r="E324" s="241">
        <v>43551</v>
      </c>
      <c r="F324" s="121" t="str">
        <f>HYPERLINK("http://www.tribunnews.com/regional/2019/03/27/update-terbaru-pembunuhan-calon-pendeta-melinda-zidemi-ada-cairan-sperma-yang-jadi-petunjuk ","sumber")</f>
        <v>sumber</v>
      </c>
      <c r="G324" s="223" t="s">
        <v>1</v>
      </c>
      <c r="H324" s="23" t="s">
        <v>3621</v>
      </c>
      <c r="I324" s="22">
        <v>1</v>
      </c>
      <c r="J324" s="22">
        <v>1</v>
      </c>
      <c r="K324" s="123" t="s">
        <v>3622</v>
      </c>
      <c r="L324" s="22">
        <v>0</v>
      </c>
      <c r="M324" s="147">
        <v>0</v>
      </c>
      <c r="N324" s="22">
        <v>-1</v>
      </c>
      <c r="O324" s="22">
        <v>0</v>
      </c>
      <c r="P324" s="22">
        <v>0</v>
      </c>
      <c r="Q324" s="22" t="s">
        <v>29</v>
      </c>
      <c r="R324" s="22" t="s">
        <v>29</v>
      </c>
      <c r="S324" s="123"/>
      <c r="T324" s="22">
        <v>0</v>
      </c>
      <c r="U324" s="22">
        <v>0</v>
      </c>
      <c r="V324" s="22">
        <v>0</v>
      </c>
      <c r="W324" s="23"/>
      <c r="X324" s="23"/>
      <c r="Y324" s="23"/>
    </row>
    <row r="325" spans="1:25" ht="14.25" customHeight="1">
      <c r="A325" s="236">
        <v>1</v>
      </c>
      <c r="B325" s="237" t="s">
        <v>3623</v>
      </c>
      <c r="C325" s="22">
        <v>326</v>
      </c>
      <c r="D325" s="22">
        <v>9</v>
      </c>
      <c r="E325" s="241">
        <v>43552</v>
      </c>
      <c r="F325" s="121" t="str">
        <f>HYPERLINK("https://internasional.republika.co.id/berita/internasional/timur-tengah/pp2usp320/aktivis-ungkap-penyiksaan-selama-ditahan-saudi ","sumber")</f>
        <v>sumber</v>
      </c>
      <c r="G325" s="223" t="s">
        <v>1</v>
      </c>
      <c r="H325" s="23" t="s">
        <v>3624</v>
      </c>
      <c r="I325" s="22">
        <v>1</v>
      </c>
      <c r="J325" s="22">
        <v>1</v>
      </c>
      <c r="K325" s="123" t="s">
        <v>3625</v>
      </c>
      <c r="L325" s="22">
        <v>0</v>
      </c>
      <c r="M325" s="147">
        <v>0</v>
      </c>
      <c r="N325" s="22">
        <v>0</v>
      </c>
      <c r="O325" s="22">
        <v>0</v>
      </c>
      <c r="P325" s="22">
        <v>0</v>
      </c>
      <c r="Q325" s="22">
        <v>0</v>
      </c>
      <c r="R325" s="22">
        <v>1</v>
      </c>
      <c r="S325" s="123"/>
      <c r="T325" s="22">
        <v>0</v>
      </c>
      <c r="U325" s="22">
        <v>0</v>
      </c>
      <c r="V325" s="22">
        <v>0</v>
      </c>
      <c r="W325" s="23"/>
      <c r="X325" s="23"/>
      <c r="Y325" s="23"/>
    </row>
    <row r="326" spans="1:25" ht="14.25" customHeight="1">
      <c r="A326" s="236">
        <v>1</v>
      </c>
      <c r="B326" s="237" t="s">
        <v>3626</v>
      </c>
      <c r="C326" s="22">
        <v>327</v>
      </c>
      <c r="D326" s="22">
        <v>7</v>
      </c>
      <c r="E326" s="241">
        <v>43553</v>
      </c>
      <c r="F326" s="121" t="str">
        <f>HYPERLINK("http://www.tribunnews.com/seleb/2019/03/29/kata-nicky-tirta-vanessa-angel-rajin-ibadah ","sumber")</f>
        <v>sumber</v>
      </c>
      <c r="G326" s="223" t="s">
        <v>1</v>
      </c>
      <c r="H326" s="23" t="s">
        <v>3627</v>
      </c>
      <c r="I326" s="22">
        <v>1</v>
      </c>
      <c r="J326" s="22">
        <v>1</v>
      </c>
      <c r="K326" s="123" t="s">
        <v>3628</v>
      </c>
      <c r="L326" s="22">
        <v>0</v>
      </c>
      <c r="M326" s="22">
        <v>-1</v>
      </c>
      <c r="N326" s="22">
        <v>0</v>
      </c>
      <c r="O326" s="22">
        <v>0</v>
      </c>
      <c r="P326" s="22">
        <v>0</v>
      </c>
      <c r="Q326" s="22">
        <v>0</v>
      </c>
      <c r="R326" s="22">
        <v>0</v>
      </c>
      <c r="S326" s="123"/>
      <c r="T326" s="22">
        <v>0</v>
      </c>
      <c r="U326" s="22">
        <v>-1</v>
      </c>
      <c r="V326" s="22">
        <v>0</v>
      </c>
      <c r="W326" s="23"/>
      <c r="X326" s="23"/>
      <c r="Y326" s="23"/>
    </row>
    <row r="327" spans="1:25" ht="14.25" customHeight="1">
      <c r="A327" s="236">
        <v>1</v>
      </c>
      <c r="B327" s="237" t="s">
        <v>3629</v>
      </c>
      <c r="C327" s="22">
        <v>328</v>
      </c>
      <c r="D327" s="22">
        <v>2</v>
      </c>
      <c r="E327" s="241">
        <v>43554</v>
      </c>
      <c r="F327" s="121" t="str">
        <f>HYPERLINK("https://www.cnnindonesia.com/internasional/20190330051602-134-381943/paus-terbitkan-aturan-pencegah-pelecehan-seksual-anak ","sumber")</f>
        <v>sumber</v>
      </c>
      <c r="G327" s="223" t="s">
        <v>1</v>
      </c>
      <c r="H327" s="23" t="s">
        <v>3546</v>
      </c>
      <c r="I327" s="22">
        <v>4</v>
      </c>
      <c r="J327" s="22">
        <v>1</v>
      </c>
      <c r="K327" s="123" t="s">
        <v>3630</v>
      </c>
      <c r="L327" s="22">
        <v>0</v>
      </c>
      <c r="M327" s="22">
        <v>0</v>
      </c>
      <c r="N327" s="22">
        <v>0</v>
      </c>
      <c r="O327" s="22">
        <v>0</v>
      </c>
      <c r="P327" s="22">
        <v>0</v>
      </c>
      <c r="Q327" s="22">
        <v>0</v>
      </c>
      <c r="R327" s="22">
        <v>1</v>
      </c>
      <c r="S327" s="123"/>
      <c r="T327" s="22">
        <v>0</v>
      </c>
      <c r="U327" s="22">
        <v>0</v>
      </c>
      <c r="V327" s="22">
        <v>1</v>
      </c>
      <c r="W327" s="23"/>
      <c r="X327" s="23"/>
      <c r="Y327" s="23"/>
    </row>
    <row r="328" spans="1:25" ht="14.25" customHeight="1">
      <c r="A328" s="236">
        <v>1</v>
      </c>
      <c r="B328" s="237" t="s">
        <v>3631</v>
      </c>
      <c r="C328" s="22">
        <v>329</v>
      </c>
      <c r="D328" s="22">
        <v>2</v>
      </c>
      <c r="E328" s="241">
        <v>43560</v>
      </c>
      <c r="F328" s="121" t="str">
        <f>HYPERLINK("https://www.cnnindonesia.com/teknologi/20190404162247-185-383430/australia-ancam-denda-hingga-penjara-bos-perusahaan-medsos ","sumber")</f>
        <v>sumber</v>
      </c>
      <c r="G328" s="223" t="s">
        <v>1</v>
      </c>
      <c r="H328" s="23" t="s">
        <v>3632</v>
      </c>
      <c r="I328" s="22">
        <v>4</v>
      </c>
      <c r="J328" s="253">
        <v>43834</v>
      </c>
      <c r="K328" s="123" t="s">
        <v>3633</v>
      </c>
      <c r="L328" s="22">
        <v>0</v>
      </c>
      <c r="M328" s="22">
        <v>0</v>
      </c>
      <c r="N328" s="22">
        <v>0</v>
      </c>
      <c r="O328" s="22">
        <v>0</v>
      </c>
      <c r="P328" s="22">
        <v>0</v>
      </c>
      <c r="Q328" s="146" t="s">
        <v>57</v>
      </c>
      <c r="R328" s="146" t="s">
        <v>1271</v>
      </c>
      <c r="S328" s="123"/>
      <c r="T328" s="22">
        <v>0</v>
      </c>
      <c r="U328" s="22">
        <v>0</v>
      </c>
      <c r="V328" s="22">
        <v>1</v>
      </c>
      <c r="W328" s="23"/>
      <c r="X328" s="23"/>
      <c r="Y328" s="23"/>
    </row>
    <row r="329" spans="1:25" ht="14.25" customHeight="1">
      <c r="A329" s="236">
        <v>1</v>
      </c>
      <c r="B329" s="237" t="s">
        <v>2527</v>
      </c>
      <c r="C329" s="22">
        <v>330</v>
      </c>
      <c r="D329" s="22">
        <v>8</v>
      </c>
      <c r="E329" s="241">
        <v>43562</v>
      </c>
      <c r="F329" s="121" t="str">
        <f>HYPERLINK("https://www.suara.com/bola/2019/04/07/141520/persija-tetap-prioritaskan-marko-simic-tapi ","sumber")</f>
        <v>sumber</v>
      </c>
      <c r="G329" s="223" t="s">
        <v>1</v>
      </c>
      <c r="H329" s="23" t="s">
        <v>3634</v>
      </c>
      <c r="I329" s="22">
        <v>1</v>
      </c>
      <c r="J329" s="22">
        <v>1</v>
      </c>
      <c r="K329" s="123" t="s">
        <v>3635</v>
      </c>
      <c r="L329" s="22">
        <v>0</v>
      </c>
      <c r="M329" s="22">
        <v>-1</v>
      </c>
      <c r="N329" s="22">
        <v>0</v>
      </c>
      <c r="O329" s="22">
        <v>0</v>
      </c>
      <c r="P329" s="22">
        <v>0</v>
      </c>
      <c r="Q329" s="22">
        <v>0</v>
      </c>
      <c r="R329" s="22">
        <v>-1</v>
      </c>
      <c r="S329" s="123"/>
      <c r="T329" s="22">
        <v>0</v>
      </c>
      <c r="U329" s="22">
        <v>-1</v>
      </c>
      <c r="V329" s="22">
        <v>0</v>
      </c>
      <c r="W329" s="23"/>
      <c r="X329" s="23"/>
      <c r="Y329" s="23"/>
    </row>
    <row r="330" spans="1:25" ht="14.25" customHeight="1">
      <c r="A330" s="236">
        <v>1</v>
      </c>
      <c r="B330" s="237" t="s">
        <v>3636</v>
      </c>
      <c r="C330" s="22">
        <v>331</v>
      </c>
      <c r="D330" s="22">
        <v>6</v>
      </c>
      <c r="E330" s="241">
        <v>43565</v>
      </c>
      <c r="F330" s="121" t="str">
        <f>HYPERLINK("https://regional.kompas.com/read/2019/04/10/14070381/gadis-12-tahun-yang-dicabuli-tetangga-hingga-hamil-belum-ditangani-p2tp2a ","sumber")</f>
        <v>sumber</v>
      </c>
      <c r="G330" s="223" t="s">
        <v>1</v>
      </c>
      <c r="H330" s="23" t="s">
        <v>3002</v>
      </c>
      <c r="I330" s="22">
        <v>1</v>
      </c>
      <c r="J330" s="22">
        <v>1</v>
      </c>
      <c r="K330" s="123" t="s">
        <v>3637</v>
      </c>
      <c r="L330" s="22">
        <v>0</v>
      </c>
      <c r="M330" s="22">
        <v>1</v>
      </c>
      <c r="N330" s="22">
        <v>0</v>
      </c>
      <c r="O330" s="22">
        <v>0</v>
      </c>
      <c r="P330" s="22">
        <v>0</v>
      </c>
      <c r="Q330" s="22" t="s">
        <v>68</v>
      </c>
      <c r="R330" s="22" t="s">
        <v>68</v>
      </c>
      <c r="S330" s="123" t="s">
        <v>3638</v>
      </c>
      <c r="T330" s="22">
        <v>2</v>
      </c>
      <c r="U330" s="22">
        <v>0</v>
      </c>
      <c r="V330" s="22">
        <v>0</v>
      </c>
      <c r="W330" s="23"/>
      <c r="X330" s="23"/>
      <c r="Y330" s="23"/>
    </row>
    <row r="331" spans="1:25" ht="14.25" customHeight="1">
      <c r="A331" s="148">
        <v>1</v>
      </c>
      <c r="B331" s="202" t="s">
        <v>3639</v>
      </c>
      <c r="C331" s="33">
        <v>332</v>
      </c>
      <c r="D331" s="33">
        <v>1</v>
      </c>
      <c r="E331" s="243">
        <v>43559</v>
      </c>
      <c r="F331" s="130" t="str">
        <f>HYPERLINK("https://news.detik.com/berita-jawa-timur/d-4496667/dukun-cabul-di-jember-cabuli-4-siswi-smp-satu-di-antaranya-hamil","sumber")</f>
        <v>sumber</v>
      </c>
      <c r="G331" s="231" t="s">
        <v>1</v>
      </c>
      <c r="H331" s="33">
        <v>301</v>
      </c>
      <c r="I331" s="33">
        <v>1</v>
      </c>
      <c r="J331" s="33">
        <v>1</v>
      </c>
      <c r="K331" s="131" t="s">
        <v>3640</v>
      </c>
      <c r="L331" s="33">
        <v>0</v>
      </c>
      <c r="M331" s="33">
        <v>-1</v>
      </c>
      <c r="N331" s="33">
        <v>0</v>
      </c>
      <c r="O331" s="33">
        <v>0</v>
      </c>
      <c r="P331" s="33">
        <v>0</v>
      </c>
      <c r="Q331" s="33">
        <v>0</v>
      </c>
      <c r="R331" s="33">
        <v>0</v>
      </c>
      <c r="S331" s="131" t="s">
        <v>3641</v>
      </c>
      <c r="T331" s="33">
        <v>6</v>
      </c>
      <c r="U331" s="33">
        <v>0</v>
      </c>
      <c r="V331" s="33">
        <v>0</v>
      </c>
      <c r="W331" s="24"/>
      <c r="X331" s="24"/>
      <c r="Y331" s="33"/>
    </row>
    <row r="332" spans="1:25" ht="14.25" customHeight="1">
      <c r="A332" s="236">
        <v>1</v>
      </c>
      <c r="B332" s="237" t="s">
        <v>3642</v>
      </c>
      <c r="C332" s="22">
        <v>333</v>
      </c>
      <c r="D332" s="22">
        <v>7</v>
      </c>
      <c r="E332" s="241">
        <v>43567</v>
      </c>
      <c r="F332" s="121" t="str">
        <f>HYPERLINK("http://www.tribunnews.com/seleb/2019/04/12/unggah-video-vanessa-angel-bernyanyi-dan-tampil-religius-di-lapas-bibi-semoga-tuhan-makin-sayang ","sumber")</f>
        <v>sumber</v>
      </c>
      <c r="G332" s="223" t="s">
        <v>1</v>
      </c>
      <c r="H332" s="23" t="s">
        <v>3643</v>
      </c>
      <c r="I332" s="22">
        <v>2</v>
      </c>
      <c r="J332" s="22">
        <v>1</v>
      </c>
      <c r="K332" s="123" t="s">
        <v>3644</v>
      </c>
      <c r="L332" s="22">
        <v>0</v>
      </c>
      <c r="M332" s="22">
        <v>0</v>
      </c>
      <c r="N332" s="22">
        <v>-1</v>
      </c>
      <c r="O332" s="22">
        <v>0</v>
      </c>
      <c r="P332" s="22">
        <v>0</v>
      </c>
      <c r="Q332" s="22" t="s">
        <v>21</v>
      </c>
      <c r="R332" s="22" t="s">
        <v>21</v>
      </c>
      <c r="S332" s="123"/>
      <c r="T332" s="22">
        <v>0</v>
      </c>
      <c r="U332" s="22">
        <v>-1</v>
      </c>
      <c r="V332" s="22">
        <v>0</v>
      </c>
      <c r="W332" s="23"/>
      <c r="X332" s="23"/>
      <c r="Y332" s="23"/>
    </row>
    <row r="333" spans="1:25" ht="14.25" customHeight="1">
      <c r="A333" s="236">
        <v>1</v>
      </c>
      <c r="B333" s="237" t="s">
        <v>3645</v>
      </c>
      <c r="C333" s="22">
        <v>334</v>
      </c>
      <c r="D333" s="22">
        <v>10</v>
      </c>
      <c r="E333" s="241">
        <v>43576</v>
      </c>
      <c r="F333" s="121" t="str">
        <f>HYPERLINK("https://dunia.tempo.co/read/1197664/ketua-mahkamah-agung-india-dituduh-lakukan-pelecehan-seksual ","sumber")</f>
        <v>sumber</v>
      </c>
      <c r="G333" s="223" t="s">
        <v>1</v>
      </c>
      <c r="H333" s="23" t="s">
        <v>3646</v>
      </c>
      <c r="I333" s="22">
        <v>1</v>
      </c>
      <c r="J333" s="22">
        <v>1</v>
      </c>
      <c r="K333" s="123" t="s">
        <v>3647</v>
      </c>
      <c r="L333" s="22">
        <v>0</v>
      </c>
      <c r="M333" s="147">
        <v>0</v>
      </c>
      <c r="N333" s="22">
        <v>0</v>
      </c>
      <c r="O333" s="22">
        <v>0</v>
      </c>
      <c r="P333" s="22">
        <v>0</v>
      </c>
      <c r="Q333" s="22" t="s">
        <v>29</v>
      </c>
      <c r="R333" s="22" t="s">
        <v>53</v>
      </c>
      <c r="S333" s="123"/>
      <c r="T333" s="22">
        <v>0</v>
      </c>
      <c r="U333" s="22">
        <v>-1</v>
      </c>
      <c r="V333" s="22">
        <v>0</v>
      </c>
      <c r="W333" s="23"/>
      <c r="X333" s="23"/>
      <c r="Y333" s="23"/>
    </row>
    <row r="334" spans="1:25" ht="14.25" customHeight="1">
      <c r="A334" s="236">
        <v>1</v>
      </c>
      <c r="B334" s="237" t="s">
        <v>1642</v>
      </c>
      <c r="C334" s="22">
        <v>335</v>
      </c>
      <c r="D334" s="22">
        <v>5</v>
      </c>
      <c r="E334" s="241">
        <v>43579</v>
      </c>
      <c r="F334" s="121" t="str">
        <f>HYPERLINK("https://tirto.id/perempuan-penyedia-transportasi-daring-waspadai-pelecehan-seksual-dm2P ","sumber")</f>
        <v>sumber</v>
      </c>
      <c r="G334" s="223" t="s">
        <v>1</v>
      </c>
      <c r="H334" s="23" t="s">
        <v>3400</v>
      </c>
      <c r="I334" s="22">
        <v>2</v>
      </c>
      <c r="J334" s="22">
        <v>1</v>
      </c>
      <c r="K334" s="123" t="s">
        <v>3648</v>
      </c>
      <c r="L334" s="22">
        <v>0</v>
      </c>
      <c r="M334" s="22">
        <v>0</v>
      </c>
      <c r="N334" s="22">
        <v>0</v>
      </c>
      <c r="O334" s="22">
        <v>0</v>
      </c>
      <c r="P334" s="22">
        <v>0</v>
      </c>
      <c r="Q334" s="22">
        <v>1</v>
      </c>
      <c r="R334" s="22">
        <v>1</v>
      </c>
      <c r="S334" s="123"/>
      <c r="T334" s="22">
        <v>0</v>
      </c>
      <c r="U334" s="22">
        <v>0</v>
      </c>
      <c r="V334" s="22">
        <v>1</v>
      </c>
      <c r="W334" s="23"/>
      <c r="X334" s="23"/>
      <c r="Y334" s="23"/>
    </row>
    <row r="335" spans="1:25" ht="14.25" customHeight="1">
      <c r="A335" s="236">
        <v>1</v>
      </c>
      <c r="B335" s="237" t="s">
        <v>3649</v>
      </c>
      <c r="C335" s="22">
        <v>336</v>
      </c>
      <c r="D335" s="22">
        <v>10</v>
      </c>
      <c r="E335" s="241">
        <v>43580</v>
      </c>
      <c r="F335" s="121" t="str">
        <f>HYPERLINK("https://bisnis.tempo.co/read/1199330/pelecehan-di-kereta-viral-kai-kedua-pihak-sepakat-damai ","sumber")</f>
        <v>sumber</v>
      </c>
      <c r="G335" s="223" t="s">
        <v>1</v>
      </c>
      <c r="H335" s="23" t="s">
        <v>3549</v>
      </c>
      <c r="I335" s="22">
        <v>1</v>
      </c>
      <c r="J335" s="22">
        <v>1</v>
      </c>
      <c r="K335" s="123" t="s">
        <v>3650</v>
      </c>
      <c r="L335" s="22">
        <v>0</v>
      </c>
      <c r="M335" s="22">
        <v>1</v>
      </c>
      <c r="N335" s="22">
        <v>-1</v>
      </c>
      <c r="O335" s="22">
        <v>0</v>
      </c>
      <c r="P335" s="22">
        <v>0</v>
      </c>
      <c r="Q335" s="22" t="s">
        <v>87</v>
      </c>
      <c r="R335" s="22" t="s">
        <v>29</v>
      </c>
      <c r="S335" s="123"/>
      <c r="T335" s="22">
        <v>0</v>
      </c>
      <c r="U335" s="22">
        <v>0</v>
      </c>
      <c r="V335" s="22">
        <v>0</v>
      </c>
      <c r="W335" s="23"/>
      <c r="X335" s="23"/>
      <c r="Y335" s="23"/>
    </row>
    <row r="336" spans="1:25" ht="14.25" customHeight="1">
      <c r="A336" s="211">
        <v>1</v>
      </c>
      <c r="B336" s="263" t="s">
        <v>3651</v>
      </c>
      <c r="C336" s="264">
        <v>332</v>
      </c>
      <c r="D336" s="264">
        <v>1</v>
      </c>
      <c r="E336" s="265">
        <v>43568</v>
      </c>
      <c r="F336" s="266" t="str">
        <f>HYPERLINK("https://regional.kompas.com/read/2019/04/13/15212691/5-fakta-prostitusi-online-2-siswi-smp-di-ambon-anggota-tni-terlibat-hingga","sumber")</f>
        <v>sumber</v>
      </c>
      <c r="G336" s="264" t="s">
        <v>1</v>
      </c>
      <c r="H336" s="267">
        <v>231</v>
      </c>
      <c r="I336" s="264">
        <v>1</v>
      </c>
      <c r="J336" s="264">
        <v>1</v>
      </c>
      <c r="K336" s="268" t="s">
        <v>3652</v>
      </c>
      <c r="L336" s="269">
        <v>0</v>
      </c>
      <c r="M336" s="269">
        <v>-1</v>
      </c>
      <c r="N336" s="269">
        <v>0</v>
      </c>
      <c r="O336" s="269">
        <v>0</v>
      </c>
      <c r="P336" s="269">
        <v>0</v>
      </c>
      <c r="Q336" s="255" t="s">
        <v>29</v>
      </c>
      <c r="R336" s="269" t="s">
        <v>29</v>
      </c>
      <c r="S336" s="269" t="s">
        <v>3653</v>
      </c>
      <c r="T336" s="269">
        <v>4</v>
      </c>
      <c r="U336" s="269">
        <v>0</v>
      </c>
      <c r="V336" s="269">
        <v>0</v>
      </c>
      <c r="W336" s="270"/>
      <c r="X336" s="270"/>
      <c r="Y336" s="264"/>
    </row>
    <row r="337" spans="1:25" ht="14.25" customHeight="1">
      <c r="A337" s="236">
        <v>1</v>
      </c>
      <c r="B337" s="237" t="s">
        <v>3654</v>
      </c>
      <c r="C337" s="22">
        <v>338</v>
      </c>
      <c r="D337" s="22">
        <v>7</v>
      </c>
      <c r="E337" s="241">
        <v>43582</v>
      </c>
      <c r="F337" s="121" t="str">
        <f>HYPERLINK("http://www.tribunnews.com/regional/2019/04/27/siswi-sd-berusia-7-tahun-jadi-korban-pencabulan-tiga-siswa-smp ","sumber")</f>
        <v>sumber</v>
      </c>
      <c r="G337" s="223" t="s">
        <v>1</v>
      </c>
      <c r="H337" s="23" t="s">
        <v>3655</v>
      </c>
      <c r="I337" s="22">
        <v>1</v>
      </c>
      <c r="J337" s="22">
        <v>1</v>
      </c>
      <c r="K337" s="123" t="s">
        <v>3656</v>
      </c>
      <c r="L337" s="22">
        <v>0</v>
      </c>
      <c r="M337" s="22">
        <v>1</v>
      </c>
      <c r="N337" s="22">
        <v>0</v>
      </c>
      <c r="O337" s="22">
        <v>0</v>
      </c>
      <c r="P337" s="22">
        <v>0</v>
      </c>
      <c r="Q337" s="22" t="s">
        <v>29</v>
      </c>
      <c r="R337" s="22" t="s">
        <v>29</v>
      </c>
      <c r="S337" s="123" t="s">
        <v>3657</v>
      </c>
      <c r="T337" s="22">
        <v>2</v>
      </c>
      <c r="U337" s="22">
        <v>0</v>
      </c>
      <c r="V337" s="22">
        <v>0</v>
      </c>
      <c r="W337" s="23"/>
      <c r="X337" s="23"/>
      <c r="Y337" s="23"/>
    </row>
    <row r="338" spans="1:25" ht="14.25" customHeight="1">
      <c r="A338" s="148">
        <v>1</v>
      </c>
      <c r="B338" s="202" t="s">
        <v>3658</v>
      </c>
      <c r="C338" s="33">
        <v>339</v>
      </c>
      <c r="D338" s="33">
        <v>7</v>
      </c>
      <c r="E338" s="243">
        <v>43593</v>
      </c>
      <c r="F338" s="130" t="str">
        <f>HYPERLINK("http://www.tribunnews.com/internasional/2019/05/08/payudara-anaknya-disetrika-setelah-sang-putri-melahirkan-di-usia-14-tahun","sumber")</f>
        <v>sumber</v>
      </c>
      <c r="G338" s="231" t="s">
        <v>1</v>
      </c>
      <c r="H338" s="33">
        <v>64</v>
      </c>
      <c r="I338" s="33">
        <v>1</v>
      </c>
      <c r="J338" s="33">
        <v>1</v>
      </c>
      <c r="K338" s="131" t="s">
        <v>3659</v>
      </c>
      <c r="L338" s="33">
        <v>0</v>
      </c>
      <c r="M338" s="33">
        <v>1</v>
      </c>
      <c r="N338" s="33">
        <v>0</v>
      </c>
      <c r="O338" s="33">
        <v>0</v>
      </c>
      <c r="P338" s="33">
        <v>0</v>
      </c>
      <c r="Q338" s="33" t="s">
        <v>87</v>
      </c>
      <c r="R338" s="33" t="s">
        <v>160</v>
      </c>
      <c r="S338" s="131"/>
      <c r="T338" s="33">
        <v>0</v>
      </c>
      <c r="U338" s="33">
        <v>0</v>
      </c>
      <c r="V338" s="33">
        <v>1</v>
      </c>
      <c r="W338" s="24"/>
      <c r="X338" s="24"/>
      <c r="Y338" s="33"/>
    </row>
    <row r="339" spans="1:25" ht="14.25" customHeight="1">
      <c r="A339" s="236">
        <v>1</v>
      </c>
      <c r="B339" s="237" t="s">
        <v>3660</v>
      </c>
      <c r="C339" s="22">
        <v>340</v>
      </c>
      <c r="D339" s="22">
        <v>10</v>
      </c>
      <c r="E339" s="241">
        <v>43587</v>
      </c>
      <c r="F339" s="121" t="str">
        <f>HYPERLINK("https://seleb.tempo.co/read/1201207/netizen-sesalkan-hotman-paris-ungkit-kasus-cut-tari-ariel-noah ","sumber")</f>
        <v>sumber</v>
      </c>
      <c r="G339" s="223" t="s">
        <v>1</v>
      </c>
      <c r="H339" s="23" t="s">
        <v>3661</v>
      </c>
      <c r="I339" s="22">
        <v>1</v>
      </c>
      <c r="J339" s="22">
        <v>1</v>
      </c>
      <c r="K339" s="123" t="s">
        <v>3662</v>
      </c>
      <c r="L339" s="22">
        <v>0</v>
      </c>
      <c r="M339" s="22">
        <v>1</v>
      </c>
      <c r="N339" s="22">
        <v>-1</v>
      </c>
      <c r="O339" s="22">
        <v>0</v>
      </c>
      <c r="P339" s="22">
        <v>0</v>
      </c>
      <c r="Q339" s="22" t="s">
        <v>29</v>
      </c>
      <c r="R339" s="22" t="s">
        <v>141</v>
      </c>
      <c r="S339" s="123"/>
      <c r="T339" s="22">
        <v>0</v>
      </c>
      <c r="U339" s="22">
        <v>-1</v>
      </c>
      <c r="V339" s="22">
        <v>0</v>
      </c>
      <c r="W339" s="23"/>
      <c r="X339" s="23"/>
      <c r="Y339" s="23"/>
    </row>
    <row r="340" spans="1:25" ht="14.25" customHeight="1">
      <c r="A340" s="236">
        <v>1</v>
      </c>
      <c r="B340" s="237" t="s">
        <v>3663</v>
      </c>
      <c r="C340" s="22">
        <v>341</v>
      </c>
      <c r="D340" s="22">
        <v>1</v>
      </c>
      <c r="E340" s="241">
        <v>43591</v>
      </c>
      <c r="F340" s="121" t="str">
        <f>HYPERLINK("https://news.detik.com/berita-jawa-timur/d-4538383/sedih-karena-puasa-di-penjara-vanessa-angel-menangis-usai-sidang ","sumber")</f>
        <v>sumber</v>
      </c>
      <c r="G340" s="223" t="s">
        <v>1</v>
      </c>
      <c r="H340" s="23" t="s">
        <v>3526</v>
      </c>
      <c r="I340" s="22">
        <v>2</v>
      </c>
      <c r="J340" s="22">
        <v>1</v>
      </c>
      <c r="K340" s="123" t="s">
        <v>3664</v>
      </c>
      <c r="L340" s="22">
        <v>0</v>
      </c>
      <c r="M340" s="22">
        <v>0</v>
      </c>
      <c r="N340" s="22">
        <v>0</v>
      </c>
      <c r="O340" s="22">
        <v>0</v>
      </c>
      <c r="P340" s="22">
        <v>0</v>
      </c>
      <c r="Q340" s="22" t="s">
        <v>178</v>
      </c>
      <c r="R340" s="22" t="s">
        <v>29</v>
      </c>
      <c r="S340" s="123"/>
      <c r="T340" s="22">
        <v>0</v>
      </c>
      <c r="U340" s="22">
        <v>0</v>
      </c>
      <c r="V340" s="22">
        <v>0</v>
      </c>
      <c r="W340" s="23"/>
      <c r="X340" s="23"/>
      <c r="Y340" s="23"/>
    </row>
    <row r="341" spans="1:25" ht="14.25" customHeight="1">
      <c r="A341" s="236">
        <v>1</v>
      </c>
      <c r="B341" s="237" t="s">
        <v>3665</v>
      </c>
      <c r="C341" s="22">
        <v>342</v>
      </c>
      <c r="D341" s="22">
        <v>5</v>
      </c>
      <c r="E341" s="241">
        <v>43591</v>
      </c>
      <c r="F341" s="121" t="str">
        <f>HYPERLINK("https://tirto.id/pada-1-ramadan-massa-kanpmi-buka-puasa-di-depan-kemenristekdikti-driJ ","sumber")</f>
        <v>sumber</v>
      </c>
      <c r="G341" s="223" t="s">
        <v>1</v>
      </c>
      <c r="H341" s="23" t="s">
        <v>3666</v>
      </c>
      <c r="I341" s="22">
        <v>1</v>
      </c>
      <c r="J341" s="22">
        <v>1</v>
      </c>
      <c r="K341" s="123" t="s">
        <v>3667</v>
      </c>
      <c r="L341" s="22">
        <v>0</v>
      </c>
      <c r="M341" s="22">
        <v>-1</v>
      </c>
      <c r="N341" s="22">
        <v>0</v>
      </c>
      <c r="O341" s="22">
        <v>0</v>
      </c>
      <c r="P341" s="22">
        <v>0</v>
      </c>
      <c r="Q341" s="22">
        <v>1</v>
      </c>
      <c r="R341" s="22">
        <v>1</v>
      </c>
      <c r="S341" s="123"/>
      <c r="T341" s="22">
        <v>0</v>
      </c>
      <c r="U341" s="22">
        <v>0</v>
      </c>
      <c r="V341" s="22">
        <v>0</v>
      </c>
      <c r="W341" s="23"/>
      <c r="X341" s="23"/>
      <c r="Y341" s="23"/>
    </row>
    <row r="342" spans="1:25" ht="14.25" customHeight="1">
      <c r="A342" s="236">
        <v>1</v>
      </c>
      <c r="B342" s="237" t="s">
        <v>3668</v>
      </c>
      <c r="C342" s="22">
        <v>343</v>
      </c>
      <c r="D342" s="22">
        <v>3</v>
      </c>
      <c r="E342" s="241">
        <v>43594</v>
      </c>
      <c r="F342" s="121" t="str">
        <f>HYPERLINK("https://news.okezone.com/read/2019/05/09/519/2053745/vanessa-angel-harap-masalahnya-cepat-selesai ","sumber")</f>
        <v>sumber</v>
      </c>
      <c r="G342" s="223" t="s">
        <v>1</v>
      </c>
      <c r="H342" s="23" t="s">
        <v>3526</v>
      </c>
      <c r="I342" s="22">
        <v>1</v>
      </c>
      <c r="J342" s="22">
        <v>1</v>
      </c>
      <c r="K342" s="123" t="s">
        <v>3664</v>
      </c>
      <c r="L342" s="22">
        <v>0</v>
      </c>
      <c r="M342" s="22">
        <v>1</v>
      </c>
      <c r="N342" s="22">
        <v>0</v>
      </c>
      <c r="O342" s="22">
        <v>0</v>
      </c>
      <c r="P342" s="22">
        <v>0</v>
      </c>
      <c r="Q342" s="22" t="s">
        <v>178</v>
      </c>
      <c r="R342" s="22" t="s">
        <v>182</v>
      </c>
      <c r="S342" s="123"/>
      <c r="T342" s="22">
        <v>0</v>
      </c>
      <c r="U342" s="22">
        <v>0</v>
      </c>
      <c r="V342" s="22">
        <v>0</v>
      </c>
      <c r="W342" s="23"/>
      <c r="X342" s="23"/>
      <c r="Y342" s="23"/>
    </row>
    <row r="343" spans="1:25" ht="14.25" customHeight="1">
      <c r="A343" s="236">
        <v>1</v>
      </c>
      <c r="B343" s="237" t="s">
        <v>3669</v>
      </c>
      <c r="C343" s="22">
        <v>344</v>
      </c>
      <c r="D343" s="22">
        <v>9</v>
      </c>
      <c r="E343" s="241">
        <v>43594</v>
      </c>
      <c r="F343" s="121" t="str">
        <f>HYPERLINK("https://internasional.republika.co.id/berita/internasional/abc-australia-network/pr8aq6382/kontroversi-hukuman-mati-bagi-homoseksual-di-brunei ","sumber")</f>
        <v>sumber</v>
      </c>
      <c r="G343" s="223" t="s">
        <v>1</v>
      </c>
      <c r="H343" s="23" t="s">
        <v>3500</v>
      </c>
      <c r="I343" s="22">
        <v>4</v>
      </c>
      <c r="J343" s="22">
        <v>3</v>
      </c>
      <c r="K343" s="123" t="s">
        <v>3670</v>
      </c>
      <c r="L343" s="22">
        <v>0</v>
      </c>
      <c r="M343" s="22">
        <v>0</v>
      </c>
      <c r="N343" s="22">
        <v>0</v>
      </c>
      <c r="O343" s="22">
        <v>0</v>
      </c>
      <c r="P343" s="22">
        <v>0</v>
      </c>
      <c r="Q343" s="123" t="s">
        <v>3671</v>
      </c>
      <c r="R343" s="22" t="s">
        <v>3672</v>
      </c>
      <c r="S343" s="123" t="s">
        <v>3673</v>
      </c>
      <c r="T343" s="22">
        <v>1</v>
      </c>
      <c r="U343" s="22">
        <v>0</v>
      </c>
      <c r="V343" s="22">
        <v>1</v>
      </c>
      <c r="W343" s="23"/>
      <c r="X343" s="23"/>
      <c r="Y343" s="23"/>
    </row>
    <row r="344" spans="1:25" ht="14.25" customHeight="1">
      <c r="A344" s="171">
        <v>2</v>
      </c>
      <c r="B344" s="239" t="s">
        <v>3674</v>
      </c>
      <c r="C344" s="25">
        <v>345</v>
      </c>
      <c r="D344" s="25">
        <v>5</v>
      </c>
      <c r="E344" s="242">
        <v>43594</v>
      </c>
      <c r="F344" s="115" t="str">
        <f>HYPERLINK("https://tirto.id/tepatkah-bachtiar-nasir-ditetapkan-tersangka-pencucian-uang-dvax ","sumber")</f>
        <v>sumber</v>
      </c>
      <c r="G344" s="228" t="s">
        <v>1</v>
      </c>
      <c r="H344" s="26" t="s">
        <v>3675</v>
      </c>
      <c r="I344" s="25">
        <v>1</v>
      </c>
      <c r="J344" s="25">
        <v>1</v>
      </c>
      <c r="K344" s="116"/>
      <c r="L344" s="26"/>
      <c r="M344" s="26"/>
      <c r="N344" s="26"/>
      <c r="O344" s="26"/>
      <c r="P344" s="26"/>
      <c r="Q344" s="26"/>
      <c r="R344" s="26"/>
      <c r="S344" s="124"/>
      <c r="T344" s="26"/>
      <c r="U344" s="26"/>
      <c r="V344" s="26"/>
      <c r="W344" s="26"/>
      <c r="X344" s="26"/>
      <c r="Y344" s="25"/>
    </row>
    <row r="345" spans="1:25" ht="14.25" customHeight="1">
      <c r="A345" s="236">
        <v>1</v>
      </c>
      <c r="B345" s="237" t="s">
        <v>3676</v>
      </c>
      <c r="C345" s="22">
        <v>346</v>
      </c>
      <c r="D345" s="22">
        <v>1</v>
      </c>
      <c r="E345" s="241">
        <v>43596</v>
      </c>
      <c r="F345" s="121" t="str">
        <f>HYPERLINK("https://sport.detik.com/sepakbola/liga-indonesia/d-4545017/simic-datang-silvio-escobar-bakal-dipinjamkan-ke-klub-lain ","sumber")</f>
        <v>sumber</v>
      </c>
      <c r="G345" s="223" t="s">
        <v>1</v>
      </c>
      <c r="H345" s="23" t="s">
        <v>3071</v>
      </c>
      <c r="I345" s="22">
        <v>2</v>
      </c>
      <c r="J345" s="22">
        <v>1</v>
      </c>
      <c r="K345" s="123" t="s">
        <v>3677</v>
      </c>
      <c r="L345" s="22">
        <v>0</v>
      </c>
      <c r="M345" s="22">
        <v>0</v>
      </c>
      <c r="N345" s="22">
        <v>0</v>
      </c>
      <c r="O345" s="22">
        <v>0</v>
      </c>
      <c r="P345" s="22">
        <v>0</v>
      </c>
      <c r="Q345" s="22" t="s">
        <v>29</v>
      </c>
      <c r="R345" s="22" t="s">
        <v>29</v>
      </c>
      <c r="S345" s="123"/>
      <c r="T345" s="22">
        <v>0</v>
      </c>
      <c r="U345" s="22">
        <v>-1</v>
      </c>
      <c r="V345" s="22">
        <v>0</v>
      </c>
      <c r="W345" s="23"/>
      <c r="X345" s="23"/>
      <c r="Y345" s="23"/>
    </row>
    <row r="346" spans="1:25" ht="14.25" customHeight="1">
      <c r="A346" s="236">
        <v>1</v>
      </c>
      <c r="B346" s="237" t="s">
        <v>3678</v>
      </c>
      <c r="C346" s="22">
        <v>347</v>
      </c>
      <c r="D346" s="22">
        <v>8</v>
      </c>
      <c r="E346" s="241">
        <v>43596</v>
      </c>
      <c r="F346" s="121" t="str">
        <f>HYPERLINK("https://www.suara.com/bola/2019/05/11/154108/kasus-di-australia-jadi-peringatan-terakhir-untuk-marko-simic ","sumber")</f>
        <v>sumber</v>
      </c>
      <c r="G346" s="223" t="s">
        <v>1</v>
      </c>
      <c r="H346" s="23" t="s">
        <v>3679</v>
      </c>
      <c r="I346" s="22">
        <v>2</v>
      </c>
      <c r="J346" s="22">
        <v>1</v>
      </c>
      <c r="K346" s="123" t="s">
        <v>3635</v>
      </c>
      <c r="L346" s="22">
        <v>0</v>
      </c>
      <c r="M346" s="22">
        <v>0</v>
      </c>
      <c r="N346" s="22">
        <v>0</v>
      </c>
      <c r="O346" s="22">
        <v>0</v>
      </c>
      <c r="P346" s="22">
        <v>0</v>
      </c>
      <c r="Q346" s="22">
        <v>0</v>
      </c>
      <c r="R346" s="22">
        <v>0</v>
      </c>
      <c r="S346" s="123"/>
      <c r="T346" s="22">
        <v>0</v>
      </c>
      <c r="U346" s="22">
        <v>0</v>
      </c>
      <c r="V346" s="22">
        <v>0</v>
      </c>
      <c r="W346" s="23"/>
      <c r="X346" s="23"/>
      <c r="Y346" s="23"/>
    </row>
    <row r="347" spans="1:25" ht="14.25" customHeight="1">
      <c r="A347" s="236">
        <v>1</v>
      </c>
      <c r="B347" s="237" t="s">
        <v>3680</v>
      </c>
      <c r="C347" s="22">
        <v>348</v>
      </c>
      <c r="D347" s="22">
        <v>10</v>
      </c>
      <c r="E347" s="241">
        <v>43599</v>
      </c>
      <c r="F347" s="121" t="str">
        <f>HYPERLINK("https://nasional.tempo.co/read/1205132/keanehan-kasus-vanessa-angel-misteri-rian-subroto ","sumber")</f>
        <v>sumber</v>
      </c>
      <c r="G347" s="223" t="s">
        <v>1</v>
      </c>
      <c r="H347" s="23" t="s">
        <v>3681</v>
      </c>
      <c r="I347" s="22">
        <v>1</v>
      </c>
      <c r="J347" s="22">
        <v>1</v>
      </c>
      <c r="K347" s="123" t="s">
        <v>3682</v>
      </c>
      <c r="L347" s="22">
        <v>0</v>
      </c>
      <c r="M347" s="22">
        <v>1</v>
      </c>
      <c r="N347" s="22">
        <v>0</v>
      </c>
      <c r="O347" s="22">
        <v>0</v>
      </c>
      <c r="P347" s="22">
        <v>0</v>
      </c>
      <c r="Q347" s="123" t="s">
        <v>170</v>
      </c>
      <c r="R347" s="123" t="s">
        <v>3683</v>
      </c>
      <c r="S347" s="123"/>
      <c r="T347" s="22">
        <v>0</v>
      </c>
      <c r="U347" s="22">
        <v>0</v>
      </c>
      <c r="V347" s="22">
        <v>0</v>
      </c>
      <c r="W347" s="23"/>
      <c r="X347" s="23"/>
      <c r="Y347" s="23"/>
    </row>
    <row r="348" spans="1:25" ht="14.25" customHeight="1">
      <c r="A348" s="236">
        <v>1</v>
      </c>
      <c r="B348" s="237" t="s">
        <v>3684</v>
      </c>
      <c r="C348" s="22">
        <v>349</v>
      </c>
      <c r="D348" s="22">
        <v>6</v>
      </c>
      <c r="E348" s="241">
        <v>43604</v>
      </c>
      <c r="F348" s="121" t="str">
        <f>HYPERLINK("https://internasional.kompas.com/read/2019/05/19/11430271/remaja-14-di-india-tahun-diperkosa-3-pria-setelah-dijual-keluarganya-rp ","sumber")</f>
        <v>sumber</v>
      </c>
      <c r="G348" s="223" t="s">
        <v>1</v>
      </c>
      <c r="H348" s="23" t="s">
        <v>3685</v>
      </c>
      <c r="I348" s="22">
        <v>1</v>
      </c>
      <c r="J348" s="22">
        <v>1</v>
      </c>
      <c r="K348" s="123" t="s">
        <v>3686</v>
      </c>
      <c r="L348" s="22">
        <v>0</v>
      </c>
      <c r="M348" s="22">
        <v>-1</v>
      </c>
      <c r="N348" s="22">
        <v>0</v>
      </c>
      <c r="O348" s="22">
        <v>0</v>
      </c>
      <c r="P348" s="22">
        <v>0</v>
      </c>
      <c r="Q348" s="22">
        <v>0</v>
      </c>
      <c r="R348" s="22">
        <v>0</v>
      </c>
      <c r="S348" s="123"/>
      <c r="T348" s="22">
        <v>0</v>
      </c>
      <c r="U348" s="22">
        <v>0</v>
      </c>
      <c r="V348" s="22">
        <v>0</v>
      </c>
      <c r="W348" s="23"/>
      <c r="X348" s="23"/>
      <c r="Y348" s="23"/>
    </row>
    <row r="349" spans="1:25" ht="14.25" customHeight="1">
      <c r="A349" s="236">
        <v>1</v>
      </c>
      <c r="B349" s="237" t="s">
        <v>3687</v>
      </c>
      <c r="C349" s="22">
        <v>350</v>
      </c>
      <c r="D349" s="22">
        <v>2</v>
      </c>
      <c r="E349" s="241">
        <v>43623</v>
      </c>
      <c r="F349" s="121" t="str">
        <f>HYPERLINK("https://www.cnnindonesia.com/olahraga/20190606131423-142-401350/neymar-absen-brasil-diklaim-bisa-juara-copa-america-2019 ","sumber")</f>
        <v>sumber</v>
      </c>
      <c r="G349" s="223" t="s">
        <v>1</v>
      </c>
      <c r="H349" s="23" t="s">
        <v>3688</v>
      </c>
      <c r="I349" s="22">
        <v>2</v>
      </c>
      <c r="J349" s="22">
        <v>1</v>
      </c>
      <c r="K349" s="123" t="s">
        <v>3689</v>
      </c>
      <c r="L349" s="22">
        <v>0</v>
      </c>
      <c r="M349" s="22">
        <v>0</v>
      </c>
      <c r="N349" s="22">
        <v>0</v>
      </c>
      <c r="O349" s="22">
        <v>0</v>
      </c>
      <c r="P349" s="22">
        <v>0</v>
      </c>
      <c r="Q349" s="22">
        <v>0</v>
      </c>
      <c r="R349" s="22">
        <v>0</v>
      </c>
      <c r="S349" s="123"/>
      <c r="T349" s="22">
        <v>0</v>
      </c>
      <c r="U349" s="22">
        <v>-1</v>
      </c>
      <c r="V349" s="22">
        <v>0</v>
      </c>
      <c r="W349" s="23"/>
      <c r="X349" s="23"/>
      <c r="Y349" s="23"/>
    </row>
    <row r="350" spans="1:25" ht="14.25" customHeight="1">
      <c r="A350" s="148">
        <v>1</v>
      </c>
      <c r="B350" s="202" t="s">
        <v>3690</v>
      </c>
      <c r="C350" s="33">
        <v>351</v>
      </c>
      <c r="D350" s="33">
        <v>9</v>
      </c>
      <c r="E350" s="243">
        <v>43630</v>
      </c>
      <c r="F350" s="130" t="str">
        <f>HYPERLINK("https://bola.republika.co.id/berita/sepakbola/freekick/pt2h3b438/kasus-pelecehan-seksual-neymar-penuhi-panggilan-kepolisian","sumber")</f>
        <v>sumber</v>
      </c>
      <c r="G350" s="231" t="s">
        <v>1</v>
      </c>
      <c r="H350" s="33">
        <v>266</v>
      </c>
      <c r="I350" s="33">
        <v>1</v>
      </c>
      <c r="J350" s="33">
        <v>1</v>
      </c>
      <c r="K350" s="131" t="s">
        <v>3691</v>
      </c>
      <c r="L350" s="33">
        <v>0</v>
      </c>
      <c r="M350" s="33">
        <v>-1</v>
      </c>
      <c r="N350" s="33">
        <v>0</v>
      </c>
      <c r="O350" s="33">
        <v>0</v>
      </c>
      <c r="P350" s="33">
        <v>0</v>
      </c>
      <c r="Q350" s="33" t="s">
        <v>29</v>
      </c>
      <c r="R350" s="33" t="s">
        <v>29</v>
      </c>
      <c r="S350" s="131"/>
      <c r="T350" s="33">
        <v>0</v>
      </c>
      <c r="U350" s="33">
        <v>0</v>
      </c>
      <c r="V350" s="33">
        <v>0</v>
      </c>
      <c r="W350" s="24"/>
      <c r="X350" s="24"/>
      <c r="Y350" s="33"/>
    </row>
    <row r="351" spans="1:25" ht="14.25" customHeight="1">
      <c r="A351" s="236">
        <v>1</v>
      </c>
      <c r="B351" s="237" t="s">
        <v>3692</v>
      </c>
      <c r="C351" s="22">
        <v>352</v>
      </c>
      <c r="D351" s="22">
        <v>5</v>
      </c>
      <c r="E351" s="241">
        <v>43629</v>
      </c>
      <c r="F351" s="121" t="str">
        <f>HYPERLINK("https://tirto.id/macet-semrawut-korupsi-solusi-pemkot-depok-jadi-kota-religius-ecj4 ","sumber")</f>
        <v>sumber</v>
      </c>
      <c r="G351" s="223" t="s">
        <v>1</v>
      </c>
      <c r="H351" s="23" t="s">
        <v>3693</v>
      </c>
      <c r="I351" s="22">
        <v>4</v>
      </c>
      <c r="J351" s="22">
        <v>3</v>
      </c>
      <c r="K351" s="123" t="s">
        <v>3694</v>
      </c>
      <c r="L351" s="22">
        <v>0</v>
      </c>
      <c r="M351" s="22">
        <v>0</v>
      </c>
      <c r="N351" s="22">
        <v>0</v>
      </c>
      <c r="O351" s="22">
        <v>0</v>
      </c>
      <c r="P351" s="22">
        <v>0</v>
      </c>
      <c r="Q351" s="123" t="s">
        <v>3695</v>
      </c>
      <c r="R351" s="123" t="s">
        <v>3696</v>
      </c>
      <c r="S351" s="123"/>
      <c r="T351" s="22">
        <v>0</v>
      </c>
      <c r="U351" s="22">
        <v>0</v>
      </c>
      <c r="V351" s="22">
        <v>1</v>
      </c>
      <c r="W351" s="23"/>
      <c r="X351" s="23"/>
      <c r="Y351" s="23"/>
    </row>
    <row r="352" spans="1:25" ht="14.25" customHeight="1">
      <c r="A352" s="236">
        <v>1</v>
      </c>
      <c r="B352" s="237" t="s">
        <v>3697</v>
      </c>
      <c r="C352" s="22">
        <v>353</v>
      </c>
      <c r="D352" s="22">
        <v>5</v>
      </c>
      <c r="E352" s="241">
        <v>43630</v>
      </c>
      <c r="F352" s="121" t="str">
        <f>HYPERLINK("https://tirto.id/penyintas-desak-pemerintah-jepang-revisi-hukum-kekerasan-seksual-ecpl ","sumber")</f>
        <v>sumber</v>
      </c>
      <c r="G352" s="223" t="s">
        <v>1</v>
      </c>
      <c r="H352" s="23" t="s">
        <v>3319</v>
      </c>
      <c r="I352" s="22">
        <v>4</v>
      </c>
      <c r="J352" s="22">
        <v>1</v>
      </c>
      <c r="K352" s="123" t="s">
        <v>3698</v>
      </c>
      <c r="L352" s="22">
        <v>0</v>
      </c>
      <c r="M352" s="22">
        <v>0</v>
      </c>
      <c r="N352" s="22">
        <v>0</v>
      </c>
      <c r="O352" s="22">
        <v>0</v>
      </c>
      <c r="P352" s="22">
        <v>0</v>
      </c>
      <c r="Q352" s="22" t="s">
        <v>3699</v>
      </c>
      <c r="R352" s="123" t="s">
        <v>3700</v>
      </c>
      <c r="S352" s="123"/>
      <c r="T352" s="22">
        <v>0</v>
      </c>
      <c r="U352" s="22">
        <v>0</v>
      </c>
      <c r="V352" s="22">
        <v>1</v>
      </c>
      <c r="W352" s="23"/>
      <c r="X352" s="23"/>
      <c r="Y352" s="23"/>
    </row>
    <row r="353" spans="1:25" ht="14.25" customHeight="1">
      <c r="A353" s="236">
        <v>1</v>
      </c>
      <c r="B353" s="237" t="s">
        <v>3701</v>
      </c>
      <c r="C353" s="22">
        <v>354</v>
      </c>
      <c r="D353" s="22">
        <v>4</v>
      </c>
      <c r="E353" s="241">
        <v>43634</v>
      </c>
      <c r="F353" s="121" t="str">
        <f>HYPERLINK("https://www.liputan6.com/bola/read/3992603/barcelona-ngotot-belum-akui-transfer-antoine-griezmann ","sumber")</f>
        <v>sumber</v>
      </c>
      <c r="G353" s="223" t="s">
        <v>1</v>
      </c>
      <c r="H353" s="23" t="s">
        <v>3191</v>
      </c>
      <c r="I353" s="22">
        <v>2</v>
      </c>
      <c r="J353" s="22">
        <v>1</v>
      </c>
      <c r="K353" s="123" t="s">
        <v>3702</v>
      </c>
      <c r="L353" s="22">
        <v>0</v>
      </c>
      <c r="M353" s="22">
        <v>0</v>
      </c>
      <c r="N353" s="22">
        <v>0</v>
      </c>
      <c r="O353" s="22">
        <v>0</v>
      </c>
      <c r="P353" s="22">
        <v>0</v>
      </c>
      <c r="Q353" s="22">
        <v>0</v>
      </c>
      <c r="R353" s="22">
        <v>0</v>
      </c>
      <c r="S353" s="123"/>
      <c r="T353" s="22">
        <v>0</v>
      </c>
      <c r="U353" s="22">
        <v>0</v>
      </c>
      <c r="V353" s="22">
        <v>0</v>
      </c>
      <c r="W353" s="23"/>
      <c r="X353" s="23"/>
      <c r="Y353" s="23"/>
    </row>
    <row r="354" spans="1:25" ht="14.25" customHeight="1">
      <c r="A354" s="236">
        <v>1</v>
      </c>
      <c r="B354" s="237" t="s">
        <v>3703</v>
      </c>
      <c r="C354" s="22">
        <v>355</v>
      </c>
      <c r="D354" s="22">
        <v>3</v>
      </c>
      <c r="E354" s="241">
        <v>43635</v>
      </c>
      <c r="F354" s="121" t="str">
        <f>HYPERLINK("https://news.okezone.com/read/2019/06/18/512/2068043/lokalisasi-hendak-ditutup-muncikari-kalau-ingin-esek-esek-apa-mampu-ke-hotel-terus ","sumber")</f>
        <v>sumber</v>
      </c>
      <c r="G354" s="223" t="s">
        <v>1</v>
      </c>
      <c r="H354" s="23" t="s">
        <v>3632</v>
      </c>
      <c r="I354" s="22">
        <v>4</v>
      </c>
      <c r="J354" s="22">
        <v>1</v>
      </c>
      <c r="K354" s="123" t="s">
        <v>3704</v>
      </c>
      <c r="L354" s="22">
        <v>0</v>
      </c>
      <c r="M354" s="22">
        <v>0</v>
      </c>
      <c r="N354" s="22">
        <v>0</v>
      </c>
      <c r="O354" s="22">
        <v>0</v>
      </c>
      <c r="P354" s="22">
        <v>-1</v>
      </c>
      <c r="Q354" s="22" t="s">
        <v>178</v>
      </c>
      <c r="R354" s="22" t="s">
        <v>68</v>
      </c>
      <c r="S354" s="123" t="s">
        <v>3705</v>
      </c>
      <c r="T354" s="22">
        <v>6</v>
      </c>
      <c r="U354" s="22">
        <v>-1</v>
      </c>
      <c r="V354" s="22">
        <v>0</v>
      </c>
      <c r="W354" s="23"/>
      <c r="X354" s="23"/>
      <c r="Y354" s="23"/>
    </row>
    <row r="355" spans="1:25" ht="14.25" customHeight="1">
      <c r="A355" s="236">
        <v>1</v>
      </c>
      <c r="B355" s="237" t="s">
        <v>3706</v>
      </c>
      <c r="C355" s="22">
        <v>356</v>
      </c>
      <c r="D355" s="22">
        <v>4</v>
      </c>
      <c r="E355" s="241">
        <v>43636</v>
      </c>
      <c r="F355" s="121" t="str">
        <f>HYPERLINK("https://www.liputan6.com/global/read/3994354/dijanjikan-rp-127-miliar-via-online-seorang-remaja-as-tega-membunuh-teman-dekat ","sumber")</f>
        <v>sumber</v>
      </c>
      <c r="G355" s="223" t="s">
        <v>1</v>
      </c>
      <c r="H355" s="23" t="s">
        <v>3707</v>
      </c>
      <c r="I355" s="22">
        <v>1</v>
      </c>
      <c r="J355" s="22">
        <v>1</v>
      </c>
      <c r="K355" s="123" t="s">
        <v>3708</v>
      </c>
      <c r="L355" s="22">
        <v>0</v>
      </c>
      <c r="M355" s="22">
        <v>1</v>
      </c>
      <c r="N355" s="22">
        <v>0</v>
      </c>
      <c r="O355" s="22">
        <v>0</v>
      </c>
      <c r="P355" s="22">
        <v>0</v>
      </c>
      <c r="Q355" s="123" t="s">
        <v>57</v>
      </c>
      <c r="R355" s="123" t="s">
        <v>57</v>
      </c>
      <c r="S355" s="123"/>
      <c r="T355" s="22">
        <v>0</v>
      </c>
      <c r="U355" s="22">
        <v>0</v>
      </c>
      <c r="V355" s="22">
        <v>0</v>
      </c>
      <c r="W355" s="23"/>
      <c r="X355" s="23"/>
      <c r="Y355" s="23"/>
    </row>
    <row r="356" spans="1:25" ht="14.25" customHeight="1">
      <c r="A356" s="236">
        <v>1</v>
      </c>
      <c r="B356" s="237" t="s">
        <v>1680</v>
      </c>
      <c r="C356" s="22">
        <v>357</v>
      </c>
      <c r="D356" s="22">
        <v>4</v>
      </c>
      <c r="E356" s="241">
        <v>43638</v>
      </c>
      <c r="F356" s="121" t="str">
        <f>HYPERLINK("https://www.liputan6.com/global/read/3995398/pakistan-akan-bentuk-seribu-sidang-pengadilan-tentang-kekerasan-pada-perempuan ","sumber")</f>
        <v>sumber</v>
      </c>
      <c r="G356" s="223" t="s">
        <v>1</v>
      </c>
      <c r="H356" s="23" t="s">
        <v>3709</v>
      </c>
      <c r="I356" s="22">
        <v>4</v>
      </c>
      <c r="J356" s="22">
        <v>1</v>
      </c>
      <c r="K356" s="123" t="s">
        <v>3710</v>
      </c>
      <c r="L356" s="22">
        <v>0</v>
      </c>
      <c r="M356" s="22">
        <v>0</v>
      </c>
      <c r="N356" s="22">
        <v>0</v>
      </c>
      <c r="O356" s="22">
        <v>0</v>
      </c>
      <c r="P356" s="22">
        <v>0</v>
      </c>
      <c r="Q356" s="146" t="s">
        <v>3711</v>
      </c>
      <c r="R356" s="146" t="s">
        <v>3712</v>
      </c>
      <c r="S356" s="123"/>
      <c r="T356" s="22">
        <v>0</v>
      </c>
      <c r="U356" s="22">
        <v>0</v>
      </c>
      <c r="V356" s="22">
        <v>1</v>
      </c>
      <c r="W356" s="23"/>
      <c r="X356" s="23"/>
      <c r="Y356" s="23"/>
    </row>
    <row r="357" spans="1:25" ht="14.25" customHeight="1">
      <c r="A357" s="236">
        <v>1</v>
      </c>
      <c r="B357" s="237" t="s">
        <v>3713</v>
      </c>
      <c r="C357" s="22">
        <v>358</v>
      </c>
      <c r="D357" s="22">
        <v>3</v>
      </c>
      <c r="E357" s="241">
        <v>43639</v>
      </c>
      <c r="F357" s="121" t="str">
        <f>HYPERLINK("https://celebrity.okezone.com/read/2019/06/22/33/2069673/kdrt-dan-restu-alasan-aurelie-moeremans-memilih-jadi-janda-muda ","sumber")</f>
        <v>sumber</v>
      </c>
      <c r="G357" s="223" t="s">
        <v>1</v>
      </c>
      <c r="H357" s="23" t="s">
        <v>3331</v>
      </c>
      <c r="I357" s="22">
        <v>2</v>
      </c>
      <c r="J357" s="22">
        <v>1</v>
      </c>
      <c r="K357" s="123" t="s">
        <v>3714</v>
      </c>
      <c r="L357" s="22">
        <v>0</v>
      </c>
      <c r="M357" s="22">
        <v>0</v>
      </c>
      <c r="N357" s="22">
        <v>0</v>
      </c>
      <c r="O357" s="22">
        <v>0</v>
      </c>
      <c r="P357" s="22">
        <v>0</v>
      </c>
      <c r="Q357" s="22" t="s">
        <v>178</v>
      </c>
      <c r="R357" s="22" t="s">
        <v>29</v>
      </c>
      <c r="S357" s="123"/>
      <c r="T357" s="22">
        <v>0</v>
      </c>
      <c r="U357" s="22">
        <v>-1</v>
      </c>
      <c r="V357" s="22">
        <v>0</v>
      </c>
      <c r="W357" s="23"/>
      <c r="X357" s="23"/>
      <c r="Y357" s="23"/>
    </row>
    <row r="358" spans="1:25" ht="14.25" customHeight="1">
      <c r="A358" s="236">
        <v>1</v>
      </c>
      <c r="B358" s="237" t="s">
        <v>3715</v>
      </c>
      <c r="C358" s="22">
        <v>359</v>
      </c>
      <c r="D358" s="22">
        <v>5</v>
      </c>
      <c r="E358" s="241">
        <v>43639</v>
      </c>
      <c r="F358" s="121" t="str">
        <f>HYPERLINK("https://tirto.id/sejarah-isteri-sedar-pelopor-gerakan-feminisme-di-indonesia-ecNd ","sumber")</f>
        <v>sumber</v>
      </c>
      <c r="G358" s="223" t="s">
        <v>1</v>
      </c>
      <c r="H358" s="23" t="s">
        <v>3716</v>
      </c>
      <c r="I358" s="22">
        <v>2</v>
      </c>
      <c r="J358" s="22">
        <v>1</v>
      </c>
      <c r="K358" s="123" t="s">
        <v>3717</v>
      </c>
      <c r="L358" s="22">
        <v>0</v>
      </c>
      <c r="M358" s="22">
        <v>0</v>
      </c>
      <c r="N358" s="22">
        <v>0</v>
      </c>
      <c r="O358" s="22">
        <v>0</v>
      </c>
      <c r="P358" s="22">
        <v>0</v>
      </c>
      <c r="Q358" s="123" t="s">
        <v>3718</v>
      </c>
      <c r="R358" s="123" t="s">
        <v>3719</v>
      </c>
      <c r="S358" s="123"/>
      <c r="T358" s="22">
        <v>0</v>
      </c>
      <c r="U358" s="22">
        <v>0</v>
      </c>
      <c r="V358" s="22">
        <v>1</v>
      </c>
      <c r="W358" s="23"/>
      <c r="X358" s="23"/>
      <c r="Y358" s="23"/>
    </row>
    <row r="359" spans="1:25" ht="14.25" customHeight="1">
      <c r="A359" s="236">
        <v>1</v>
      </c>
      <c r="B359" s="237" t="s">
        <v>3720</v>
      </c>
      <c r="C359" s="22">
        <v>360</v>
      </c>
      <c r="D359" s="22">
        <v>7</v>
      </c>
      <c r="E359" s="241">
        <v>43644</v>
      </c>
      <c r="F359" s="121" t="str">
        <f>HYPERLINK("http://www.tribunnews.com/metropolitan/2019/06/28/polisi-ringkus-muncikari-pijat-plus-plus-gay ","sumber")</f>
        <v>sumber</v>
      </c>
      <c r="G359" s="223" t="s">
        <v>1</v>
      </c>
      <c r="H359" s="23" t="s">
        <v>3028</v>
      </c>
      <c r="I359" s="22">
        <v>1</v>
      </c>
      <c r="J359" s="22">
        <v>3</v>
      </c>
      <c r="K359" s="123" t="s">
        <v>3721</v>
      </c>
      <c r="L359" s="22">
        <v>0</v>
      </c>
      <c r="M359" s="22">
        <v>-1</v>
      </c>
      <c r="N359" s="22">
        <v>0</v>
      </c>
      <c r="O359" s="22">
        <v>0</v>
      </c>
      <c r="P359" s="22">
        <v>0</v>
      </c>
      <c r="Q359" s="22">
        <v>0</v>
      </c>
      <c r="R359" s="22">
        <v>0</v>
      </c>
      <c r="S359" s="123" t="s">
        <v>716</v>
      </c>
      <c r="T359" s="22">
        <v>1</v>
      </c>
      <c r="U359" s="22">
        <v>0</v>
      </c>
      <c r="V359" s="22">
        <v>0</v>
      </c>
      <c r="W359" s="23"/>
      <c r="X359" s="23"/>
      <c r="Y359" s="23"/>
    </row>
    <row r="360" spans="1:25" ht="14.25" customHeight="1">
      <c r="A360" s="236">
        <v>1</v>
      </c>
      <c r="B360" s="237" t="s">
        <v>3722</v>
      </c>
      <c r="C360" s="22">
        <v>361</v>
      </c>
      <c r="D360" s="22">
        <v>6</v>
      </c>
      <c r="E360" s="241">
        <v>43645</v>
      </c>
      <c r="F360" s="121" t="str">
        <f>HYPERLINK("https://entertainment.kompas.com/read/2019/06/29/124928510/terima-putusan-hakim-tapi-vanessa-angel-kurang-puas-dengan-hasilnya ","sumber")</f>
        <v>sumber</v>
      </c>
      <c r="G360" s="223" t="s">
        <v>1</v>
      </c>
      <c r="H360" s="23" t="s">
        <v>3723</v>
      </c>
      <c r="I360" s="22">
        <v>1</v>
      </c>
      <c r="J360" s="22">
        <v>1</v>
      </c>
      <c r="K360" s="123" t="s">
        <v>3531</v>
      </c>
      <c r="L360" s="22">
        <v>0</v>
      </c>
      <c r="M360" s="22">
        <v>-1</v>
      </c>
      <c r="N360" s="22">
        <v>0</v>
      </c>
      <c r="O360" s="22">
        <v>0</v>
      </c>
      <c r="P360" s="22">
        <v>0</v>
      </c>
      <c r="Q360" s="22">
        <v>0</v>
      </c>
      <c r="R360" s="22">
        <v>0</v>
      </c>
      <c r="S360" s="123"/>
      <c r="T360" s="22">
        <v>0</v>
      </c>
      <c r="U360" s="22">
        <v>0</v>
      </c>
      <c r="V360" s="22">
        <v>0</v>
      </c>
      <c r="W360" s="23"/>
      <c r="X360" s="23"/>
      <c r="Y360" s="23"/>
    </row>
    <row r="361" spans="1:25" ht="14.25" customHeight="1">
      <c r="A361" s="236">
        <v>1</v>
      </c>
      <c r="B361" s="237" t="s">
        <v>3724</v>
      </c>
      <c r="C361" s="22">
        <v>362</v>
      </c>
      <c r="D361" s="22">
        <v>7</v>
      </c>
      <c r="E361" s="241">
        <v>43645</v>
      </c>
      <c r="F361" s="121" t="str">
        <f>HYPERLINK("http://www.tribunnews.com/seleb/2019/06/29/curhatan-saipul-jamil-yang-nangis-tiap-lihat-tv-dalam-penjara-saya-pernah-di-situ-sekarang-di-sini ","sumber")</f>
        <v>sumber</v>
      </c>
      <c r="G361" s="223" t="s">
        <v>1</v>
      </c>
      <c r="H361" s="23" t="s">
        <v>3725</v>
      </c>
      <c r="I361" s="22">
        <v>1</v>
      </c>
      <c r="J361" s="22">
        <v>1</v>
      </c>
      <c r="K361" s="123" t="s">
        <v>3726</v>
      </c>
      <c r="L361" s="22">
        <v>0</v>
      </c>
      <c r="M361" s="22">
        <v>-1</v>
      </c>
      <c r="N361" s="22">
        <v>0</v>
      </c>
      <c r="O361" s="22">
        <v>0</v>
      </c>
      <c r="P361" s="22">
        <v>-1</v>
      </c>
      <c r="Q361" s="22" t="s">
        <v>21</v>
      </c>
      <c r="R361" s="22" t="s">
        <v>21</v>
      </c>
      <c r="S361" s="123"/>
      <c r="T361" s="22">
        <v>0</v>
      </c>
      <c r="U361" s="22">
        <v>-1</v>
      </c>
      <c r="V361" s="22">
        <v>0</v>
      </c>
      <c r="W361" s="23"/>
      <c r="X361" s="23"/>
      <c r="Y361" s="23"/>
    </row>
    <row r="362" spans="1:25" ht="14.25" customHeight="1">
      <c r="A362" s="236">
        <v>1</v>
      </c>
      <c r="B362" s="237" t="s">
        <v>3727</v>
      </c>
      <c r="C362" s="22">
        <v>363</v>
      </c>
      <c r="D362" s="22">
        <v>7</v>
      </c>
      <c r="E362" s="241">
        <v>43651</v>
      </c>
      <c r="F362" s="121" t="str">
        <f>HYPERLINK("http://www.tribunnews.com/nasional/2019/07/05/jokowi-tunggu-surat-permohonan-amnesti-baiq-nuril ","sumber")</f>
        <v>sumber</v>
      </c>
      <c r="G362" s="223" t="s">
        <v>1</v>
      </c>
      <c r="H362" s="23" t="s">
        <v>3400</v>
      </c>
      <c r="I362" s="22">
        <v>1</v>
      </c>
      <c r="J362" s="22">
        <v>1</v>
      </c>
      <c r="K362" s="123" t="s">
        <v>3728</v>
      </c>
      <c r="L362" s="22">
        <v>0</v>
      </c>
      <c r="M362" s="22">
        <v>1</v>
      </c>
      <c r="N362" s="22">
        <v>0</v>
      </c>
      <c r="O362" s="22">
        <v>0</v>
      </c>
      <c r="P362" s="22">
        <v>0</v>
      </c>
      <c r="Q362" s="146" t="s">
        <v>21</v>
      </c>
      <c r="R362" s="146" t="s">
        <v>2195</v>
      </c>
      <c r="S362" s="123" t="s">
        <v>3729</v>
      </c>
      <c r="T362" s="22">
        <v>2</v>
      </c>
      <c r="U362" s="22">
        <v>0</v>
      </c>
      <c r="V362" s="22">
        <v>0</v>
      </c>
      <c r="W362" s="23"/>
      <c r="X362" s="23"/>
      <c r="Y362" s="23"/>
    </row>
    <row r="363" spans="1:25" ht="14.25" customHeight="1">
      <c r="A363" s="236">
        <v>1</v>
      </c>
      <c r="B363" s="237" t="s">
        <v>3730</v>
      </c>
      <c r="C363" s="22">
        <v>364</v>
      </c>
      <c r="D363" s="22">
        <v>10</v>
      </c>
      <c r="E363" s="241">
        <v>43652</v>
      </c>
      <c r="F363" s="121" t="str">
        <f>HYPERLINK("https://nasional.tempo.co/read/1221791/kurang-rp125-juta-penggalangan-dana-denda-baiq-nuril-dibuka-lagi ","sumber")</f>
        <v>sumber</v>
      </c>
      <c r="G363" s="223" t="s">
        <v>1</v>
      </c>
      <c r="H363" s="23" t="s">
        <v>3731</v>
      </c>
      <c r="I363" s="22">
        <v>1</v>
      </c>
      <c r="J363" s="22">
        <v>1</v>
      </c>
      <c r="K363" s="123" t="s">
        <v>3732</v>
      </c>
      <c r="L363" s="22">
        <v>0</v>
      </c>
      <c r="M363" s="22">
        <v>1</v>
      </c>
      <c r="N363" s="22">
        <v>0</v>
      </c>
      <c r="O363" s="22">
        <v>0</v>
      </c>
      <c r="P363" s="22">
        <v>0</v>
      </c>
      <c r="Q363" s="22">
        <v>1</v>
      </c>
      <c r="R363" s="22">
        <v>1</v>
      </c>
      <c r="S363" s="123"/>
      <c r="T363" s="22">
        <v>0</v>
      </c>
      <c r="U363" s="22">
        <v>0</v>
      </c>
      <c r="V363" s="22">
        <v>0</v>
      </c>
      <c r="W363" s="23"/>
      <c r="X363" s="23"/>
      <c r="Y363" s="23"/>
    </row>
    <row r="364" spans="1:25" ht="14.25" customHeight="1">
      <c r="A364" s="236">
        <v>1</v>
      </c>
      <c r="B364" s="237" t="s">
        <v>3733</v>
      </c>
      <c r="C364" s="22">
        <v>365</v>
      </c>
      <c r="D364" s="22">
        <v>5</v>
      </c>
      <c r="E364" s="241">
        <v>43652</v>
      </c>
      <c r="F364" s="121" t="str">
        <f>HYPERLINK("https://tirto.id/hukuman-penjara-baiq-nuril-disebut-pukulan-telak-bagi-pemerintah-ri-edHY ","sumber")</f>
        <v>sumber</v>
      </c>
      <c r="G364" s="223" t="s">
        <v>1</v>
      </c>
      <c r="H364" s="23" t="s">
        <v>3734</v>
      </c>
      <c r="I364" s="22">
        <v>1</v>
      </c>
      <c r="J364" s="22">
        <v>1</v>
      </c>
      <c r="K364" s="123" t="s">
        <v>3735</v>
      </c>
      <c r="L364" s="22">
        <v>0</v>
      </c>
      <c r="M364" s="22">
        <v>1</v>
      </c>
      <c r="N364" s="22">
        <v>0</v>
      </c>
      <c r="O364" s="22">
        <v>0</v>
      </c>
      <c r="P364" s="22">
        <v>0</v>
      </c>
      <c r="Q364" s="22">
        <v>1</v>
      </c>
      <c r="R364" s="22">
        <v>1</v>
      </c>
      <c r="S364" s="123"/>
      <c r="T364" s="22">
        <v>0</v>
      </c>
      <c r="U364" s="22">
        <v>0</v>
      </c>
      <c r="V364" s="22">
        <v>1</v>
      </c>
      <c r="W364" s="23"/>
      <c r="X364" s="23"/>
      <c r="Y364" s="23"/>
    </row>
    <row r="365" spans="1:25" ht="14.25" customHeight="1">
      <c r="A365" s="236">
        <v>1</v>
      </c>
      <c r="B365" s="237" t="s">
        <v>3736</v>
      </c>
      <c r="C365" s="22">
        <v>366</v>
      </c>
      <c r="D365" s="22">
        <v>7</v>
      </c>
      <c r="E365" s="241">
        <v>43654</v>
      </c>
      <c r="F365" s="121" t="str">
        <f>HYPERLINK("https://www.tribunnews.com/nasional/2019/07/08/berita-terkini-kasus-baiq-nuril-menkumham-sebut-jokowi-beri-perhatian-serius-segera-beri-amnesti ","sumber")</f>
        <v>sumber</v>
      </c>
      <c r="G365" s="223" t="s">
        <v>1</v>
      </c>
      <c r="H365" s="23" t="s">
        <v>3737</v>
      </c>
      <c r="I365" s="22">
        <v>1</v>
      </c>
      <c r="J365" s="22">
        <v>1</v>
      </c>
      <c r="K365" s="123" t="s">
        <v>3738</v>
      </c>
      <c r="L365" s="22">
        <v>0</v>
      </c>
      <c r="M365" s="22">
        <v>1</v>
      </c>
      <c r="N365" s="22">
        <v>0</v>
      </c>
      <c r="O365" s="22">
        <v>0</v>
      </c>
      <c r="P365" s="22">
        <v>0</v>
      </c>
      <c r="Q365" s="146" t="s">
        <v>21</v>
      </c>
      <c r="R365" s="146" t="s">
        <v>1648</v>
      </c>
      <c r="S365" s="123"/>
      <c r="T365" s="22">
        <v>0</v>
      </c>
      <c r="U365" s="22">
        <v>0</v>
      </c>
      <c r="V365" s="22">
        <v>0</v>
      </c>
      <c r="W365" s="23"/>
      <c r="X365" s="23"/>
      <c r="Y365" s="23"/>
    </row>
    <row r="366" spans="1:25" ht="14.25" customHeight="1">
      <c r="A366" s="236">
        <v>1</v>
      </c>
      <c r="B366" s="237" t="s">
        <v>3739</v>
      </c>
      <c r="C366" s="22">
        <v>367</v>
      </c>
      <c r="D366" s="22">
        <v>1</v>
      </c>
      <c r="E366" s="241">
        <v>43658</v>
      </c>
      <c r="F366" s="121" t="str">
        <f>HYPERLINK("https://news.detik.com/berita-jawa-tengah/d-4621521/keterlaluan-remaja-di-tegal-ini-tega-sodomi-seorang-balita ","sumber")</f>
        <v>sumber</v>
      </c>
      <c r="G366" s="223" t="s">
        <v>1</v>
      </c>
      <c r="H366" s="23" t="s">
        <v>3740</v>
      </c>
      <c r="I366" s="22">
        <v>1</v>
      </c>
      <c r="J366" s="22">
        <v>3</v>
      </c>
      <c r="K366" s="123" t="s">
        <v>3741</v>
      </c>
      <c r="L366" s="22">
        <v>0</v>
      </c>
      <c r="M366" s="22">
        <v>-1</v>
      </c>
      <c r="N366" s="22">
        <v>0</v>
      </c>
      <c r="O366" s="22">
        <v>0</v>
      </c>
      <c r="P366" s="22">
        <v>-1</v>
      </c>
      <c r="Q366" s="22">
        <v>0</v>
      </c>
      <c r="R366" s="22">
        <v>0</v>
      </c>
      <c r="S366" s="123" t="s">
        <v>3742</v>
      </c>
      <c r="T366" s="22">
        <v>2</v>
      </c>
      <c r="U366" s="22">
        <v>0</v>
      </c>
      <c r="V366" s="22">
        <v>0</v>
      </c>
      <c r="W366" s="23"/>
      <c r="X366" s="23"/>
      <c r="Y366" s="23"/>
    </row>
    <row r="367" spans="1:25" ht="14.25" customHeight="1">
      <c r="A367" s="171">
        <v>2</v>
      </c>
      <c r="B367" s="239" t="s">
        <v>3743</v>
      </c>
      <c r="C367" s="25">
        <v>368</v>
      </c>
      <c r="D367" s="25">
        <v>6</v>
      </c>
      <c r="E367" s="242">
        <v>43660</v>
      </c>
      <c r="F367" s="115" t="str">
        <f>HYPERLINK("https://entertainment.kompas.com/read/2019/07/14/165300310/soal-kdrt-kuasa-hukum-minta-nikita-mirzani-dan-dipo-latief ","sumber")</f>
        <v>sumber</v>
      </c>
      <c r="G367" s="228" t="s">
        <v>1</v>
      </c>
      <c r="H367" s="26" t="s">
        <v>2956</v>
      </c>
      <c r="I367" s="25">
        <v>1</v>
      </c>
      <c r="J367" s="25">
        <v>5</v>
      </c>
      <c r="K367" s="124"/>
      <c r="L367" s="26"/>
      <c r="M367" s="26"/>
      <c r="N367" s="26"/>
      <c r="O367" s="26"/>
      <c r="P367" s="26"/>
      <c r="Q367" s="26"/>
      <c r="R367" s="26"/>
      <c r="S367" s="116"/>
      <c r="T367" s="26"/>
      <c r="U367" s="26"/>
      <c r="V367" s="26"/>
      <c r="W367" s="26"/>
      <c r="X367" s="26"/>
      <c r="Y367" s="25"/>
    </row>
    <row r="368" spans="1:25" ht="14.25" customHeight="1">
      <c r="A368" s="148">
        <v>1</v>
      </c>
      <c r="B368" s="55" t="s">
        <v>3744</v>
      </c>
      <c r="C368" s="33">
        <v>369</v>
      </c>
      <c r="D368" s="33">
        <v>6</v>
      </c>
      <c r="E368" s="249">
        <v>43662</v>
      </c>
      <c r="F368" s="130" t="str">
        <f>HYPERLINK("https://regional.kompas.com/read/2019/07/16/16251131/santri-korban-pencabulan-pimpinan-pesantren-di-aceh-didampingi-psikolog","sumber")</f>
        <v>sumber</v>
      </c>
      <c r="G368" s="231" t="s">
        <v>1</v>
      </c>
      <c r="H368" s="33">
        <v>187</v>
      </c>
      <c r="I368" s="33">
        <v>1</v>
      </c>
      <c r="J368" s="33">
        <v>1</v>
      </c>
      <c r="K368" s="131" t="s">
        <v>3745</v>
      </c>
      <c r="L368" s="33">
        <v>0</v>
      </c>
      <c r="M368" s="33">
        <v>1</v>
      </c>
      <c r="N368" s="33">
        <v>0</v>
      </c>
      <c r="O368" s="33">
        <v>0</v>
      </c>
      <c r="P368" s="33">
        <v>0</v>
      </c>
      <c r="Q368" s="33">
        <v>0</v>
      </c>
      <c r="R368" s="33">
        <v>1</v>
      </c>
      <c r="S368" s="131" t="s">
        <v>3638</v>
      </c>
      <c r="T368" s="33">
        <v>2</v>
      </c>
      <c r="U368" s="33">
        <v>0</v>
      </c>
      <c r="V368" s="33">
        <v>0</v>
      </c>
      <c r="W368" s="24"/>
      <c r="X368" s="24"/>
      <c r="Y368" s="33"/>
    </row>
    <row r="369" spans="1:25" ht="14.25" customHeight="1">
      <c r="A369" s="148">
        <v>1</v>
      </c>
      <c r="B369" s="202" t="s">
        <v>3746</v>
      </c>
      <c r="C369" s="33">
        <v>370</v>
      </c>
      <c r="D369" s="33">
        <v>3</v>
      </c>
      <c r="E369" s="243">
        <v>43677</v>
      </c>
      <c r="F369" s="130" t="str">
        <f>HYPERLINK("https://celebrity.okezone.com/read/2019/07/30/33/2085453/cupi-cupita-akui-sering-alami-pelecehan-seksual","sumber")</f>
        <v>sumber</v>
      </c>
      <c r="G369" s="231" t="s">
        <v>1</v>
      </c>
      <c r="H369" s="33">
        <v>274</v>
      </c>
      <c r="I369" s="33">
        <v>2</v>
      </c>
      <c r="J369" s="33">
        <v>1</v>
      </c>
      <c r="K369" s="131" t="s">
        <v>3747</v>
      </c>
      <c r="L369" s="33">
        <v>0</v>
      </c>
      <c r="M369" s="33">
        <v>0</v>
      </c>
      <c r="N369" s="33">
        <v>0</v>
      </c>
      <c r="O369" s="33">
        <v>0</v>
      </c>
      <c r="P369" s="33">
        <v>0</v>
      </c>
      <c r="Q369" s="33">
        <v>2</v>
      </c>
      <c r="R369" s="33">
        <v>0</v>
      </c>
      <c r="S369" s="131" t="s">
        <v>3748</v>
      </c>
      <c r="T369" s="33">
        <v>1</v>
      </c>
      <c r="U369" s="33">
        <v>0</v>
      </c>
      <c r="V369" s="33">
        <v>0</v>
      </c>
      <c r="W369" s="24"/>
      <c r="X369" s="24"/>
      <c r="Y369" s="33"/>
    </row>
    <row r="370" spans="1:25" ht="14.25" customHeight="1">
      <c r="A370" s="236">
        <v>1</v>
      </c>
      <c r="B370" s="237" t="s">
        <v>260</v>
      </c>
      <c r="C370" s="22">
        <v>371</v>
      </c>
      <c r="D370" s="22">
        <v>4</v>
      </c>
      <c r="E370" s="241">
        <v>43664</v>
      </c>
      <c r="F370" s="121" t="str">
        <f>HYPERLINK("https://www.liputan6.com/showbiz/read/4015795/saat-ditangkap-polisi-kang-ji-hwan-sedang-asyik-karaoke ","sumber")</f>
        <v>sumber</v>
      </c>
      <c r="G370" s="223" t="s">
        <v>1</v>
      </c>
      <c r="H370" s="23" t="s">
        <v>2987</v>
      </c>
      <c r="I370" s="22">
        <v>1</v>
      </c>
      <c r="J370" s="22">
        <v>1</v>
      </c>
      <c r="K370" s="123" t="s">
        <v>3597</v>
      </c>
      <c r="L370" s="22">
        <v>0</v>
      </c>
      <c r="M370" s="22">
        <v>-1</v>
      </c>
      <c r="N370" s="22">
        <v>0</v>
      </c>
      <c r="O370" s="22">
        <v>0</v>
      </c>
      <c r="P370" s="22">
        <v>0</v>
      </c>
      <c r="Q370" s="22">
        <v>0</v>
      </c>
      <c r="R370" s="22">
        <v>0</v>
      </c>
      <c r="S370" s="123"/>
      <c r="T370" s="22">
        <v>0</v>
      </c>
      <c r="U370" s="22">
        <v>0</v>
      </c>
      <c r="V370" s="22">
        <v>0</v>
      </c>
      <c r="W370" s="23"/>
      <c r="X370" s="23"/>
      <c r="Y370" s="23"/>
    </row>
    <row r="371" spans="1:25" ht="14.25" customHeight="1">
      <c r="A371" s="148">
        <v>1</v>
      </c>
      <c r="B371" s="202" t="s">
        <v>3749</v>
      </c>
      <c r="C371" s="33">
        <v>372</v>
      </c>
      <c r="D371" s="33">
        <v>9</v>
      </c>
      <c r="E371" s="243">
        <v>43652</v>
      </c>
      <c r="F371" s="130" t="str">
        <f>HYPERLINK("https://nasional.republika.co.id/berita/pu7v2b459/ruu-pks-kembali-didesak-untuk-lekas-disahkan","sumber")</f>
        <v>sumber</v>
      </c>
      <c r="G371" s="231" t="s">
        <v>1</v>
      </c>
      <c r="H371" s="33">
        <v>38</v>
      </c>
      <c r="I371" s="33">
        <v>4</v>
      </c>
      <c r="J371" s="33">
        <v>1</v>
      </c>
      <c r="K371" s="131" t="s">
        <v>3750</v>
      </c>
      <c r="L371" s="33">
        <v>0</v>
      </c>
      <c r="M371" s="33">
        <v>0</v>
      </c>
      <c r="N371" s="33">
        <v>0</v>
      </c>
      <c r="O371" s="33">
        <v>0</v>
      </c>
      <c r="P371" s="33">
        <v>0</v>
      </c>
      <c r="Q371" s="33" t="s">
        <v>68</v>
      </c>
      <c r="R371" s="33" t="s">
        <v>68</v>
      </c>
      <c r="S371" s="131" t="s">
        <v>3751</v>
      </c>
      <c r="T371" s="33">
        <v>1</v>
      </c>
      <c r="U371" s="33">
        <v>0</v>
      </c>
      <c r="V371" s="33">
        <v>0</v>
      </c>
      <c r="W371" s="24"/>
      <c r="X371" s="24"/>
      <c r="Y371" s="33"/>
    </row>
    <row r="372" spans="1:25" ht="14.25" customHeight="1">
      <c r="A372" s="236">
        <v>1</v>
      </c>
      <c r="B372" s="237" t="s">
        <v>3752</v>
      </c>
      <c r="C372" s="22">
        <v>373</v>
      </c>
      <c r="D372" s="22">
        <v>2</v>
      </c>
      <c r="E372" s="241">
        <v>43667</v>
      </c>
      <c r="F372" s="121" t="str">
        <f>HYPERLINK("https://www.cnnindonesia.com/nasional/20190720194005-12-413996/komisi-i-dpr-sebut-revisi-uu-ite-tak-masuk-prolegnas ","sumber")</f>
        <v>sumber</v>
      </c>
      <c r="G372" s="223" t="s">
        <v>1</v>
      </c>
      <c r="H372" s="23" t="s">
        <v>3753</v>
      </c>
      <c r="I372" s="22">
        <v>4</v>
      </c>
      <c r="J372" s="22">
        <v>1</v>
      </c>
      <c r="K372" s="123" t="s">
        <v>3754</v>
      </c>
      <c r="L372" s="22">
        <v>0</v>
      </c>
      <c r="M372" s="22">
        <v>0</v>
      </c>
      <c r="N372" s="22">
        <v>0</v>
      </c>
      <c r="O372" s="22">
        <v>0</v>
      </c>
      <c r="P372" s="22">
        <v>0</v>
      </c>
      <c r="Q372" s="22" t="s">
        <v>29</v>
      </c>
      <c r="R372" s="22" t="s">
        <v>68</v>
      </c>
      <c r="S372" s="123"/>
      <c r="T372" s="22">
        <v>0</v>
      </c>
      <c r="U372" s="22">
        <v>0</v>
      </c>
      <c r="V372" s="22">
        <v>0</v>
      </c>
      <c r="W372" s="23"/>
      <c r="X372" s="23"/>
      <c r="Y372" s="23"/>
    </row>
    <row r="373" spans="1:25" ht="14.25" customHeight="1">
      <c r="A373" s="148">
        <v>1</v>
      </c>
      <c r="B373" s="202" t="s">
        <v>3755</v>
      </c>
      <c r="C373" s="33">
        <v>374</v>
      </c>
      <c r="D373" s="33">
        <v>9</v>
      </c>
      <c r="E373" s="243">
        <v>43653</v>
      </c>
      <c r="F373" s="130" t="str">
        <f>HYPERLINK("https://nasional.republika.co.id/berita/pu8ib6377/baiq-nuril-yang-mendunia","sumber")</f>
        <v>sumber</v>
      </c>
      <c r="G373" s="231" t="s">
        <v>1</v>
      </c>
      <c r="H373" s="33">
        <v>183</v>
      </c>
      <c r="I373" s="33">
        <v>1</v>
      </c>
      <c r="J373" s="33">
        <v>1</v>
      </c>
      <c r="K373" s="131" t="s">
        <v>3750</v>
      </c>
      <c r="L373" s="33">
        <v>0</v>
      </c>
      <c r="M373" s="33">
        <v>1</v>
      </c>
      <c r="N373" s="33">
        <v>0</v>
      </c>
      <c r="O373" s="33">
        <v>0</v>
      </c>
      <c r="P373" s="33">
        <v>0</v>
      </c>
      <c r="Q373" s="33" t="s">
        <v>68</v>
      </c>
      <c r="R373" s="33" t="s">
        <v>68</v>
      </c>
      <c r="S373" s="131"/>
      <c r="T373" s="33">
        <v>0</v>
      </c>
      <c r="U373" s="33">
        <v>0</v>
      </c>
      <c r="V373" s="33">
        <v>0</v>
      </c>
      <c r="W373" s="24"/>
      <c r="X373" s="24"/>
      <c r="Y373" s="33"/>
    </row>
    <row r="374" spans="1:25" ht="14.25" customHeight="1">
      <c r="A374" s="236">
        <v>1</v>
      </c>
      <c r="B374" s="237" t="s">
        <v>3756</v>
      </c>
      <c r="C374" s="22">
        <v>375</v>
      </c>
      <c r="D374" s="22">
        <v>4</v>
      </c>
      <c r="E374" s="241">
        <v>43669</v>
      </c>
      <c r="F374" s="121" t="str">
        <f>HYPERLINK("https://www.liputan6.com/global/read/4019230/protes-massa-terbesar-di-puerto-rico-desak-gubernur-lengser ","sumber")</f>
        <v>sumber</v>
      </c>
      <c r="G374" s="223" t="s">
        <v>1</v>
      </c>
      <c r="H374" s="23" t="s">
        <v>3757</v>
      </c>
      <c r="I374" s="22">
        <v>1</v>
      </c>
      <c r="J374" s="22">
        <v>3</v>
      </c>
      <c r="K374" s="123" t="s">
        <v>3758</v>
      </c>
      <c r="L374" s="22">
        <v>0</v>
      </c>
      <c r="M374" s="22">
        <v>1</v>
      </c>
      <c r="N374" s="22">
        <v>0</v>
      </c>
      <c r="O374" s="22">
        <v>0</v>
      </c>
      <c r="P374" s="22">
        <v>0</v>
      </c>
      <c r="Q374" s="123" t="s">
        <v>170</v>
      </c>
      <c r="R374" s="123" t="s">
        <v>170</v>
      </c>
      <c r="S374" s="123"/>
      <c r="T374" s="22">
        <v>0</v>
      </c>
      <c r="U374" s="22">
        <v>0</v>
      </c>
      <c r="V374" s="22">
        <v>0</v>
      </c>
      <c r="W374" s="23"/>
      <c r="X374" s="23"/>
      <c r="Y374" s="23"/>
    </row>
    <row r="375" spans="1:25" ht="14.25" customHeight="1">
      <c r="A375" s="236">
        <v>1</v>
      </c>
      <c r="B375" s="237" t="s">
        <v>3759</v>
      </c>
      <c r="C375" s="22">
        <v>376</v>
      </c>
      <c r="D375" s="22">
        <v>5</v>
      </c>
      <c r="E375" s="241">
        <v>43671</v>
      </c>
      <c r="F375" s="121" t="str">
        <f>HYPERLINK("https://tirto.id/ruu-pks-cepat-selesai-jika-tak-dicampuri-kepentingan-politik-ee2n ","sumber")</f>
        <v>sumber</v>
      </c>
      <c r="G375" s="223" t="s">
        <v>1</v>
      </c>
      <c r="H375" s="23" t="s">
        <v>3018</v>
      </c>
      <c r="I375" s="22">
        <v>4</v>
      </c>
      <c r="J375" s="22">
        <v>1</v>
      </c>
      <c r="K375" s="123" t="s">
        <v>3760</v>
      </c>
      <c r="L375" s="22">
        <v>0</v>
      </c>
      <c r="M375" s="22">
        <v>0</v>
      </c>
      <c r="N375" s="22">
        <v>0</v>
      </c>
      <c r="O375" s="22">
        <v>0</v>
      </c>
      <c r="P375" s="22">
        <v>0</v>
      </c>
      <c r="Q375" s="22">
        <v>0</v>
      </c>
      <c r="R375" s="22">
        <v>1</v>
      </c>
      <c r="S375" s="123"/>
      <c r="T375" s="22">
        <v>0</v>
      </c>
      <c r="U375" s="22">
        <v>0</v>
      </c>
      <c r="V375" s="22">
        <v>1</v>
      </c>
      <c r="W375" s="23"/>
      <c r="X375" s="23"/>
      <c r="Y375" s="23"/>
    </row>
    <row r="376" spans="1:25" ht="14.25" customHeight="1">
      <c r="A376" s="236">
        <v>1</v>
      </c>
      <c r="B376" s="237" t="s">
        <v>3761</v>
      </c>
      <c r="C376" s="22">
        <v>377</v>
      </c>
      <c r="D376" s="22">
        <v>8</v>
      </c>
      <c r="E376" s="241">
        <v>43672</v>
      </c>
      <c r="F376" s="121" t="str">
        <f>HYPERLINK("https://www.suara.com/news/2019/07/26/071000/anies-terapkan-kebijakan-ahok-sindiran-kocak-ditjen-pajak-soal-gaji8juta ","sumber")</f>
        <v>sumber</v>
      </c>
      <c r="G376" s="223" t="s">
        <v>1</v>
      </c>
      <c r="H376" s="23" t="s">
        <v>3762</v>
      </c>
      <c r="I376" s="22">
        <v>1</v>
      </c>
      <c r="J376" s="22">
        <v>1</v>
      </c>
      <c r="K376" s="123" t="s">
        <v>3763</v>
      </c>
      <c r="L376" s="22">
        <v>0</v>
      </c>
      <c r="M376" s="22">
        <v>-1</v>
      </c>
      <c r="N376" s="22">
        <v>0</v>
      </c>
      <c r="O376" s="22">
        <v>0</v>
      </c>
      <c r="P376" s="22">
        <v>0</v>
      </c>
      <c r="Q376" s="22">
        <v>0</v>
      </c>
      <c r="R376" s="22">
        <v>0</v>
      </c>
      <c r="S376" s="123"/>
      <c r="T376" s="22">
        <v>0</v>
      </c>
      <c r="U376" s="22">
        <v>0</v>
      </c>
      <c r="V376" s="22">
        <v>0</v>
      </c>
      <c r="W376" s="23"/>
      <c r="X376" s="23"/>
      <c r="Y376" s="23"/>
    </row>
    <row r="377" spans="1:25" ht="14.25" customHeight="1">
      <c r="A377" s="236">
        <v>1</v>
      </c>
      <c r="B377" s="237" t="s">
        <v>3764</v>
      </c>
      <c r="C377" s="22">
        <v>378</v>
      </c>
      <c r="D377" s="22">
        <v>2</v>
      </c>
      <c r="E377" s="241">
        <v>43673</v>
      </c>
      <c r="F377" s="121" t="str">
        <f>HYPERLINK("https://www.cnnindonesia.com/gaya-hidup/20190726155924-282-415815/fotografer-kim-kardashian-dan-vs-terseret-kasus-predator-seks ","sumber")</f>
        <v>sumber</v>
      </c>
      <c r="G377" s="223" t="s">
        <v>1</v>
      </c>
      <c r="H377" s="23" t="s">
        <v>3675</v>
      </c>
      <c r="I377" s="22">
        <v>1</v>
      </c>
      <c r="J377" s="22">
        <v>1</v>
      </c>
      <c r="K377" s="123" t="s">
        <v>3765</v>
      </c>
      <c r="L377" s="22">
        <v>0</v>
      </c>
      <c r="M377" s="22">
        <v>1</v>
      </c>
      <c r="N377" s="22">
        <v>0</v>
      </c>
      <c r="O377" s="22">
        <v>0</v>
      </c>
      <c r="P377" s="22">
        <v>0</v>
      </c>
      <c r="Q377" s="123" t="s">
        <v>3766</v>
      </c>
      <c r="R377" s="123" t="s">
        <v>3767</v>
      </c>
      <c r="S377" s="123"/>
      <c r="T377" s="22">
        <v>0</v>
      </c>
      <c r="U377" s="22">
        <v>0</v>
      </c>
      <c r="V377" s="22">
        <v>1</v>
      </c>
      <c r="W377" s="23"/>
      <c r="X377" s="23"/>
      <c r="Y377" s="23"/>
    </row>
    <row r="378" spans="1:25" ht="14.25" customHeight="1">
      <c r="A378" s="236">
        <v>1</v>
      </c>
      <c r="B378" s="237" t="s">
        <v>3768</v>
      </c>
      <c r="C378" s="22">
        <v>379</v>
      </c>
      <c r="D378" s="22">
        <v>8</v>
      </c>
      <c r="E378" s="241">
        <v>43673</v>
      </c>
      <c r="F378" s="121" t="str">
        <f>HYPERLINK("https://www.suara.com/news/2019/07/27/154616/selamatkan-korban-pelecehan-di-kereta-aksi-pria-ini-panen-sanjungan ","sumber")</f>
        <v>sumber</v>
      </c>
      <c r="G378" s="223" t="s">
        <v>1</v>
      </c>
      <c r="H378" s="23" t="s">
        <v>2987</v>
      </c>
      <c r="I378" s="22">
        <v>1</v>
      </c>
      <c r="J378" s="22">
        <v>1</v>
      </c>
      <c r="K378" s="123" t="s">
        <v>3769</v>
      </c>
      <c r="L378" s="22">
        <v>0</v>
      </c>
      <c r="M378" s="147">
        <v>0</v>
      </c>
      <c r="N378" s="22">
        <v>0</v>
      </c>
      <c r="O378" s="22">
        <v>0</v>
      </c>
      <c r="P378" s="22">
        <v>0</v>
      </c>
      <c r="Q378" s="22" t="s">
        <v>170</v>
      </c>
      <c r="R378" s="22" t="s">
        <v>170</v>
      </c>
      <c r="S378" s="123"/>
      <c r="T378" s="22">
        <v>0</v>
      </c>
      <c r="U378" s="22">
        <v>0</v>
      </c>
      <c r="V378" s="22">
        <v>0</v>
      </c>
      <c r="W378" s="23"/>
      <c r="X378" s="23"/>
      <c r="Y378" s="23"/>
    </row>
    <row r="379" spans="1:25" ht="14.25" customHeight="1">
      <c r="A379" s="236">
        <v>1</v>
      </c>
      <c r="B379" s="237" t="s">
        <v>3770</v>
      </c>
      <c r="C379" s="22">
        <v>380</v>
      </c>
      <c r="D379" s="22">
        <v>7</v>
      </c>
      <c r="E379" s="241">
        <v>43679</v>
      </c>
      <c r="F379" s="121" t="str">
        <f>HYPERLINK("https://www.tribunnews.com/regional/2019/08/02/seorang-pria-gagal-perkosa-lisa-kenalannya-di-sosmed-setelah-diinterogasi-ternyata-sama-sama-lelaki ","sumber")</f>
        <v>sumber</v>
      </c>
      <c r="G379" s="223" t="s">
        <v>1</v>
      </c>
      <c r="H379" s="23" t="s">
        <v>3771</v>
      </c>
      <c r="I379" s="22">
        <v>1</v>
      </c>
      <c r="J379" s="22">
        <v>5</v>
      </c>
      <c r="K379" s="123" t="s">
        <v>3772</v>
      </c>
      <c r="L379" s="22">
        <v>0</v>
      </c>
      <c r="M379" s="22">
        <v>-1</v>
      </c>
      <c r="N379" s="22">
        <v>-1</v>
      </c>
      <c r="O379" s="22">
        <v>0</v>
      </c>
      <c r="P379" s="22">
        <v>0</v>
      </c>
      <c r="Q379" s="22" t="s">
        <v>87</v>
      </c>
      <c r="R379" s="22" t="s">
        <v>29</v>
      </c>
      <c r="S379" s="123"/>
      <c r="T379" s="22">
        <v>0</v>
      </c>
      <c r="U379" s="22">
        <v>0</v>
      </c>
      <c r="V379" s="22">
        <v>0</v>
      </c>
      <c r="W379" s="23"/>
      <c r="X379" s="23"/>
      <c r="Y379" s="23"/>
    </row>
    <row r="380" spans="1:25" ht="14.25" customHeight="1">
      <c r="A380" s="148">
        <v>1</v>
      </c>
      <c r="B380" s="202" t="s">
        <v>3773</v>
      </c>
      <c r="C380" s="33">
        <v>381</v>
      </c>
      <c r="D380" s="33">
        <v>5</v>
      </c>
      <c r="E380" s="243">
        <v>43708</v>
      </c>
      <c r="F380" s="130" t="str">
        <f>HYPERLINK("https://tirto.id/hukuman-kebiri-masih-dimasalahkan-kok-aparat-diberi-penghargaan-ehe3","sumber")</f>
        <v>sumber</v>
      </c>
      <c r="G380" s="231" t="s">
        <v>1</v>
      </c>
      <c r="H380" s="33">
        <v>631</v>
      </c>
      <c r="I380" s="33">
        <v>4</v>
      </c>
      <c r="J380" s="33">
        <v>1</v>
      </c>
      <c r="K380" s="131" t="s">
        <v>3774</v>
      </c>
      <c r="L380" s="33">
        <v>0</v>
      </c>
      <c r="M380" s="33">
        <v>0</v>
      </c>
      <c r="N380" s="33">
        <v>0</v>
      </c>
      <c r="O380" s="33">
        <v>0</v>
      </c>
      <c r="P380" s="33">
        <v>0</v>
      </c>
      <c r="Q380" s="255" t="s">
        <v>3775</v>
      </c>
      <c r="R380" s="255" t="s">
        <v>3776</v>
      </c>
      <c r="S380" s="131"/>
      <c r="T380" s="33">
        <v>0</v>
      </c>
      <c r="U380" s="33">
        <v>0</v>
      </c>
      <c r="V380" s="33">
        <v>1</v>
      </c>
      <c r="W380" s="24"/>
      <c r="X380" s="24"/>
      <c r="Y380" s="33"/>
    </row>
    <row r="381" spans="1:25" ht="14.25" customHeight="1">
      <c r="A381" s="171">
        <v>2</v>
      </c>
      <c r="B381" s="239" t="s">
        <v>3777</v>
      </c>
      <c r="C381" s="25">
        <v>382</v>
      </c>
      <c r="D381" s="25">
        <v>5</v>
      </c>
      <c r="E381" s="242">
        <v>43697</v>
      </c>
      <c r="F381" s="115" t="str">
        <f>HYPERLINK("https://tirto.id/rusuh-di-papua-barat-karena-rasisme-bukan-yang-lain-egAf ","sumber")</f>
        <v>sumber</v>
      </c>
      <c r="G381" s="228" t="s">
        <v>1</v>
      </c>
      <c r="H381" s="26" t="s">
        <v>3778</v>
      </c>
      <c r="I381" s="25">
        <v>1</v>
      </c>
      <c r="J381" s="25">
        <v>5</v>
      </c>
      <c r="K381" s="124"/>
      <c r="L381" s="26"/>
      <c r="M381" s="26"/>
      <c r="N381" s="26"/>
      <c r="O381" s="26"/>
      <c r="P381" s="26"/>
      <c r="Q381" s="26"/>
      <c r="R381" s="26"/>
      <c r="S381" s="124"/>
      <c r="T381" s="26"/>
      <c r="U381" s="26"/>
      <c r="V381" s="26"/>
      <c r="W381" s="26"/>
      <c r="X381" s="26"/>
      <c r="Y381" s="25"/>
    </row>
    <row r="382" spans="1:25" ht="14.25" customHeight="1">
      <c r="A382" s="236">
        <v>1</v>
      </c>
      <c r="B382" s="237" t="s">
        <v>1743</v>
      </c>
      <c r="C382" s="22">
        <v>383</v>
      </c>
      <c r="D382" s="22">
        <v>10</v>
      </c>
      <c r="E382" s="241">
        <v>43701</v>
      </c>
      <c r="F382" s="121" t="str">
        <f>HYPERLINK("https://dunia.tempo.co/read/1239776/google-melarang-karyawan-diskusi-politik ","sumber")</f>
        <v>sumber</v>
      </c>
      <c r="G382" s="223" t="s">
        <v>1</v>
      </c>
      <c r="H382" s="23" t="s">
        <v>3779</v>
      </c>
      <c r="I382" s="22">
        <v>2</v>
      </c>
      <c r="J382" s="22">
        <v>1</v>
      </c>
      <c r="K382" s="123" t="s">
        <v>3780</v>
      </c>
      <c r="L382" s="22">
        <v>0</v>
      </c>
      <c r="M382" s="22">
        <v>0</v>
      </c>
      <c r="N382" s="22">
        <v>0</v>
      </c>
      <c r="O382" s="22">
        <v>0</v>
      </c>
      <c r="P382" s="22">
        <v>0</v>
      </c>
      <c r="Q382" s="22">
        <v>0</v>
      </c>
      <c r="R382" s="22">
        <v>0</v>
      </c>
      <c r="S382" s="123"/>
      <c r="T382" s="22">
        <v>0</v>
      </c>
      <c r="U382" s="22">
        <v>0</v>
      </c>
      <c r="V382" s="22">
        <v>0</v>
      </c>
      <c r="W382" s="23"/>
      <c r="X382" s="23"/>
      <c r="Y382" s="23"/>
    </row>
    <row r="383" spans="1:25" ht="14.25" customHeight="1">
      <c r="A383" s="236">
        <v>1</v>
      </c>
      <c r="B383" s="237" t="s">
        <v>273</v>
      </c>
      <c r="C383" s="22">
        <v>384</v>
      </c>
      <c r="D383" s="22">
        <v>1</v>
      </c>
      <c r="E383" s="241">
        <v>43702</v>
      </c>
      <c r="F383" s="121" t="str">
        <f>HYPERLINK("https://news.detik.com/berita/d-4680262/lpsk-sayangkan-anggaran-turun-drastis-permohonan-layanan-naik-signifikan ","sumber")</f>
        <v>sumber</v>
      </c>
      <c r="G383" s="223" t="s">
        <v>1</v>
      </c>
      <c r="H383" s="23" t="s">
        <v>3246</v>
      </c>
      <c r="I383" s="22">
        <v>4</v>
      </c>
      <c r="J383" s="22">
        <v>1</v>
      </c>
      <c r="K383" s="123" t="s">
        <v>3781</v>
      </c>
      <c r="L383" s="22">
        <v>0</v>
      </c>
      <c r="M383" s="22">
        <v>0</v>
      </c>
      <c r="N383" s="22">
        <v>0</v>
      </c>
      <c r="O383" s="22">
        <v>0</v>
      </c>
      <c r="P383" s="22">
        <v>0</v>
      </c>
      <c r="Q383" s="22" t="s">
        <v>160</v>
      </c>
      <c r="R383" s="22" t="s">
        <v>160</v>
      </c>
      <c r="S383" s="123"/>
      <c r="T383" s="22">
        <v>0</v>
      </c>
      <c r="U383" s="22">
        <v>0</v>
      </c>
      <c r="V383" s="22">
        <v>0</v>
      </c>
      <c r="W383" s="23"/>
      <c r="X383" s="23"/>
      <c r="Y383" s="23"/>
    </row>
    <row r="384" spans="1:25" ht="14.25" customHeight="1">
      <c r="A384" s="236">
        <v>1</v>
      </c>
      <c r="B384" s="237" t="s">
        <v>3782</v>
      </c>
      <c r="C384" s="22">
        <v>385</v>
      </c>
      <c r="D384" s="22">
        <v>6</v>
      </c>
      <c r="E384" s="241">
        <v>43704</v>
      </c>
      <c r="F384" s="121" t="str">
        <f>HYPERLINK("https://nasional.kompas.com/read/2019/08/27/19030451/banyak-legislator-tak-hadir-dpr-dinilai-tak-serius-bahas-ruu-pks ","sumber")</f>
        <v>sumber</v>
      </c>
      <c r="G384" s="223" t="s">
        <v>1</v>
      </c>
      <c r="H384" s="23" t="s">
        <v>3783</v>
      </c>
      <c r="I384" s="22">
        <v>4</v>
      </c>
      <c r="J384" s="22">
        <v>1</v>
      </c>
      <c r="K384" s="123" t="s">
        <v>3784</v>
      </c>
      <c r="L384" s="22">
        <v>0</v>
      </c>
      <c r="M384" s="22">
        <v>0</v>
      </c>
      <c r="N384" s="22">
        <v>0</v>
      </c>
      <c r="O384" s="22">
        <v>0</v>
      </c>
      <c r="P384" s="22">
        <v>0</v>
      </c>
      <c r="Q384" s="22">
        <v>1</v>
      </c>
      <c r="R384" s="22">
        <v>1</v>
      </c>
      <c r="S384" s="123"/>
      <c r="T384" s="22">
        <v>0</v>
      </c>
      <c r="U384" s="22">
        <v>0</v>
      </c>
      <c r="V384" s="22">
        <v>0</v>
      </c>
      <c r="W384" s="23"/>
      <c r="X384" s="23"/>
      <c r="Y384" s="23"/>
    </row>
    <row r="385" spans="1:25" ht="14.25" customHeight="1">
      <c r="A385" s="148">
        <v>1</v>
      </c>
      <c r="B385" s="55" t="s">
        <v>3785</v>
      </c>
      <c r="C385" s="33">
        <v>386</v>
      </c>
      <c r="D385" s="33">
        <v>4</v>
      </c>
      <c r="E385" s="243">
        <v>43680</v>
      </c>
      <c r="F385" s="130" t="str">
        <f>HYPERLINK("https://www.liputan6.com/news/read/4028808/polisi-bekuk-pelaku-pembunuhan-mahasiswi-di-sukabumi","sumber")</f>
        <v>sumber</v>
      </c>
      <c r="G385" s="231" t="s">
        <v>1</v>
      </c>
      <c r="H385" s="33">
        <v>128</v>
      </c>
      <c r="I385" s="33">
        <v>1</v>
      </c>
      <c r="J385" s="33">
        <v>1</v>
      </c>
      <c r="K385" s="131" t="s">
        <v>3786</v>
      </c>
      <c r="L385" s="33">
        <v>0</v>
      </c>
      <c r="M385" s="33">
        <v>-1</v>
      </c>
      <c r="N385" s="33">
        <v>0</v>
      </c>
      <c r="O385" s="33">
        <v>0</v>
      </c>
      <c r="P385" s="33">
        <v>0</v>
      </c>
      <c r="Q385" s="33">
        <v>0</v>
      </c>
      <c r="R385" s="33">
        <v>0</v>
      </c>
      <c r="S385" s="131"/>
      <c r="T385" s="33">
        <v>0</v>
      </c>
      <c r="U385" s="33">
        <v>0</v>
      </c>
      <c r="V385" s="33">
        <v>0</v>
      </c>
      <c r="W385" s="24"/>
      <c r="X385" s="24"/>
      <c r="Y385" s="33"/>
    </row>
    <row r="386" spans="1:25" ht="14.25" customHeight="1">
      <c r="A386" s="236">
        <v>1</v>
      </c>
      <c r="B386" s="237" t="s">
        <v>3787</v>
      </c>
      <c r="C386" s="22">
        <v>387</v>
      </c>
      <c r="D386" s="22">
        <v>7</v>
      </c>
      <c r="E386" s="241">
        <v>43708</v>
      </c>
      <c r="F386" s="121" t="str">
        <f>HYPERLINK("https://www.tribunnews.com/seleb/2019/08/31/nikita-mirzani-labrak-elza-syarief-di-hotman-paris-show-berbuntut-umpatan-pelacur-dan-sampah ","sumber")</f>
        <v>sumber</v>
      </c>
      <c r="G386" s="223" t="s">
        <v>1</v>
      </c>
      <c r="H386" s="23" t="s">
        <v>3530</v>
      </c>
      <c r="I386" s="22">
        <v>2</v>
      </c>
      <c r="J386" s="22">
        <v>1</v>
      </c>
      <c r="K386" s="123" t="s">
        <v>3788</v>
      </c>
      <c r="L386" s="22">
        <v>0</v>
      </c>
      <c r="M386" s="22">
        <v>0</v>
      </c>
      <c r="N386" s="22">
        <v>0</v>
      </c>
      <c r="O386" s="22">
        <v>0</v>
      </c>
      <c r="P386" s="22">
        <v>0</v>
      </c>
      <c r="Q386" s="22" t="s">
        <v>87</v>
      </c>
      <c r="R386" s="22" t="s">
        <v>30</v>
      </c>
      <c r="S386" s="123"/>
      <c r="T386" s="22">
        <v>0</v>
      </c>
      <c r="U386" s="22">
        <v>-1</v>
      </c>
      <c r="V386" s="22">
        <v>0</v>
      </c>
      <c r="W386" s="23"/>
      <c r="X386" s="23"/>
      <c r="Y386" s="23"/>
    </row>
    <row r="387" spans="1:25" ht="14.25" customHeight="1">
      <c r="A387" s="236">
        <v>1</v>
      </c>
      <c r="B387" s="237" t="s">
        <v>292</v>
      </c>
      <c r="C387" s="22">
        <v>388</v>
      </c>
      <c r="D387" s="22">
        <v>1</v>
      </c>
      <c r="E387" s="241">
        <v>43709</v>
      </c>
      <c r="F387" s="121" t="str">
        <f>HYPERLINK("https://hot.detik.com/celeb/d-4688854/doddy-soedrajat-disebut-menjual-vanessa-angel-lewat-prostitusi-online ","sumber")</f>
        <v>sumber</v>
      </c>
      <c r="G387" s="223" t="s">
        <v>1</v>
      </c>
      <c r="H387" s="23" t="s">
        <v>3125</v>
      </c>
      <c r="I387" s="22">
        <v>1</v>
      </c>
      <c r="J387" s="22">
        <v>1</v>
      </c>
      <c r="K387" s="123" t="s">
        <v>3789</v>
      </c>
      <c r="L387" s="22">
        <v>0</v>
      </c>
      <c r="M387" s="22">
        <v>-1</v>
      </c>
      <c r="N387" s="22">
        <v>0</v>
      </c>
      <c r="O387" s="22">
        <v>0</v>
      </c>
      <c r="P387" s="22">
        <v>0</v>
      </c>
      <c r="Q387" s="22">
        <v>0</v>
      </c>
      <c r="R387" s="22">
        <v>-1</v>
      </c>
      <c r="S387" s="123"/>
      <c r="T387" s="22">
        <v>0</v>
      </c>
      <c r="U387" s="22">
        <v>-1</v>
      </c>
      <c r="V387" s="22">
        <v>0</v>
      </c>
      <c r="W387" s="23"/>
      <c r="X387" s="23"/>
      <c r="Y387" s="23"/>
    </row>
    <row r="388" spans="1:25" ht="14.25" customHeight="1">
      <c r="A388" s="236">
        <v>1</v>
      </c>
      <c r="B388" s="237" t="s">
        <v>3790</v>
      </c>
      <c r="C388" s="22">
        <v>389</v>
      </c>
      <c r="D388" s="22">
        <v>2</v>
      </c>
      <c r="E388" s="241">
        <v>43710</v>
      </c>
      <c r="F388" s="121" t="str">
        <f>HYPERLINK("https://www.cnnindonesia.com/olahraga/20190902042736-142-426654/psg-larang-fan-ejek-neymar ","sumber")</f>
        <v>sumber</v>
      </c>
      <c r="G388" s="223" t="s">
        <v>1</v>
      </c>
      <c r="H388" s="23" t="s">
        <v>3791</v>
      </c>
      <c r="I388" s="22">
        <v>2</v>
      </c>
      <c r="J388" s="22">
        <v>1</v>
      </c>
      <c r="K388" s="123" t="s">
        <v>3792</v>
      </c>
      <c r="L388" s="22">
        <v>0</v>
      </c>
      <c r="M388" s="22">
        <v>0</v>
      </c>
      <c r="N388" s="22">
        <v>0</v>
      </c>
      <c r="O388" s="22">
        <v>0</v>
      </c>
      <c r="P388" s="22">
        <v>0</v>
      </c>
      <c r="Q388" s="22">
        <v>0</v>
      </c>
      <c r="R388" s="22">
        <v>0</v>
      </c>
      <c r="S388" s="123"/>
      <c r="T388" s="22">
        <v>0</v>
      </c>
      <c r="U388" s="22">
        <v>-1</v>
      </c>
      <c r="V388" s="22">
        <v>0</v>
      </c>
      <c r="W388" s="23"/>
      <c r="X388" s="23"/>
      <c r="Y388" s="23"/>
    </row>
    <row r="389" spans="1:25" ht="14.25" customHeight="1">
      <c r="A389" s="236">
        <v>1</v>
      </c>
      <c r="B389" s="237" t="s">
        <v>3793</v>
      </c>
      <c r="C389" s="22">
        <v>390</v>
      </c>
      <c r="D389" s="22">
        <v>3</v>
      </c>
      <c r="E389" s="241">
        <v>43711</v>
      </c>
      <c r="F389" s="121" t="str">
        <f>HYPERLINK("https://celebrity.okezone.com/read/2019/09/03/33/2099954/hot-gosip-livi-zheng-dihujat-netizen-hingga-sopir-jessica-iskandar-diteror-kuntilanak ","sumber")</f>
        <v>sumber</v>
      </c>
      <c r="G389" s="223" t="s">
        <v>1</v>
      </c>
      <c r="H389" s="23" t="s">
        <v>3571</v>
      </c>
      <c r="I389" s="22">
        <v>2</v>
      </c>
      <c r="J389" s="22">
        <v>1</v>
      </c>
      <c r="K389" s="123" t="s">
        <v>3794</v>
      </c>
      <c r="L389" s="22">
        <v>0</v>
      </c>
      <c r="M389" s="22">
        <v>0</v>
      </c>
      <c r="N389" s="22">
        <v>0</v>
      </c>
      <c r="O389" s="22">
        <v>0</v>
      </c>
      <c r="P389" s="22">
        <v>0</v>
      </c>
      <c r="Q389" s="22">
        <v>0</v>
      </c>
      <c r="R389" s="22">
        <v>-1</v>
      </c>
      <c r="S389" s="123" t="s">
        <v>3795</v>
      </c>
      <c r="T389" s="22">
        <v>2</v>
      </c>
      <c r="U389" s="22">
        <v>-1</v>
      </c>
      <c r="V389" s="22">
        <v>0</v>
      </c>
      <c r="W389" s="23"/>
      <c r="X389" s="23"/>
      <c r="Y389" s="23"/>
    </row>
    <row r="390" spans="1:25" ht="14.25" customHeight="1">
      <c r="A390" s="236">
        <v>1</v>
      </c>
      <c r="B390" s="237" t="s">
        <v>3796</v>
      </c>
      <c r="C390" s="22">
        <v>391</v>
      </c>
      <c r="D390" s="22">
        <v>6</v>
      </c>
      <c r="E390" s="241">
        <v>43712</v>
      </c>
      <c r="F390" s="121" t="str">
        <f>HYPERLINK("https://nasional.kompas.com/read/2019/09/04/05502121/komisi-viii-dan-komisi-iii-akan-sinkronisasi-ruu-pks-dengan-rkhup ","sumber")</f>
        <v>sumber</v>
      </c>
      <c r="G390" s="223" t="s">
        <v>1</v>
      </c>
      <c r="H390" s="23" t="s">
        <v>3679</v>
      </c>
      <c r="I390" s="22">
        <v>4</v>
      </c>
      <c r="J390" s="22">
        <v>1</v>
      </c>
      <c r="K390" s="123" t="s">
        <v>3797</v>
      </c>
      <c r="L390" s="22">
        <v>0</v>
      </c>
      <c r="M390" s="22">
        <v>0</v>
      </c>
      <c r="N390" s="22">
        <v>0</v>
      </c>
      <c r="O390" s="22">
        <v>0</v>
      </c>
      <c r="P390" s="22">
        <v>0</v>
      </c>
      <c r="Q390" s="22" t="s">
        <v>29</v>
      </c>
      <c r="R390" s="22" t="s">
        <v>29</v>
      </c>
      <c r="S390" s="123"/>
      <c r="T390" s="22">
        <v>0</v>
      </c>
      <c r="U390" s="22">
        <v>0</v>
      </c>
      <c r="V390" s="22">
        <v>0</v>
      </c>
      <c r="W390" s="23"/>
      <c r="X390" s="23"/>
      <c r="Y390" s="23"/>
    </row>
    <row r="391" spans="1:25" ht="14.25" customHeight="1">
      <c r="A391" s="236">
        <v>1</v>
      </c>
      <c r="B391" s="237" t="s">
        <v>3798</v>
      </c>
      <c r="C391" s="22">
        <v>392</v>
      </c>
      <c r="D391" s="22">
        <v>1</v>
      </c>
      <c r="E391" s="241">
        <v>43734</v>
      </c>
      <c r="F391" s="121" t="str">
        <f>HYPERLINK("https://news.detik.com/berita/d-4722997/f-pks-dpr-bersyukur-pengesahan-ruu-p-ks-ditunda ","sumber")</f>
        <v>sumber</v>
      </c>
      <c r="G391" s="223" t="s">
        <v>1</v>
      </c>
      <c r="H391" s="23" t="s">
        <v>3799</v>
      </c>
      <c r="I391" s="22">
        <v>4</v>
      </c>
      <c r="J391" s="22">
        <v>1</v>
      </c>
      <c r="K391" s="123" t="s">
        <v>3800</v>
      </c>
      <c r="L391" s="22">
        <v>0</v>
      </c>
      <c r="M391" s="22">
        <v>0</v>
      </c>
      <c r="N391" s="22">
        <v>0</v>
      </c>
      <c r="O391" s="22">
        <v>0</v>
      </c>
      <c r="P391" s="22">
        <v>0</v>
      </c>
      <c r="Q391" s="22" t="s">
        <v>29</v>
      </c>
      <c r="R391" s="22" t="s">
        <v>30</v>
      </c>
      <c r="S391" s="123"/>
      <c r="T391" s="22">
        <v>0</v>
      </c>
      <c r="U391" s="22">
        <v>0</v>
      </c>
      <c r="V391" s="22">
        <v>0</v>
      </c>
      <c r="W391" s="23"/>
      <c r="X391" s="23"/>
      <c r="Y391" s="23"/>
    </row>
    <row r="392" spans="1:25" ht="14.25" customHeight="1">
      <c r="A392" s="179">
        <v>2</v>
      </c>
      <c r="B392" s="271" t="s">
        <v>3801</v>
      </c>
      <c r="C392" s="25">
        <v>393</v>
      </c>
      <c r="D392" s="25">
        <v>6</v>
      </c>
      <c r="E392" s="272">
        <v>43743</v>
      </c>
      <c r="F392" s="115" t="str">
        <f>HYPERLINK("https://internasional.kompas.com/read/2019/10/05/15565391/korban-tewas-demonstrasi-di-irak-capai-73-orang ","sumber")</f>
        <v>sumber</v>
      </c>
      <c r="G392" s="228" t="s">
        <v>1</v>
      </c>
      <c r="H392" s="25">
        <v>261</v>
      </c>
      <c r="I392" s="25">
        <v>1</v>
      </c>
      <c r="J392" s="25">
        <v>5</v>
      </c>
      <c r="K392" s="116"/>
      <c r="L392" s="26"/>
      <c r="M392" s="26"/>
      <c r="N392" s="26"/>
      <c r="O392" s="26"/>
      <c r="P392" s="26"/>
      <c r="Q392" s="26"/>
      <c r="R392" s="26"/>
      <c r="S392" s="124"/>
      <c r="T392" s="26"/>
      <c r="U392" s="26"/>
      <c r="V392" s="26"/>
      <c r="W392" s="26"/>
      <c r="X392" s="26"/>
      <c r="Y392" s="26"/>
    </row>
    <row r="393" spans="1:25" ht="14.25" customHeight="1">
      <c r="A393" s="168">
        <v>1</v>
      </c>
      <c r="B393" s="273" t="s">
        <v>3802</v>
      </c>
      <c r="C393" s="22">
        <v>394</v>
      </c>
      <c r="D393" s="22">
        <v>10</v>
      </c>
      <c r="E393" s="274">
        <v>43744</v>
      </c>
      <c r="F393" s="121" t="str">
        <f>HYPERLINK("https://dunia.tempo.co/read/1256249/viral-pengemis-di-lebanon-punya-tabungan-rp-12-miliar ","sumber")</f>
        <v>sumber</v>
      </c>
      <c r="G393" s="223" t="s">
        <v>1</v>
      </c>
      <c r="H393" s="250">
        <v>271</v>
      </c>
      <c r="I393" s="22">
        <v>1</v>
      </c>
      <c r="J393" s="22">
        <v>4</v>
      </c>
      <c r="K393" s="123" t="s">
        <v>3803</v>
      </c>
      <c r="L393" s="22">
        <v>0</v>
      </c>
      <c r="M393" s="147">
        <v>0</v>
      </c>
      <c r="N393" s="22">
        <v>0</v>
      </c>
      <c r="O393" s="22">
        <v>0</v>
      </c>
      <c r="P393" s="22">
        <v>0</v>
      </c>
      <c r="Q393" s="22" t="s">
        <v>29</v>
      </c>
      <c r="R393" s="22" t="s">
        <v>29</v>
      </c>
      <c r="S393" s="123"/>
      <c r="T393" s="22">
        <v>0</v>
      </c>
      <c r="U393" s="22">
        <v>0</v>
      </c>
      <c r="V393" s="22">
        <v>0</v>
      </c>
      <c r="W393" s="23"/>
      <c r="X393" s="23"/>
      <c r="Y393" s="23"/>
    </row>
    <row r="394" spans="1:25" ht="14.25" customHeight="1">
      <c r="A394" s="168">
        <v>1</v>
      </c>
      <c r="B394" s="273" t="s">
        <v>3804</v>
      </c>
      <c r="C394" s="22">
        <v>395</v>
      </c>
      <c r="D394" s="22">
        <v>2</v>
      </c>
      <c r="E394" s="274">
        <v>43787</v>
      </c>
      <c r="F394" s="121" t="str">
        <f>HYPERLINK("https://www.cnnindonesia.com/nasional/20191117193811-12-449138/imparsial-hukum-bias-mayoritas-intoleransi-dapat-legitimasi ","sumber")</f>
        <v>sumber</v>
      </c>
      <c r="G394" s="223" t="s">
        <v>1</v>
      </c>
      <c r="H394" s="250">
        <v>528</v>
      </c>
      <c r="I394" s="22">
        <v>4</v>
      </c>
      <c r="J394" s="22">
        <v>4</v>
      </c>
      <c r="K394" s="123" t="s">
        <v>3805</v>
      </c>
      <c r="L394" s="22">
        <v>0</v>
      </c>
      <c r="M394" s="22">
        <v>0</v>
      </c>
      <c r="N394" s="22">
        <v>0</v>
      </c>
      <c r="O394" s="22">
        <v>0</v>
      </c>
      <c r="P394" s="22">
        <v>0</v>
      </c>
      <c r="Q394" s="22" t="s">
        <v>360</v>
      </c>
      <c r="R394" s="22" t="s">
        <v>360</v>
      </c>
      <c r="S394" s="123"/>
      <c r="T394" s="22">
        <v>0</v>
      </c>
      <c r="U394" s="22">
        <v>0</v>
      </c>
      <c r="V394" s="22">
        <v>1</v>
      </c>
      <c r="W394" s="23"/>
      <c r="X394" s="23"/>
      <c r="Y394" s="23"/>
    </row>
    <row r="395" spans="1:25" ht="14.25" customHeight="1">
      <c r="A395" s="168">
        <v>1</v>
      </c>
      <c r="B395" s="273" t="s">
        <v>3806</v>
      </c>
      <c r="C395" s="22">
        <v>396</v>
      </c>
      <c r="D395" s="22">
        <v>6</v>
      </c>
      <c r="E395" s="274">
        <v>43788</v>
      </c>
      <c r="F395" s="121" t="str">
        <f>HYPERLINK("https://regional.kompas.com/read/2019/11/19/08080001/pembubaran-upacara-piodalan-bupati-bantul--semua-agama-statusnya-sama-tidak ","sumber")</f>
        <v>sumber</v>
      </c>
      <c r="G395" s="223" t="s">
        <v>1</v>
      </c>
      <c r="H395" s="250">
        <v>437</v>
      </c>
      <c r="I395" s="22">
        <v>1</v>
      </c>
      <c r="J395" s="22">
        <v>4</v>
      </c>
      <c r="K395" s="123" t="s">
        <v>3807</v>
      </c>
      <c r="L395" s="22">
        <v>0</v>
      </c>
      <c r="M395" s="22">
        <v>1</v>
      </c>
      <c r="N395" s="22">
        <v>0</v>
      </c>
      <c r="O395" s="22">
        <v>0</v>
      </c>
      <c r="P395" s="22">
        <v>0</v>
      </c>
      <c r="Q395" s="123" t="s">
        <v>1655</v>
      </c>
      <c r="R395" s="123" t="s">
        <v>1552</v>
      </c>
      <c r="S395" s="123"/>
      <c r="T395" s="22">
        <v>0</v>
      </c>
      <c r="U395" s="22">
        <v>0</v>
      </c>
      <c r="V395" s="22">
        <v>0</v>
      </c>
      <c r="W395" s="23"/>
      <c r="X395" s="23"/>
      <c r="Y395" s="23"/>
    </row>
    <row r="396" spans="1:25" ht="14.25" customHeight="1">
      <c r="A396" s="168">
        <v>1</v>
      </c>
      <c r="B396" s="273" t="s">
        <v>3808</v>
      </c>
      <c r="C396" s="22">
        <v>397</v>
      </c>
      <c r="D396" s="22">
        <v>4</v>
      </c>
      <c r="E396" s="274">
        <v>43790</v>
      </c>
      <c r="F396" s="121" t="str">
        <f>HYPERLINK("https://www.liputan6.com/global/read/4116399/demo-irak-kembali-telan-korban-2-orang-tewas-dalam-unjuk-rasa-terbaru ","sumber")</f>
        <v>sumber</v>
      </c>
      <c r="G396" s="223" t="s">
        <v>1</v>
      </c>
      <c r="H396" s="250">
        <v>674</v>
      </c>
      <c r="I396" s="22">
        <v>1</v>
      </c>
      <c r="J396" s="22">
        <v>4</v>
      </c>
      <c r="K396" s="123" t="s">
        <v>3809</v>
      </c>
      <c r="L396" s="22">
        <v>0</v>
      </c>
      <c r="M396" s="22">
        <v>1</v>
      </c>
      <c r="N396" s="22">
        <v>0</v>
      </c>
      <c r="O396" s="22">
        <v>0</v>
      </c>
      <c r="P396" s="22">
        <v>0</v>
      </c>
      <c r="Q396" s="146" t="s">
        <v>58</v>
      </c>
      <c r="R396" s="146" t="s">
        <v>57</v>
      </c>
      <c r="S396" s="123"/>
      <c r="T396" s="22">
        <v>0</v>
      </c>
      <c r="U396" s="22">
        <v>0</v>
      </c>
      <c r="V396" s="22">
        <v>0</v>
      </c>
      <c r="W396" s="23"/>
      <c r="X396" s="23"/>
      <c r="Y396" s="23"/>
    </row>
    <row r="397" spans="1:25" ht="14.25" customHeight="1">
      <c r="A397" s="171">
        <v>2</v>
      </c>
      <c r="B397" s="275" t="s">
        <v>3810</v>
      </c>
      <c r="C397" s="25">
        <v>398</v>
      </c>
      <c r="D397" s="25">
        <v>9</v>
      </c>
      <c r="E397" s="276">
        <v>43793</v>
      </c>
      <c r="F397" s="115" t="str">
        <f>HYPERLINK("https://republika.co.id/berita/q1gy86313/beastudi-etospttep-yakin-pendidikan-indonesia-membaik ","sumber")</f>
        <v>sumber</v>
      </c>
      <c r="G397" s="228" t="s">
        <v>1</v>
      </c>
      <c r="H397" s="171">
        <v>434</v>
      </c>
      <c r="I397" s="25">
        <v>3</v>
      </c>
      <c r="J397" s="25">
        <v>5</v>
      </c>
      <c r="K397" s="116"/>
      <c r="L397" s="26"/>
      <c r="M397" s="26"/>
      <c r="N397" s="26"/>
      <c r="O397" s="26"/>
      <c r="P397" s="26"/>
      <c r="Q397" s="26"/>
      <c r="R397" s="26"/>
      <c r="S397" s="124"/>
      <c r="T397" s="26"/>
      <c r="U397" s="26"/>
      <c r="V397" s="26"/>
      <c r="W397" s="26"/>
      <c r="X397" s="26"/>
      <c r="Y397" s="26"/>
    </row>
    <row r="398" spans="1:25" ht="14.25" customHeight="1">
      <c r="A398" s="168">
        <v>1</v>
      </c>
      <c r="B398" s="273" t="s">
        <v>3811</v>
      </c>
      <c r="C398" s="22">
        <v>399</v>
      </c>
      <c r="D398" s="22">
        <v>6</v>
      </c>
      <c r="E398" s="274">
        <v>43812</v>
      </c>
      <c r="F398" s="121" t="str">
        <f>HYPERLINK("https://regional.kompas.com/read/2019/12/13/15451041/puluhan-pengungsi-syiah-di-sidoarjo-masuk-daftar-penerima-pkh-2020 ","sumber")</f>
        <v>sumber</v>
      </c>
      <c r="G398" s="223" t="s">
        <v>1</v>
      </c>
      <c r="H398" s="250">
        <v>274</v>
      </c>
      <c r="I398" s="22">
        <v>4</v>
      </c>
      <c r="J398" s="22">
        <v>4</v>
      </c>
      <c r="K398" s="123" t="s">
        <v>3812</v>
      </c>
      <c r="L398" s="22">
        <v>0</v>
      </c>
      <c r="M398" s="22">
        <v>0</v>
      </c>
      <c r="N398" s="22">
        <v>0</v>
      </c>
      <c r="O398" s="22">
        <v>0</v>
      </c>
      <c r="P398" s="22">
        <v>0</v>
      </c>
      <c r="Q398" s="22" t="s">
        <v>29</v>
      </c>
      <c r="R398" s="22" t="s">
        <v>29</v>
      </c>
      <c r="S398" s="123" t="s">
        <v>3813</v>
      </c>
      <c r="T398" s="22">
        <v>1</v>
      </c>
      <c r="U398" s="22">
        <v>0</v>
      </c>
      <c r="V398" s="22">
        <v>0</v>
      </c>
      <c r="W398" s="23"/>
      <c r="X398" s="23"/>
      <c r="Y398" s="23"/>
    </row>
    <row r="399" spans="1:25" ht="14.25" customHeight="1">
      <c r="A399" s="168">
        <v>1</v>
      </c>
      <c r="B399" s="273" t="s">
        <v>3814</v>
      </c>
      <c r="C399" s="22">
        <v>400</v>
      </c>
      <c r="D399" s="22">
        <v>2</v>
      </c>
      <c r="E399" s="274">
        <v>43815</v>
      </c>
      <c r="F399" s="121" t="str">
        <f>HYPERLINK("https://www.cnnindonesia.com/gaya-hidup/20191216133316-269-457377/memento-revolusi-di-kulit-kaum-muda-irak ","sumber")</f>
        <v>sumber</v>
      </c>
      <c r="G399" s="223" t="s">
        <v>1</v>
      </c>
      <c r="H399" s="250">
        <v>627</v>
      </c>
      <c r="I399" s="22">
        <v>1</v>
      </c>
      <c r="J399" s="22">
        <v>4</v>
      </c>
      <c r="K399" s="123" t="s">
        <v>3815</v>
      </c>
      <c r="L399" s="22">
        <v>0</v>
      </c>
      <c r="M399" s="22">
        <v>1</v>
      </c>
      <c r="N399" s="22">
        <v>0</v>
      </c>
      <c r="O399" s="22">
        <v>0</v>
      </c>
      <c r="P399" s="22">
        <v>0</v>
      </c>
      <c r="Q399" s="240" t="s">
        <v>57</v>
      </c>
      <c r="R399" s="22" t="s">
        <v>57</v>
      </c>
      <c r="S399" s="123"/>
      <c r="T399" s="22">
        <v>0</v>
      </c>
      <c r="U399" s="22">
        <v>0</v>
      </c>
      <c r="V399" s="22">
        <v>0</v>
      </c>
      <c r="W399" s="23"/>
      <c r="X399" s="23"/>
      <c r="Y399" s="23"/>
    </row>
    <row r="400" spans="1:25" ht="14.25" customHeight="1">
      <c r="A400" s="168">
        <v>1</v>
      </c>
      <c r="B400" s="273" t="s">
        <v>3816</v>
      </c>
      <c r="C400" s="22">
        <v>401</v>
      </c>
      <c r="D400" s="22">
        <v>7</v>
      </c>
      <c r="E400" s="274">
        <v>43817</v>
      </c>
      <c r="F400" s="121" t="str">
        <f>HYPERLINK("https://www.tribunnews.com/nasional/2019/12/18/mahfud-md-ungkap-kemungkinan-pelanggaran-ham-di-era-jokowi-ada-beberapa-tapi-belum-kesimpulan ","sumber")</f>
        <v>sumber</v>
      </c>
      <c r="G400" s="223" t="s">
        <v>1</v>
      </c>
      <c r="H400" s="250">
        <v>175</v>
      </c>
      <c r="I400" s="22">
        <v>1</v>
      </c>
      <c r="J400" s="22">
        <v>4</v>
      </c>
      <c r="K400" s="123" t="s">
        <v>3817</v>
      </c>
      <c r="L400" s="22">
        <v>0</v>
      </c>
      <c r="M400" s="22">
        <v>-1</v>
      </c>
      <c r="N400" s="22">
        <v>0</v>
      </c>
      <c r="O400" s="22">
        <v>0</v>
      </c>
      <c r="P400" s="22">
        <v>0</v>
      </c>
      <c r="Q400" s="22">
        <v>0</v>
      </c>
      <c r="R400" s="22">
        <v>-1</v>
      </c>
      <c r="S400" s="123"/>
      <c r="T400" s="22">
        <v>0</v>
      </c>
      <c r="U400" s="22">
        <v>0</v>
      </c>
      <c r="V400" s="22">
        <v>1</v>
      </c>
      <c r="W400" s="23"/>
      <c r="X400" s="23"/>
      <c r="Y400" s="23"/>
    </row>
    <row r="401" spans="1:25" ht="14.25" customHeight="1">
      <c r="A401" s="171">
        <v>2</v>
      </c>
      <c r="B401" s="275" t="s">
        <v>3818</v>
      </c>
      <c r="C401" s="25">
        <v>402</v>
      </c>
      <c r="D401" s="25">
        <v>6</v>
      </c>
      <c r="E401" s="276">
        <v>43818</v>
      </c>
      <c r="F401" s="115" t="str">
        <f>HYPERLINK("https://nasional.kompas.com/read/2019/12/19/04120841/meutya-hafid-ri-ajak-negara-lain-berbagi-tanggung-jawab-tangani-pengungsi ","sumber")</f>
        <v>sumber</v>
      </c>
      <c r="G401" s="228" t="s">
        <v>1</v>
      </c>
      <c r="H401" s="171">
        <v>262</v>
      </c>
      <c r="I401" s="25">
        <v>4</v>
      </c>
      <c r="J401" s="25">
        <v>5</v>
      </c>
      <c r="K401" s="116"/>
      <c r="L401" s="26"/>
      <c r="M401" s="26"/>
      <c r="N401" s="26"/>
      <c r="O401" s="26"/>
      <c r="P401" s="26"/>
      <c r="Q401" s="26"/>
      <c r="R401" s="26"/>
      <c r="S401" s="124"/>
      <c r="T401" s="26"/>
      <c r="U401" s="26"/>
      <c r="V401" s="26"/>
      <c r="W401" s="26"/>
      <c r="X401" s="26"/>
      <c r="Y401" s="26"/>
    </row>
    <row r="402" spans="1:25" ht="14.25" customHeight="1">
      <c r="A402" s="168">
        <v>1</v>
      </c>
      <c r="B402" s="273" t="s">
        <v>3819</v>
      </c>
      <c r="C402" s="22">
        <v>403</v>
      </c>
      <c r="D402" s="22">
        <v>8</v>
      </c>
      <c r="E402" s="274">
        <v>43820</v>
      </c>
      <c r="F402" s="121" t="str">
        <f>HYPERLINK("https://jabar.suara.com/read/2019/12/21/125229/5-fakta-persekusi-haddad-alwi-di-sukabumi-gara-gara-angkat-tangan ","sumber")</f>
        <v>sumber</v>
      </c>
      <c r="G402" s="223" t="s">
        <v>1</v>
      </c>
      <c r="H402" s="250">
        <v>671</v>
      </c>
      <c r="I402" s="22">
        <v>1</v>
      </c>
      <c r="J402" s="22">
        <v>4</v>
      </c>
      <c r="K402" s="123" t="s">
        <v>3820</v>
      </c>
      <c r="L402" s="22">
        <v>0</v>
      </c>
      <c r="M402" s="22">
        <v>1</v>
      </c>
      <c r="N402" s="22">
        <v>0</v>
      </c>
      <c r="O402" s="22">
        <v>0</v>
      </c>
      <c r="P402" s="22">
        <v>0</v>
      </c>
      <c r="Q402" s="146" t="s">
        <v>3821</v>
      </c>
      <c r="R402" s="146" t="s">
        <v>3822</v>
      </c>
      <c r="S402" s="123"/>
      <c r="T402" s="22">
        <v>0</v>
      </c>
      <c r="U402" s="22">
        <v>0</v>
      </c>
      <c r="V402" s="22">
        <v>0</v>
      </c>
      <c r="W402" s="23"/>
      <c r="X402" s="23"/>
      <c r="Y402" s="23"/>
    </row>
    <row r="403" spans="1:25" ht="14.25" customHeight="1">
      <c r="A403" s="168">
        <v>1</v>
      </c>
      <c r="B403" s="273" t="s">
        <v>3823</v>
      </c>
      <c r="C403" s="22">
        <v>404</v>
      </c>
      <c r="D403" s="22">
        <v>7</v>
      </c>
      <c r="E403" s="274">
        <v>43823</v>
      </c>
      <c r="F403" s="121" t="str">
        <f>HYPERLINK("https://www.tribunnews.com/nasional/2019/12/24/pkpi-mayoritas-dan-minoritas-hanya-ada-di-data-statistik ","sumber")</f>
        <v>sumber</v>
      </c>
      <c r="G403" s="223" t="s">
        <v>1</v>
      </c>
      <c r="H403" s="250">
        <v>191</v>
      </c>
      <c r="I403" s="22">
        <v>1</v>
      </c>
      <c r="J403" s="22">
        <v>4</v>
      </c>
      <c r="K403" s="123" t="s">
        <v>3824</v>
      </c>
      <c r="L403" s="22">
        <v>0</v>
      </c>
      <c r="M403" s="22">
        <v>-1</v>
      </c>
      <c r="N403" s="22">
        <v>0</v>
      </c>
      <c r="O403" s="22">
        <v>0</v>
      </c>
      <c r="P403" s="22">
        <v>0</v>
      </c>
      <c r="Q403" s="22" t="s">
        <v>29</v>
      </c>
      <c r="R403" s="22" t="s">
        <v>160</v>
      </c>
      <c r="S403" s="123"/>
      <c r="T403" s="22">
        <v>0</v>
      </c>
      <c r="U403" s="22">
        <v>0</v>
      </c>
      <c r="V403" s="22">
        <v>0</v>
      </c>
      <c r="W403" s="23"/>
      <c r="X403" s="23"/>
      <c r="Y403" s="23"/>
    </row>
    <row r="404" spans="1:25" ht="14.25" customHeight="1">
      <c r="A404" s="171">
        <v>2</v>
      </c>
      <c r="B404" s="275" t="s">
        <v>3825</v>
      </c>
      <c r="C404" s="25">
        <v>405</v>
      </c>
      <c r="D404" s="25">
        <v>5</v>
      </c>
      <c r="E404" s="276">
        <v>43825</v>
      </c>
      <c r="F404" s="115" t="str">
        <f>HYPERLINK("https://tirto.id/gerhana-matahari-2019-warga-aceh-saksikan-perdana-fenomena-ini-eo4h ","sumber")</f>
        <v>sumber</v>
      </c>
      <c r="G404" s="228" t="s">
        <v>1</v>
      </c>
      <c r="H404" s="171">
        <v>390</v>
      </c>
      <c r="I404" s="25">
        <v>5</v>
      </c>
      <c r="J404" s="25">
        <v>5</v>
      </c>
      <c r="K404" s="124"/>
      <c r="L404" s="26"/>
      <c r="M404" s="26"/>
      <c r="N404" s="26"/>
      <c r="O404" s="26"/>
      <c r="P404" s="26"/>
      <c r="Q404" s="26"/>
      <c r="R404" s="26"/>
      <c r="S404" s="124"/>
      <c r="T404" s="26"/>
      <c r="U404" s="26"/>
      <c r="V404" s="26"/>
      <c r="W404" s="26"/>
      <c r="X404" s="26"/>
      <c r="Y404" s="26"/>
    </row>
    <row r="405" spans="1:25" ht="14.25" customHeight="1">
      <c r="A405" s="168">
        <v>1</v>
      </c>
      <c r="B405" s="273" t="s">
        <v>3826</v>
      </c>
      <c r="C405" s="22">
        <v>406</v>
      </c>
      <c r="D405" s="22">
        <v>9</v>
      </c>
      <c r="E405" s="274">
        <v>43829</v>
      </c>
      <c r="F405" s="121" t="str">
        <f>HYPERLINK("https://internasional.republika.co.id/berita/q3bpud459/iran-kutuk-serangan-udara-as-di-irak ","sumber")</f>
        <v>sumber</v>
      </c>
      <c r="G405" s="223" t="s">
        <v>1</v>
      </c>
      <c r="H405" s="250">
        <v>195</v>
      </c>
      <c r="I405" s="22">
        <v>1</v>
      </c>
      <c r="J405" s="22">
        <v>4</v>
      </c>
      <c r="K405" s="123" t="s">
        <v>3827</v>
      </c>
      <c r="L405" s="22">
        <v>0</v>
      </c>
      <c r="M405" s="147">
        <v>0</v>
      </c>
      <c r="N405" s="22">
        <v>0</v>
      </c>
      <c r="O405" s="22">
        <v>0</v>
      </c>
      <c r="P405" s="22">
        <v>0</v>
      </c>
      <c r="Q405" s="22">
        <v>0</v>
      </c>
      <c r="R405" s="22">
        <v>0</v>
      </c>
      <c r="S405" s="123"/>
      <c r="T405" s="22">
        <v>0</v>
      </c>
      <c r="U405" s="22">
        <v>0</v>
      </c>
      <c r="V405" s="22">
        <v>0</v>
      </c>
      <c r="W405" s="23"/>
      <c r="X405" s="23"/>
      <c r="Y405" s="23"/>
    </row>
    <row r="406" spans="1:25" ht="14.25" customHeight="1">
      <c r="A406" s="168">
        <v>1</v>
      </c>
      <c r="B406" s="273" t="s">
        <v>3828</v>
      </c>
      <c r="C406" s="22">
        <v>407</v>
      </c>
      <c r="D406" s="22">
        <v>3</v>
      </c>
      <c r="E406" s="274">
        <v>43830</v>
      </c>
      <c r="F406" s="121" t="str">
        <f>HYPERLINK("https://news.okezone.com/read/2019/12/31/18/2147925/pedemo-merangsek-masuk-kedubes-as-di-irak-terdengar-suara-tembakan ","sumber")</f>
        <v>sumber</v>
      </c>
      <c r="G406" s="223" t="s">
        <v>1</v>
      </c>
      <c r="H406" s="250">
        <v>264</v>
      </c>
      <c r="I406" s="22">
        <v>1</v>
      </c>
      <c r="J406" s="22">
        <v>4</v>
      </c>
      <c r="K406" s="123" t="s">
        <v>3829</v>
      </c>
      <c r="L406" s="22">
        <v>0</v>
      </c>
      <c r="M406" s="22">
        <v>-1</v>
      </c>
      <c r="N406" s="22">
        <v>0</v>
      </c>
      <c r="O406" s="22">
        <v>0</v>
      </c>
      <c r="P406" s="22">
        <v>0</v>
      </c>
      <c r="Q406" s="22">
        <v>0</v>
      </c>
      <c r="R406" s="22">
        <v>0</v>
      </c>
      <c r="S406" s="123"/>
      <c r="T406" s="22">
        <v>0</v>
      </c>
      <c r="U406" s="22">
        <v>0</v>
      </c>
      <c r="V406" s="22">
        <v>0</v>
      </c>
      <c r="W406" s="23"/>
      <c r="X406" s="23"/>
      <c r="Y406" s="23"/>
    </row>
    <row r="407" spans="1:25" ht="14.25" customHeight="1">
      <c r="A407" s="168">
        <v>1</v>
      </c>
      <c r="B407" s="273" t="s">
        <v>2684</v>
      </c>
      <c r="C407" s="22">
        <v>408</v>
      </c>
      <c r="D407" s="22">
        <v>10</v>
      </c>
      <c r="E407" s="274">
        <v>43741</v>
      </c>
      <c r="F407" s="121" t="str">
        <f>HYPERLINK("https://gaya.tempo.co/read/1255304/karakter-joker-mengidap-skizofrenia-waspadai-gejalanya ","sumber")</f>
        <v>sumber</v>
      </c>
      <c r="G407" s="223" t="s">
        <v>1</v>
      </c>
      <c r="H407" s="250">
        <v>211</v>
      </c>
      <c r="I407" s="22">
        <v>2</v>
      </c>
      <c r="J407" s="22">
        <v>2</v>
      </c>
      <c r="K407" s="123" t="s">
        <v>3830</v>
      </c>
      <c r="L407" s="22">
        <v>0</v>
      </c>
      <c r="M407" s="22">
        <v>0</v>
      </c>
      <c r="N407" s="22">
        <v>0</v>
      </c>
      <c r="O407" s="22">
        <v>0</v>
      </c>
      <c r="P407" s="22">
        <v>0</v>
      </c>
      <c r="Q407" s="240" t="s">
        <v>29</v>
      </c>
      <c r="R407" s="22" t="s">
        <v>29</v>
      </c>
      <c r="S407" s="123"/>
      <c r="T407" s="22">
        <v>0</v>
      </c>
      <c r="U407" s="22">
        <v>0</v>
      </c>
      <c r="V407" s="22">
        <v>0</v>
      </c>
      <c r="W407" s="23"/>
      <c r="X407" s="23"/>
      <c r="Y407" s="23"/>
    </row>
    <row r="408" spans="1:25" ht="14.25" customHeight="1">
      <c r="A408" s="171">
        <v>2</v>
      </c>
      <c r="B408" s="275" t="s">
        <v>3831</v>
      </c>
      <c r="C408" s="25">
        <v>409</v>
      </c>
      <c r="D408" s="25">
        <v>2</v>
      </c>
      <c r="E408" s="276">
        <v>43743</v>
      </c>
      <c r="F408" s="115" t="str">
        <f>HYPERLINK("https://www.cnnindonesia.com/olahraga/20191004143333-142-436762/kata-kata-sakti-messi-kunci-barcelona-bungkam-inter ","sumber")</f>
        <v>sumber</v>
      </c>
      <c r="G408" s="228" t="s">
        <v>1</v>
      </c>
      <c r="H408" s="171">
        <v>275</v>
      </c>
      <c r="I408" s="25">
        <v>5</v>
      </c>
      <c r="J408" s="25">
        <v>5</v>
      </c>
      <c r="K408" s="124"/>
      <c r="L408" s="26"/>
      <c r="M408" s="26"/>
      <c r="N408" s="26"/>
      <c r="O408" s="26"/>
      <c r="P408" s="26"/>
      <c r="Q408" s="26"/>
      <c r="R408" s="26"/>
      <c r="S408" s="124"/>
      <c r="T408" s="26"/>
      <c r="U408" s="26"/>
      <c r="V408" s="26"/>
      <c r="W408" s="26"/>
      <c r="X408" s="26"/>
      <c r="Y408" s="26"/>
    </row>
    <row r="409" spans="1:25" ht="14.25" customHeight="1">
      <c r="A409" s="168">
        <v>1</v>
      </c>
      <c r="B409" s="273" t="s">
        <v>3832</v>
      </c>
      <c r="C409" s="22">
        <v>410</v>
      </c>
      <c r="D409" s="22">
        <v>6</v>
      </c>
      <c r="E409" s="274">
        <v>43743</v>
      </c>
      <c r="F409" s="121" t="str">
        <f>HYPERLINK("https://www.kompas.com/tren/read/2019/10/05/173000365/bocah-12-tahun-dikurung-di-bekas-kandang-ayam-ini-saran-dokter-spesialis ","sumber")</f>
        <v>sumber</v>
      </c>
      <c r="G409" s="223" t="s">
        <v>1</v>
      </c>
      <c r="H409" s="250">
        <v>175</v>
      </c>
      <c r="I409" s="22">
        <v>1</v>
      </c>
      <c r="J409" s="22">
        <v>2</v>
      </c>
      <c r="K409" s="123" t="s">
        <v>3833</v>
      </c>
      <c r="L409" s="22">
        <v>0</v>
      </c>
      <c r="M409" s="22">
        <v>1</v>
      </c>
      <c r="N409" s="22">
        <v>0</v>
      </c>
      <c r="O409" s="22">
        <v>0</v>
      </c>
      <c r="P409" s="22">
        <v>0</v>
      </c>
      <c r="Q409" s="22">
        <v>0</v>
      </c>
      <c r="R409" s="22">
        <v>1</v>
      </c>
      <c r="S409" s="123" t="s">
        <v>3834</v>
      </c>
      <c r="T409" s="22">
        <v>2</v>
      </c>
      <c r="U409" s="22">
        <v>0</v>
      </c>
      <c r="V409" s="22">
        <v>0</v>
      </c>
      <c r="W409" s="23"/>
      <c r="X409" s="23"/>
      <c r="Y409" s="23"/>
    </row>
    <row r="410" spans="1:25" ht="14.25" customHeight="1">
      <c r="A410" s="168">
        <v>1</v>
      </c>
      <c r="B410" s="273" t="s">
        <v>885</v>
      </c>
      <c r="C410" s="22">
        <v>411</v>
      </c>
      <c r="D410" s="22">
        <v>3</v>
      </c>
      <c r="E410" s="274">
        <v>43743</v>
      </c>
      <c r="F410" s="121" t="str">
        <f>HYPERLINK("https://celebrity.okezone.com/read/2019/10/04/33/2113075/tindakan-ekstrem-penggemar-demi-dapat-perhatian-idola-termasuk-gangguan-kejiwaan ","sumber")</f>
        <v>sumber</v>
      </c>
      <c r="G410" s="223" t="s">
        <v>1</v>
      </c>
      <c r="H410" s="250">
        <v>495</v>
      </c>
      <c r="I410" s="22">
        <v>1</v>
      </c>
      <c r="J410" s="22">
        <v>2</v>
      </c>
      <c r="K410" s="123" t="s">
        <v>3835</v>
      </c>
      <c r="L410" s="22">
        <v>0</v>
      </c>
      <c r="M410" s="22">
        <v>1</v>
      </c>
      <c r="N410" s="22">
        <v>0</v>
      </c>
      <c r="O410" s="22">
        <v>0</v>
      </c>
      <c r="P410" s="22">
        <v>0</v>
      </c>
      <c r="Q410" s="22" t="s">
        <v>29</v>
      </c>
      <c r="R410" s="22" t="s">
        <v>29</v>
      </c>
      <c r="S410" s="123"/>
      <c r="T410" s="22">
        <v>0</v>
      </c>
      <c r="U410" s="22">
        <v>0</v>
      </c>
      <c r="V410" s="22">
        <v>1</v>
      </c>
      <c r="W410" s="23"/>
      <c r="X410" s="23"/>
      <c r="Y410" s="23"/>
    </row>
    <row r="411" spans="1:25" ht="14.25" customHeight="1">
      <c r="A411" s="171">
        <v>2</v>
      </c>
      <c r="B411" s="275" t="s">
        <v>3836</v>
      </c>
      <c r="C411" s="25">
        <v>412</v>
      </c>
      <c r="D411" s="25">
        <v>9</v>
      </c>
      <c r="E411" s="276">
        <v>43743</v>
      </c>
      <c r="F411" s="115" t="str">
        <f>HYPERLINK("https://republika.co.id/berita/pyvj139517000/ada-ancaman-pengguna-whatsapp-harus-perbarui-aplikasi ","sumber")</f>
        <v>sumber</v>
      </c>
      <c r="G411" s="228" t="s">
        <v>1</v>
      </c>
      <c r="H411" s="171">
        <v>286</v>
      </c>
      <c r="I411" s="25">
        <v>5</v>
      </c>
      <c r="J411" s="25">
        <v>5</v>
      </c>
      <c r="K411" s="116"/>
      <c r="L411" s="26"/>
      <c r="M411" s="26"/>
      <c r="N411" s="26"/>
      <c r="O411" s="26"/>
      <c r="P411" s="26"/>
      <c r="Q411" s="26"/>
      <c r="R411" s="26"/>
      <c r="S411" s="116"/>
      <c r="T411" s="26"/>
      <c r="U411" s="26"/>
      <c r="V411" s="26"/>
      <c r="W411" s="26"/>
      <c r="X411" s="26"/>
      <c r="Y411" s="26"/>
    </row>
    <row r="412" spans="1:25" ht="14.25" customHeight="1">
      <c r="A412" s="148">
        <v>1</v>
      </c>
      <c r="B412" s="202" t="s">
        <v>3837</v>
      </c>
      <c r="C412" s="33">
        <v>413</v>
      </c>
      <c r="D412" s="33">
        <v>10</v>
      </c>
      <c r="E412" s="277">
        <v>43743</v>
      </c>
      <c r="F412" s="130" t="str">
        <f>HYPERLINK("https://difabel.tempo.co/read/1256099/tips-mendidik-anak-dengan-multi-disabilitas","sumber")</f>
        <v>sumber</v>
      </c>
      <c r="G412" s="231" t="s">
        <v>1</v>
      </c>
      <c r="H412" s="278">
        <v>344</v>
      </c>
      <c r="I412" s="33">
        <v>2</v>
      </c>
      <c r="J412" s="33">
        <v>2</v>
      </c>
      <c r="K412" s="131" t="s">
        <v>3838</v>
      </c>
      <c r="L412" s="33">
        <v>0</v>
      </c>
      <c r="M412" s="33">
        <v>0</v>
      </c>
      <c r="N412" s="33">
        <v>0</v>
      </c>
      <c r="O412" s="33">
        <v>0</v>
      </c>
      <c r="P412" s="33">
        <v>0</v>
      </c>
      <c r="Q412" s="33" t="s">
        <v>29</v>
      </c>
      <c r="R412" s="33" t="s">
        <v>29</v>
      </c>
      <c r="S412" s="131"/>
      <c r="T412" s="33">
        <v>0</v>
      </c>
      <c r="U412" s="33">
        <v>0</v>
      </c>
      <c r="V412" s="33">
        <v>0</v>
      </c>
      <c r="W412" s="24"/>
      <c r="X412" s="24"/>
      <c r="Y412" s="24"/>
    </row>
    <row r="413" spans="1:25" ht="14.25" customHeight="1">
      <c r="A413" s="168">
        <v>1</v>
      </c>
      <c r="B413" s="273" t="s">
        <v>3839</v>
      </c>
      <c r="C413" s="22">
        <v>414</v>
      </c>
      <c r="D413" s="22">
        <v>6</v>
      </c>
      <c r="E413" s="274">
        <v>43744</v>
      </c>
      <c r="F413" s="121" t="str">
        <f>HYPERLINK("https://sains.kompas.com/read/2019/10/06/190600523/ahli-temukan-otot-tangan-mirip-kadal-pada-janin-di-rahim-apa-artinya- ","sumber")</f>
        <v>sumber</v>
      </c>
      <c r="G413" s="223" t="s">
        <v>1</v>
      </c>
      <c r="H413" s="250">
        <v>261</v>
      </c>
      <c r="I413" s="22">
        <v>2</v>
      </c>
      <c r="J413" s="22">
        <v>2</v>
      </c>
      <c r="K413" s="123" t="s">
        <v>3840</v>
      </c>
      <c r="L413" s="22">
        <v>0</v>
      </c>
      <c r="M413" s="22">
        <v>0</v>
      </c>
      <c r="N413" s="22">
        <v>0</v>
      </c>
      <c r="O413" s="22">
        <v>0</v>
      </c>
      <c r="P413" s="22">
        <v>0</v>
      </c>
      <c r="Q413" s="123" t="s">
        <v>21</v>
      </c>
      <c r="R413" s="22" t="s">
        <v>99</v>
      </c>
      <c r="S413" s="123"/>
      <c r="T413" s="22">
        <v>0</v>
      </c>
      <c r="U413" s="22">
        <v>0</v>
      </c>
      <c r="V413" s="22">
        <v>0</v>
      </c>
      <c r="W413" s="23"/>
      <c r="X413" s="23"/>
      <c r="Y413" s="23"/>
    </row>
    <row r="414" spans="1:25" ht="14.25" customHeight="1">
      <c r="A414" s="171">
        <v>2</v>
      </c>
      <c r="B414" s="275" t="s">
        <v>3841</v>
      </c>
      <c r="C414" s="25">
        <v>415</v>
      </c>
      <c r="D414" s="25">
        <v>5</v>
      </c>
      <c r="E414" s="276">
        <v>43744</v>
      </c>
      <c r="F414" s="115" t="str">
        <f>HYPERLINK("https://tirto.id/koalisi-save-kpk-ada-yang-salah-dengan-hati-presiden-ejjb ","sumber")</f>
        <v>sumber</v>
      </c>
      <c r="G414" s="228" t="s">
        <v>1</v>
      </c>
      <c r="H414" s="171">
        <v>591</v>
      </c>
      <c r="I414" s="25">
        <v>2</v>
      </c>
      <c r="J414" s="25">
        <v>2</v>
      </c>
      <c r="K414" s="124"/>
      <c r="L414" s="26"/>
      <c r="M414" s="26"/>
      <c r="N414" s="26"/>
      <c r="O414" s="26"/>
      <c r="P414" s="26"/>
      <c r="Q414" s="26"/>
      <c r="R414" s="26"/>
      <c r="S414" s="124"/>
      <c r="T414" s="26"/>
      <c r="U414" s="26"/>
      <c r="V414" s="26"/>
      <c r="W414" s="26"/>
      <c r="X414" s="26"/>
      <c r="Y414" s="26"/>
    </row>
    <row r="415" spans="1:25" ht="14.25" customHeight="1">
      <c r="A415" s="171">
        <v>2</v>
      </c>
      <c r="B415" s="275" t="s">
        <v>1798</v>
      </c>
      <c r="C415" s="25">
        <v>416</v>
      </c>
      <c r="D415" s="25">
        <v>1</v>
      </c>
      <c r="E415" s="276">
        <v>43745</v>
      </c>
      <c r="F415" s="115" t="str">
        <f>HYPERLINK("https://hot.detik.com/movie/d-4736974/joker-terinspirasi-dari-film-ini ","sumber")</f>
        <v>sumber</v>
      </c>
      <c r="G415" s="228" t="s">
        <v>1</v>
      </c>
      <c r="H415" s="171">
        <v>488</v>
      </c>
      <c r="I415" s="25">
        <v>5</v>
      </c>
      <c r="J415" s="25">
        <v>2</v>
      </c>
      <c r="K415" s="116"/>
      <c r="L415" s="26"/>
      <c r="M415" s="26"/>
      <c r="N415" s="26"/>
      <c r="O415" s="26"/>
      <c r="P415" s="26"/>
      <c r="Q415" s="26"/>
      <c r="R415" s="26"/>
      <c r="S415" s="124"/>
      <c r="T415" s="26"/>
      <c r="U415" s="26"/>
      <c r="V415" s="26"/>
      <c r="W415" s="26"/>
      <c r="X415" s="26"/>
      <c r="Y415" s="26"/>
    </row>
    <row r="416" spans="1:25" ht="14.25" customHeight="1">
      <c r="A416" s="171">
        <v>2</v>
      </c>
      <c r="B416" s="275" t="s">
        <v>3842</v>
      </c>
      <c r="C416" s="25">
        <v>417</v>
      </c>
      <c r="D416" s="25">
        <v>4</v>
      </c>
      <c r="E416" s="276">
        <v>43745</v>
      </c>
      <c r="F416" s="115" t="str">
        <f>HYPERLINK("https://www.liputan6.com/showbiz/read/4080117/tayang-senin-pagi-ini-sinopsis-ftv-sctv-anak-magang-bikin-sayang ","sumber")</f>
        <v>sumber</v>
      </c>
      <c r="G416" s="228" t="s">
        <v>1</v>
      </c>
      <c r="H416" s="171">
        <v>545</v>
      </c>
      <c r="I416" s="25">
        <v>5</v>
      </c>
      <c r="J416" s="25">
        <v>2</v>
      </c>
      <c r="K416" s="124"/>
      <c r="L416" s="26"/>
      <c r="M416" s="26"/>
      <c r="N416" s="26"/>
      <c r="O416" s="26"/>
      <c r="P416" s="26"/>
      <c r="Q416" s="26"/>
      <c r="R416" s="26"/>
      <c r="S416" s="124"/>
      <c r="T416" s="26"/>
      <c r="U416" s="26"/>
      <c r="V416" s="26"/>
      <c r="W416" s="26"/>
      <c r="X416" s="26"/>
      <c r="Y416" s="26"/>
    </row>
    <row r="417" spans="1:25" ht="14.25" customHeight="1">
      <c r="A417" s="168">
        <v>1</v>
      </c>
      <c r="B417" s="273" t="s">
        <v>3843</v>
      </c>
      <c r="C417" s="22">
        <v>418</v>
      </c>
      <c r="D417" s="22">
        <v>3</v>
      </c>
      <c r="E417" s="274">
        <v>43745</v>
      </c>
      <c r="F417" s="121" t="str">
        <f>HYPERLINK("https://lifestyle.okezone.com/read/2019/10/07/481/2113936/banyak-pasien-gangguan-jiwa-bunuh-diri-meski-sudah-terapi-kenapa ","sumber")</f>
        <v>sumber</v>
      </c>
      <c r="G417" s="223" t="s">
        <v>1</v>
      </c>
      <c r="H417" s="214" t="s">
        <v>3844</v>
      </c>
      <c r="I417" s="22">
        <v>2</v>
      </c>
      <c r="J417" s="22">
        <v>2</v>
      </c>
      <c r="K417" s="123" t="s">
        <v>3845</v>
      </c>
      <c r="L417" s="22">
        <v>0</v>
      </c>
      <c r="M417" s="22">
        <v>0</v>
      </c>
      <c r="N417" s="22">
        <v>0</v>
      </c>
      <c r="O417" s="22">
        <v>0</v>
      </c>
      <c r="P417" s="22">
        <v>0</v>
      </c>
      <c r="Q417" s="240" t="s">
        <v>21</v>
      </c>
      <c r="R417" s="22" t="s">
        <v>106</v>
      </c>
      <c r="S417" s="123"/>
      <c r="T417" s="22">
        <v>0</v>
      </c>
      <c r="U417" s="22">
        <v>0</v>
      </c>
      <c r="V417" s="22">
        <v>1</v>
      </c>
      <c r="W417" s="23"/>
      <c r="X417" s="23"/>
      <c r="Y417" s="23"/>
    </row>
    <row r="418" spans="1:25" ht="14.25" customHeight="1">
      <c r="A418" s="168">
        <v>1</v>
      </c>
      <c r="B418" s="273" t="s">
        <v>3846</v>
      </c>
      <c r="C418" s="22">
        <v>419</v>
      </c>
      <c r="D418" s="22">
        <v>3</v>
      </c>
      <c r="E418" s="274">
        <v>43747</v>
      </c>
      <c r="F418" s="121" t="str">
        <f>HYPERLINK("https://news.okezone.com/read/2019/10/09/609/2114906/diduga-gangguan-jiwa-napi-tewas-gantung-diri-pakai-sarung-di-lapas ","sumber")</f>
        <v>sumber</v>
      </c>
      <c r="G418" s="223" t="s">
        <v>1</v>
      </c>
      <c r="H418" s="250">
        <v>174</v>
      </c>
      <c r="I418" s="22">
        <v>1</v>
      </c>
      <c r="J418" s="22">
        <v>2</v>
      </c>
      <c r="K418" s="123" t="s">
        <v>3847</v>
      </c>
      <c r="L418" s="22">
        <v>0</v>
      </c>
      <c r="M418" s="147">
        <v>0</v>
      </c>
      <c r="N418" s="22">
        <v>0</v>
      </c>
      <c r="O418" s="22">
        <v>0</v>
      </c>
      <c r="P418" s="22">
        <v>0</v>
      </c>
      <c r="Q418" s="22" t="s">
        <v>29</v>
      </c>
      <c r="R418" s="22" t="s">
        <v>29</v>
      </c>
      <c r="S418" s="123"/>
      <c r="T418" s="22">
        <v>0</v>
      </c>
      <c r="U418" s="22">
        <v>0</v>
      </c>
      <c r="V418" s="22">
        <v>0</v>
      </c>
      <c r="W418" s="23"/>
      <c r="X418" s="23"/>
      <c r="Y418" s="23"/>
    </row>
    <row r="419" spans="1:25" ht="14.25" customHeight="1">
      <c r="A419" s="148">
        <v>1</v>
      </c>
      <c r="B419" s="202" t="s">
        <v>3848</v>
      </c>
      <c r="C419" s="33">
        <v>420</v>
      </c>
      <c r="D419" s="33">
        <v>1</v>
      </c>
      <c r="E419" s="277">
        <v>43748</v>
      </c>
      <c r="F419" s="130" t="str">
        <f>HYPERLINK("https://news.detik.com/berita/d-4740260/ylbhi-dan-pemerhati-odgj-somasi-dirut-bpjs-kesehatan-terkait-postingan-joker","sumber")</f>
        <v>sumber</v>
      </c>
      <c r="G419" s="231" t="s">
        <v>1</v>
      </c>
      <c r="H419" s="278">
        <v>375</v>
      </c>
      <c r="I419" s="33">
        <v>1</v>
      </c>
      <c r="J419" s="33">
        <v>3</v>
      </c>
      <c r="K419" s="131" t="s">
        <v>3849</v>
      </c>
      <c r="L419" s="33">
        <v>0</v>
      </c>
      <c r="M419" s="33">
        <v>1</v>
      </c>
      <c r="N419" s="33">
        <v>0</v>
      </c>
      <c r="O419" s="33">
        <v>0</v>
      </c>
      <c r="P419" s="33">
        <v>0</v>
      </c>
      <c r="Q419" s="33">
        <v>0</v>
      </c>
      <c r="R419" s="33">
        <v>1</v>
      </c>
      <c r="S419" s="131"/>
      <c r="T419" s="33">
        <v>0</v>
      </c>
      <c r="U419" s="33">
        <v>0</v>
      </c>
      <c r="V419" s="33">
        <v>0</v>
      </c>
      <c r="W419" s="24"/>
      <c r="X419" s="24"/>
      <c r="Y419" s="24"/>
    </row>
    <row r="420" spans="1:25" ht="14.25" customHeight="1">
      <c r="A420" s="168">
        <v>1</v>
      </c>
      <c r="B420" s="273" t="s">
        <v>3850</v>
      </c>
      <c r="C420" s="22">
        <v>421</v>
      </c>
      <c r="D420" s="22">
        <v>5</v>
      </c>
      <c r="E420" s="274">
        <v>43787</v>
      </c>
      <c r="F420" s="121" t="str">
        <f>HYPERLINK("https://tirto.id/persyaratan-cpns-bawaslu-2019-dokumen-pendukung-alur-pendaftaran-elUm ","sumber")</f>
        <v>sumber</v>
      </c>
      <c r="G420" s="223" t="s">
        <v>1</v>
      </c>
      <c r="H420" s="250">
        <v>1157</v>
      </c>
      <c r="I420" s="22">
        <v>4</v>
      </c>
      <c r="J420" s="22">
        <v>2</v>
      </c>
      <c r="K420" s="123" t="s">
        <v>3851</v>
      </c>
      <c r="L420" s="22">
        <v>0</v>
      </c>
      <c r="M420" s="22">
        <v>0</v>
      </c>
      <c r="N420" s="22">
        <v>0</v>
      </c>
      <c r="O420" s="22">
        <v>0</v>
      </c>
      <c r="P420" s="22">
        <v>0</v>
      </c>
      <c r="Q420" s="22">
        <v>0</v>
      </c>
      <c r="R420" s="22">
        <v>0</v>
      </c>
      <c r="S420" s="123"/>
      <c r="T420" s="22">
        <v>0</v>
      </c>
      <c r="U420" s="22">
        <v>0</v>
      </c>
      <c r="V420" s="22">
        <v>0</v>
      </c>
      <c r="W420" s="23"/>
      <c r="X420" s="23"/>
      <c r="Y420" s="23"/>
    </row>
    <row r="421" spans="1:25" ht="14.25" customHeight="1">
      <c r="A421" s="168">
        <v>1</v>
      </c>
      <c r="B421" s="273" t="s">
        <v>3852</v>
      </c>
      <c r="C421" s="22">
        <v>422</v>
      </c>
      <c r="D421" s="22">
        <v>6</v>
      </c>
      <c r="E421" s="274">
        <v>43788</v>
      </c>
      <c r="F421" s="121" t="str">
        <f>HYPERLINK("https://regional.kompas.com/read/2019/11/19/16064281/remaja-tewas-terkubur-di-pekarangan-rumah-ibu-korban-jalani-observasi ","sumber")</f>
        <v>sumber</v>
      </c>
      <c r="G421" s="223" t="s">
        <v>1</v>
      </c>
      <c r="H421" s="250">
        <v>201</v>
      </c>
      <c r="I421" s="22">
        <v>1</v>
      </c>
      <c r="J421" s="22">
        <v>2</v>
      </c>
      <c r="K421" s="123" t="s">
        <v>3853</v>
      </c>
      <c r="L421" s="22">
        <v>0</v>
      </c>
      <c r="M421" s="22">
        <v>-1</v>
      </c>
      <c r="N421" s="22">
        <v>0</v>
      </c>
      <c r="O421" s="22">
        <v>0</v>
      </c>
      <c r="P421" s="22">
        <v>0</v>
      </c>
      <c r="Q421" s="22">
        <v>0</v>
      </c>
      <c r="R421" s="22">
        <v>0</v>
      </c>
      <c r="S421" s="123"/>
      <c r="T421" s="22">
        <v>0</v>
      </c>
      <c r="U421" s="22">
        <v>0</v>
      </c>
      <c r="V421" s="22">
        <v>0</v>
      </c>
      <c r="W421" s="23"/>
      <c r="X421" s="23"/>
      <c r="Y421" s="23"/>
    </row>
    <row r="422" spans="1:25" ht="14.25" customHeight="1">
      <c r="A422" s="168">
        <v>1</v>
      </c>
      <c r="B422" s="273" t="s">
        <v>3854</v>
      </c>
      <c r="C422" s="22">
        <v>423</v>
      </c>
      <c r="D422" s="22">
        <v>5</v>
      </c>
      <c r="E422" s="274">
        <v>43788</v>
      </c>
      <c r="F422" s="121" t="str">
        <f>HYPERLINK("https://tirto.id/pendaftaran-cpns-kementerian-ketenagakerjaan-ditutup-25-november-elXA ","sumber")</f>
        <v>sumber</v>
      </c>
      <c r="G422" s="223" t="s">
        <v>1</v>
      </c>
      <c r="H422" s="250">
        <v>301</v>
      </c>
      <c r="I422" s="22">
        <v>4</v>
      </c>
      <c r="J422" s="22">
        <v>2</v>
      </c>
      <c r="K422" s="123" t="s">
        <v>3855</v>
      </c>
      <c r="L422" s="22">
        <v>0</v>
      </c>
      <c r="M422" s="22">
        <v>0</v>
      </c>
      <c r="N422" s="22">
        <v>0</v>
      </c>
      <c r="O422" s="22">
        <v>0</v>
      </c>
      <c r="P422" s="22">
        <v>0</v>
      </c>
      <c r="Q422" s="22" t="s">
        <v>29</v>
      </c>
      <c r="R422" s="22" t="s">
        <v>29</v>
      </c>
      <c r="S422" s="123"/>
      <c r="T422" s="22">
        <v>0</v>
      </c>
      <c r="U422" s="22">
        <v>0</v>
      </c>
      <c r="V422" s="22">
        <v>0</v>
      </c>
      <c r="W422" s="23"/>
      <c r="X422" s="23"/>
      <c r="Y422" s="23"/>
    </row>
    <row r="423" spans="1:25" ht="14.25" customHeight="1">
      <c r="A423" s="168">
        <v>1</v>
      </c>
      <c r="B423" s="273" t="s">
        <v>2700</v>
      </c>
      <c r="C423" s="22">
        <v>424</v>
      </c>
      <c r="D423" s="22">
        <v>6</v>
      </c>
      <c r="E423" s="274">
        <v>43789</v>
      </c>
      <c r="F423" s="121" t="str">
        <f>HYPERLINK("https://megapolitan.kompas.com/read/2019/11/20/15070011/pengemudi-ojek-hingga-tukang-pijat-9-orang-ini-buktikan-siapa-saja-bisa ","sumber")</f>
        <v>sumber</v>
      </c>
      <c r="G423" s="223" t="s">
        <v>1</v>
      </c>
      <c r="H423" s="250">
        <v>1631</v>
      </c>
      <c r="I423" s="22">
        <v>3</v>
      </c>
      <c r="J423" s="22">
        <v>2</v>
      </c>
      <c r="K423" s="123" t="s">
        <v>3856</v>
      </c>
      <c r="L423" s="22">
        <v>0</v>
      </c>
      <c r="M423" s="22">
        <v>0</v>
      </c>
      <c r="N423" s="22">
        <v>0</v>
      </c>
      <c r="O423" s="22">
        <v>0</v>
      </c>
      <c r="P423" s="22">
        <v>0</v>
      </c>
      <c r="Q423" s="123" t="s">
        <v>3857</v>
      </c>
      <c r="R423" s="22" t="s">
        <v>2817</v>
      </c>
      <c r="S423" s="123"/>
      <c r="T423" s="22">
        <v>0</v>
      </c>
      <c r="U423" s="22">
        <v>0</v>
      </c>
      <c r="V423" s="22">
        <v>0</v>
      </c>
      <c r="W423" s="23"/>
      <c r="X423" s="23"/>
      <c r="Y423" s="23"/>
    </row>
    <row r="424" spans="1:25" ht="14.25" customHeight="1">
      <c r="A424" s="168">
        <v>1</v>
      </c>
      <c r="B424" s="273" t="s">
        <v>906</v>
      </c>
      <c r="C424" s="22">
        <v>425</v>
      </c>
      <c r="D424" s="22">
        <v>9</v>
      </c>
      <c r="E424" s="274">
        <v>43789</v>
      </c>
      <c r="F424" s="121" t="str">
        <f>HYPERLINK("https://republika.co.id/berita/q1989n335/uns-jalin-kerjasama-dengan-npc-indonesia ","sumber")</f>
        <v>sumber</v>
      </c>
      <c r="G424" s="223" t="s">
        <v>1</v>
      </c>
      <c r="H424" s="250">
        <v>297</v>
      </c>
      <c r="I424" s="22">
        <v>3</v>
      </c>
      <c r="J424" s="22">
        <v>2</v>
      </c>
      <c r="K424" s="123" t="s">
        <v>3858</v>
      </c>
      <c r="L424" s="22">
        <v>0</v>
      </c>
      <c r="M424" s="22">
        <v>0</v>
      </c>
      <c r="N424" s="22">
        <v>0</v>
      </c>
      <c r="O424" s="22">
        <v>0</v>
      </c>
      <c r="P424" s="22">
        <v>0</v>
      </c>
      <c r="Q424" s="22" t="s">
        <v>182</v>
      </c>
      <c r="R424" s="22" t="s">
        <v>160</v>
      </c>
      <c r="S424" s="123"/>
      <c r="T424" s="22">
        <v>0</v>
      </c>
      <c r="U424" s="22">
        <v>0</v>
      </c>
      <c r="V424" s="22">
        <v>0</v>
      </c>
      <c r="W424" s="23"/>
      <c r="X424" s="23"/>
      <c r="Y424" s="23"/>
    </row>
    <row r="425" spans="1:25" ht="14.25" customHeight="1">
      <c r="A425" s="168">
        <v>1</v>
      </c>
      <c r="B425" s="273" t="s">
        <v>3859</v>
      </c>
      <c r="C425" s="22">
        <v>426</v>
      </c>
      <c r="D425" s="22">
        <v>1</v>
      </c>
      <c r="E425" s="274">
        <v>43790</v>
      </c>
      <c r="F425" s="121" t="str">
        <f>HYPERLINK("https://health.detik.com/berita-detikhealth/d-4792539/tak-perlu-malu-punya-anak-autis-ini-pesan-dian-sastrowardoyo ","sumber")</f>
        <v>sumber</v>
      </c>
      <c r="G425" s="223" t="s">
        <v>1</v>
      </c>
      <c r="H425" s="250">
        <v>277</v>
      </c>
      <c r="I425" s="22">
        <v>2</v>
      </c>
      <c r="J425" s="22">
        <v>2</v>
      </c>
      <c r="K425" s="123" t="s">
        <v>3860</v>
      </c>
      <c r="L425" s="22">
        <v>0</v>
      </c>
      <c r="M425" s="22">
        <v>0</v>
      </c>
      <c r="N425" s="22">
        <v>0</v>
      </c>
      <c r="O425" s="22">
        <v>0</v>
      </c>
      <c r="P425" s="22">
        <v>0</v>
      </c>
      <c r="Q425" s="22">
        <v>0</v>
      </c>
      <c r="R425" s="22">
        <v>1</v>
      </c>
      <c r="S425" s="123"/>
      <c r="T425" s="22">
        <v>0</v>
      </c>
      <c r="U425" s="22">
        <v>0</v>
      </c>
      <c r="V425" s="22">
        <v>1</v>
      </c>
      <c r="W425" s="23"/>
      <c r="X425" s="23"/>
      <c r="Y425" s="23"/>
    </row>
    <row r="426" spans="1:25" ht="14.25" customHeight="1">
      <c r="A426" s="168">
        <v>1</v>
      </c>
      <c r="B426" s="273" t="s">
        <v>3861</v>
      </c>
      <c r="C426" s="22">
        <v>427</v>
      </c>
      <c r="D426" s="22">
        <v>10</v>
      </c>
      <c r="E426" s="274">
        <v>43792</v>
      </c>
      <c r="F426" s="121" t="str">
        <f>HYPERLINK("https://nasional.tempo.co/read/1275605/amnesty-international-protes-syarat-cpns-berikut-alasannya ","sumber")</f>
        <v>sumber</v>
      </c>
      <c r="G426" s="223" t="s">
        <v>1</v>
      </c>
      <c r="H426" s="250">
        <v>289</v>
      </c>
      <c r="I426" s="22">
        <v>4</v>
      </c>
      <c r="J426" s="22">
        <v>2</v>
      </c>
      <c r="K426" s="123" t="s">
        <v>3862</v>
      </c>
      <c r="L426" s="22">
        <v>0</v>
      </c>
      <c r="M426" s="22">
        <v>0</v>
      </c>
      <c r="N426" s="22">
        <v>0</v>
      </c>
      <c r="O426" s="22">
        <v>0</v>
      </c>
      <c r="P426" s="22">
        <v>0</v>
      </c>
      <c r="Q426" s="22">
        <v>1</v>
      </c>
      <c r="R426" s="22">
        <v>1</v>
      </c>
      <c r="S426" s="123"/>
      <c r="T426" s="22">
        <v>0</v>
      </c>
      <c r="U426" s="22">
        <v>0</v>
      </c>
      <c r="V426" s="22">
        <v>0</v>
      </c>
      <c r="W426" s="23"/>
      <c r="X426" s="23"/>
      <c r="Y426" s="23"/>
    </row>
    <row r="427" spans="1:25" ht="14.25" customHeight="1">
      <c r="A427" s="171">
        <v>2</v>
      </c>
      <c r="B427" s="275" t="s">
        <v>3863</v>
      </c>
      <c r="C427" s="25">
        <v>428</v>
      </c>
      <c r="D427" s="25">
        <v>1</v>
      </c>
      <c r="E427" s="276">
        <v>43793</v>
      </c>
      <c r="F427" s="115" t="str">
        <f>HYPERLINK("https://hot.detik.com/culture/d-4796459/cerita-budayawan-ini-saat-deputi-anies-bentak-bentak ","sumber")</f>
        <v>sumber</v>
      </c>
      <c r="G427" s="228" t="s">
        <v>1</v>
      </c>
      <c r="H427" s="171">
        <v>1995</v>
      </c>
      <c r="I427" s="25">
        <v>1</v>
      </c>
      <c r="J427" s="25">
        <v>5</v>
      </c>
      <c r="K427" s="116"/>
      <c r="L427" s="26"/>
      <c r="M427" s="26"/>
      <c r="N427" s="26"/>
      <c r="O427" s="26"/>
      <c r="P427" s="26"/>
      <c r="Q427" s="26"/>
      <c r="R427" s="26"/>
      <c r="S427" s="124"/>
      <c r="T427" s="26"/>
      <c r="U427" s="26"/>
      <c r="V427" s="26"/>
      <c r="W427" s="26"/>
      <c r="X427" s="26"/>
      <c r="Y427" s="26"/>
    </row>
    <row r="428" spans="1:25" ht="14.25" customHeight="1">
      <c r="A428" s="171">
        <v>2</v>
      </c>
      <c r="B428" s="275" t="s">
        <v>3864</v>
      </c>
      <c r="C428" s="25">
        <v>429</v>
      </c>
      <c r="D428" s="25">
        <v>7</v>
      </c>
      <c r="E428" s="276">
        <v>43793</v>
      </c>
      <c r="F428" s="115" t="str">
        <f>HYPERLINK("https://www.tribunnews.com/seleb/2019/11/24/ashanty-tanggapi-kabar-penyakitnya-yang-dikaitkan-dengan-hal-mistis ","sumber")</f>
        <v>sumber</v>
      </c>
      <c r="G428" s="228" t="s">
        <v>1</v>
      </c>
      <c r="H428" s="171">
        <v>109</v>
      </c>
      <c r="I428" s="25">
        <v>2</v>
      </c>
      <c r="J428" s="25">
        <v>2</v>
      </c>
      <c r="K428" s="124"/>
      <c r="L428" s="26"/>
      <c r="M428" s="26"/>
      <c r="N428" s="26"/>
      <c r="O428" s="26"/>
      <c r="P428" s="26"/>
      <c r="Q428" s="26"/>
      <c r="R428" s="26"/>
      <c r="S428" s="124"/>
      <c r="T428" s="26"/>
      <c r="U428" s="26"/>
      <c r="V428" s="26"/>
      <c r="W428" s="26"/>
      <c r="X428" s="26"/>
      <c r="Y428" s="26"/>
    </row>
    <row r="429" spans="1:25" ht="14.25" customHeight="1">
      <c r="A429" s="148">
        <v>1</v>
      </c>
      <c r="B429" s="202" t="s">
        <v>3865</v>
      </c>
      <c r="C429" s="33">
        <v>430</v>
      </c>
      <c r="D429" s="33">
        <v>10</v>
      </c>
      <c r="E429" s="277">
        <v>43819</v>
      </c>
      <c r="F429" s="130" t="str">
        <f>HYPERLINK("https://sport.tempo.co/read/1286022/asean-para-games-2020-angkat-berat-berharap-emas-pada-putri","sumber")</f>
        <v>sumber</v>
      </c>
      <c r="G429" s="231" t="s">
        <v>1</v>
      </c>
      <c r="H429" s="278">
        <v>239</v>
      </c>
      <c r="I429" s="33">
        <v>3</v>
      </c>
      <c r="J429" s="33">
        <v>2</v>
      </c>
      <c r="K429" s="131" t="s">
        <v>3866</v>
      </c>
      <c r="L429" s="33">
        <v>0</v>
      </c>
      <c r="M429" s="33">
        <v>0</v>
      </c>
      <c r="N429" s="33">
        <v>0</v>
      </c>
      <c r="O429" s="33">
        <v>0</v>
      </c>
      <c r="P429" s="33">
        <v>0</v>
      </c>
      <c r="Q429" s="33" t="s">
        <v>29</v>
      </c>
      <c r="R429" s="33" t="s">
        <v>160</v>
      </c>
      <c r="S429" s="131"/>
      <c r="T429" s="33">
        <v>0</v>
      </c>
      <c r="U429" s="33">
        <v>0</v>
      </c>
      <c r="V429" s="33">
        <v>0</v>
      </c>
      <c r="W429" s="24"/>
      <c r="X429" s="24"/>
      <c r="Y429" s="24"/>
    </row>
    <row r="430" spans="1:25" ht="14.25" customHeight="1">
      <c r="A430" s="171">
        <v>2</v>
      </c>
      <c r="B430" s="275" t="s">
        <v>3867</v>
      </c>
      <c r="C430" s="25">
        <v>431</v>
      </c>
      <c r="D430" s="25">
        <v>1</v>
      </c>
      <c r="E430" s="276">
        <v>43815</v>
      </c>
      <c r="F430" s="115" t="str">
        <f>HYPERLINK("https://hot.detik.com/art/d-4824356/seniman-perempuan-irak-bangkit-bikin-mural-di-tembok-baghdad ","sumber")</f>
        <v>sumber</v>
      </c>
      <c r="G430" s="228" t="s">
        <v>1</v>
      </c>
      <c r="H430" s="171">
        <v>1883</v>
      </c>
      <c r="I430" s="25">
        <v>5</v>
      </c>
      <c r="J430" s="25">
        <v>5</v>
      </c>
      <c r="K430" s="124"/>
      <c r="L430" s="26"/>
      <c r="M430" s="26"/>
      <c r="N430" s="26"/>
      <c r="O430" s="26"/>
      <c r="P430" s="26"/>
      <c r="Q430" s="26"/>
      <c r="R430" s="26"/>
      <c r="S430" s="124"/>
      <c r="T430" s="26"/>
      <c r="U430" s="26"/>
      <c r="V430" s="26"/>
      <c r="W430" s="26"/>
      <c r="X430" s="26"/>
      <c r="Y430" s="26"/>
    </row>
    <row r="431" spans="1:25" ht="14.25" customHeight="1">
      <c r="A431" s="168">
        <v>1</v>
      </c>
      <c r="B431" s="273" t="s">
        <v>3868</v>
      </c>
      <c r="C431" s="22">
        <v>432</v>
      </c>
      <c r="D431" s="22">
        <v>4</v>
      </c>
      <c r="E431" s="274">
        <v>43815</v>
      </c>
      <c r="F431" s="121" t="str">
        <f>HYPERLINK("https://www.liputan6.com/bisnis/read/4135022/pemerintah-dorong-produk-lokal-penuhi-rest-area-jalan-tol ","sumber")</f>
        <v>sumber</v>
      </c>
      <c r="G431" s="223" t="s">
        <v>1</v>
      </c>
      <c r="H431" s="250">
        <v>520</v>
      </c>
      <c r="I431" s="22">
        <v>4</v>
      </c>
      <c r="J431" s="22">
        <v>2</v>
      </c>
      <c r="K431" s="123" t="s">
        <v>3869</v>
      </c>
      <c r="L431" s="22">
        <v>0</v>
      </c>
      <c r="M431" s="22">
        <v>0</v>
      </c>
      <c r="N431" s="22">
        <v>0</v>
      </c>
      <c r="O431" s="22">
        <v>0</v>
      </c>
      <c r="P431" s="22">
        <v>0</v>
      </c>
      <c r="Q431" s="22" t="s">
        <v>29</v>
      </c>
      <c r="R431" s="22" t="s">
        <v>182</v>
      </c>
      <c r="S431" s="123"/>
      <c r="T431" s="22">
        <v>0</v>
      </c>
      <c r="U431" s="22">
        <v>0</v>
      </c>
      <c r="V431" s="22">
        <v>0</v>
      </c>
      <c r="W431" s="23"/>
      <c r="X431" s="23"/>
      <c r="Y431" s="23"/>
    </row>
    <row r="432" spans="1:25" ht="14.25" customHeight="1">
      <c r="A432" s="168">
        <v>1</v>
      </c>
      <c r="B432" s="273" t="s">
        <v>3870</v>
      </c>
      <c r="C432" s="22">
        <v>433</v>
      </c>
      <c r="D432" s="22">
        <v>8</v>
      </c>
      <c r="E432" s="274">
        <v>43815</v>
      </c>
      <c r="F432" s="121" t="str">
        <f>HYPERLINK("https://www.suara.com/sport/2019/12/16/164951/thailand-diprediksi-jadi-lawan-kuat-indonesia-di-asean-para-games-2020 ","sumber")</f>
        <v>sumber</v>
      </c>
      <c r="G432" s="223" t="s">
        <v>1</v>
      </c>
      <c r="H432" s="250">
        <v>378</v>
      </c>
      <c r="I432" s="22">
        <v>3</v>
      </c>
      <c r="J432" s="22">
        <v>2</v>
      </c>
      <c r="K432" s="123" t="s">
        <v>3871</v>
      </c>
      <c r="L432" s="22">
        <v>0</v>
      </c>
      <c r="M432" s="22">
        <v>0</v>
      </c>
      <c r="N432" s="22">
        <v>0</v>
      </c>
      <c r="O432" s="22">
        <v>0</v>
      </c>
      <c r="P432" s="22">
        <v>0</v>
      </c>
      <c r="Q432" s="22">
        <v>1</v>
      </c>
      <c r="R432" s="22">
        <v>1</v>
      </c>
      <c r="S432" s="123"/>
      <c r="T432" s="22">
        <v>0</v>
      </c>
      <c r="U432" s="22">
        <v>0</v>
      </c>
      <c r="V432" s="22">
        <v>0</v>
      </c>
      <c r="W432" s="23"/>
      <c r="X432" s="23"/>
      <c r="Y432" s="23"/>
    </row>
    <row r="433" spans="1:25" ht="14.25" customHeight="1">
      <c r="A433" s="171">
        <v>2</v>
      </c>
      <c r="B433" s="275" t="s">
        <v>3872</v>
      </c>
      <c r="C433" s="25">
        <v>434</v>
      </c>
      <c r="D433" s="25">
        <v>9</v>
      </c>
      <c r="E433" s="276">
        <v>43816</v>
      </c>
      <c r="F433" s="115" t="str">
        <f>HYPERLINK("https://republika.co.id/berita/q2mu71370/amazon-larang-pedagangnya-untuk-gunakan-jasa-fedex ","sumber")</f>
        <v>sumber</v>
      </c>
      <c r="G433" s="228" t="s">
        <v>1</v>
      </c>
      <c r="H433" s="171">
        <v>468</v>
      </c>
      <c r="I433" s="25">
        <v>5</v>
      </c>
      <c r="J433" s="25">
        <v>5</v>
      </c>
      <c r="K433" s="124"/>
      <c r="L433" s="26"/>
      <c r="M433" s="26"/>
      <c r="N433" s="26"/>
      <c r="O433" s="26"/>
      <c r="P433" s="26"/>
      <c r="Q433" s="26"/>
      <c r="R433" s="26"/>
      <c r="S433" s="124"/>
      <c r="T433" s="26"/>
      <c r="U433" s="26"/>
      <c r="V433" s="26"/>
      <c r="W433" s="26"/>
      <c r="X433" s="26"/>
      <c r="Y433" s="26"/>
    </row>
    <row r="434" spans="1:25" ht="14.25" customHeight="1">
      <c r="A434" s="168">
        <v>1</v>
      </c>
      <c r="B434" s="273" t="s">
        <v>3873</v>
      </c>
      <c r="C434" s="22">
        <v>435</v>
      </c>
      <c r="D434" s="22">
        <v>5</v>
      </c>
      <c r="E434" s="274">
        <v>43816</v>
      </c>
      <c r="F434" s="121" t="str">
        <f>HYPERLINK("https://tirto.id/aturan-baru-zonasi-ppdb-2020-yang-ditetapkan-nadiem-makarim-enAD ","sumber")</f>
        <v>sumber</v>
      </c>
      <c r="G434" s="223" t="s">
        <v>1</v>
      </c>
      <c r="H434" s="250">
        <v>785</v>
      </c>
      <c r="I434" s="22">
        <v>4</v>
      </c>
      <c r="J434" s="22">
        <v>2</v>
      </c>
      <c r="K434" s="123" t="s">
        <v>3874</v>
      </c>
      <c r="L434" s="22">
        <v>0</v>
      </c>
      <c r="M434" s="22">
        <v>0</v>
      </c>
      <c r="N434" s="22">
        <v>0</v>
      </c>
      <c r="O434" s="22">
        <v>0</v>
      </c>
      <c r="P434" s="22">
        <v>0</v>
      </c>
      <c r="Q434" s="22">
        <v>0</v>
      </c>
      <c r="R434" s="22">
        <v>0</v>
      </c>
      <c r="S434" s="123"/>
      <c r="T434" s="22">
        <v>0</v>
      </c>
      <c r="U434" s="22">
        <v>0</v>
      </c>
      <c r="V434" s="22">
        <v>0</v>
      </c>
      <c r="W434" s="23"/>
      <c r="X434" s="23"/>
      <c r="Y434" s="23"/>
    </row>
    <row r="435" spans="1:25" ht="14.25" customHeight="1">
      <c r="A435" s="148">
        <v>1</v>
      </c>
      <c r="B435" s="202" t="s">
        <v>3875</v>
      </c>
      <c r="C435" s="33">
        <v>436</v>
      </c>
      <c r="D435" s="33">
        <v>6</v>
      </c>
      <c r="E435" s="277">
        <v>43817</v>
      </c>
      <c r="F435" s="130" t="str">
        <f>HYPERLINK("https://megapolitan.kompas.com/read/2019/12/18/18273771/dibawa-polisi-istri-yang-pukuli-suami-pengidap-stroke-mengamuk","sumber")</f>
        <v>sumber</v>
      </c>
      <c r="G435" s="231" t="s">
        <v>1</v>
      </c>
      <c r="H435" s="278">
        <v>242</v>
      </c>
      <c r="I435" s="33">
        <v>1</v>
      </c>
      <c r="J435" s="33">
        <v>2</v>
      </c>
      <c r="K435" s="131" t="s">
        <v>3876</v>
      </c>
      <c r="L435" s="33">
        <v>0</v>
      </c>
      <c r="M435" s="33">
        <v>-1</v>
      </c>
      <c r="N435" s="33">
        <v>0</v>
      </c>
      <c r="O435" s="33">
        <v>0</v>
      </c>
      <c r="P435" s="33">
        <v>0</v>
      </c>
      <c r="Q435" s="33">
        <v>0</v>
      </c>
      <c r="R435" s="33">
        <v>0</v>
      </c>
      <c r="S435" s="131"/>
      <c r="T435" s="33">
        <v>0</v>
      </c>
      <c r="U435" s="33">
        <v>0</v>
      </c>
      <c r="V435" s="33">
        <v>0</v>
      </c>
      <c r="W435" s="24"/>
      <c r="X435" s="24"/>
      <c r="Y435" s="24"/>
    </row>
    <row r="436" spans="1:25" ht="14.25" customHeight="1">
      <c r="A436" s="168">
        <v>1</v>
      </c>
      <c r="B436" s="273" t="s">
        <v>933</v>
      </c>
      <c r="C436" s="22">
        <v>437</v>
      </c>
      <c r="D436" s="22">
        <v>3</v>
      </c>
      <c r="E436" s="274">
        <v>43819</v>
      </c>
      <c r="F436" s="121" t="str">
        <f>HYPERLINK("https://lifestyle.okezone.com/read/2019/12/19/481/2143834/nonton-serial-drama-3-minggu-berturut-turut-pria-ini-mendadak-buta-dan-stroke ","sumber")</f>
        <v>sumber</v>
      </c>
      <c r="G436" s="223" t="s">
        <v>1</v>
      </c>
      <c r="H436" s="250">
        <v>311</v>
      </c>
      <c r="I436" s="22">
        <v>2</v>
      </c>
      <c r="J436" s="22">
        <v>2</v>
      </c>
      <c r="K436" s="123" t="s">
        <v>3877</v>
      </c>
      <c r="L436" s="22">
        <v>0</v>
      </c>
      <c r="M436" s="22">
        <v>0</v>
      </c>
      <c r="N436" s="22">
        <v>0</v>
      </c>
      <c r="O436" s="22">
        <v>0</v>
      </c>
      <c r="P436" s="22">
        <v>0</v>
      </c>
      <c r="Q436" s="22" t="s">
        <v>29</v>
      </c>
      <c r="R436" s="22" t="s">
        <v>29</v>
      </c>
      <c r="S436" s="123"/>
      <c r="T436" s="22">
        <v>0</v>
      </c>
      <c r="U436" s="22">
        <v>0</v>
      </c>
      <c r="V436" s="22">
        <v>0</v>
      </c>
      <c r="W436" s="23"/>
      <c r="X436" s="23"/>
      <c r="Y436" s="23"/>
    </row>
    <row r="437" spans="1:25" ht="14.25" customHeight="1">
      <c r="A437" s="168">
        <v>1</v>
      </c>
      <c r="B437" s="273" t="s">
        <v>3878</v>
      </c>
      <c r="C437" s="22">
        <v>438</v>
      </c>
      <c r="D437" s="22">
        <v>6</v>
      </c>
      <c r="E437" s="274">
        <v>43822</v>
      </c>
      <c r="F437" s="121" t="str">
        <f>HYPERLINK("https://nasional.kompas.com/read/2019/12/23/00534661/stafsus-milenial-jokowi-angkie-yudistia-ceritakan-sulitnya-difabel-hidup ","sumber")</f>
        <v>sumber</v>
      </c>
      <c r="G437" s="223" t="s">
        <v>1</v>
      </c>
      <c r="H437" s="250">
        <v>260</v>
      </c>
      <c r="I437" s="22">
        <v>3</v>
      </c>
      <c r="J437" s="22">
        <v>2</v>
      </c>
      <c r="K437" s="123" t="s">
        <v>914</v>
      </c>
      <c r="L437" s="22">
        <v>0</v>
      </c>
      <c r="M437" s="22">
        <v>0</v>
      </c>
      <c r="N437" s="22">
        <v>0</v>
      </c>
      <c r="O437" s="22">
        <v>0</v>
      </c>
      <c r="P437" s="22">
        <v>0</v>
      </c>
      <c r="Q437" s="22">
        <v>2</v>
      </c>
      <c r="R437" s="22">
        <v>1</v>
      </c>
      <c r="S437" s="123"/>
      <c r="T437" s="22">
        <v>0</v>
      </c>
      <c r="U437" s="22">
        <v>0</v>
      </c>
      <c r="V437" s="22">
        <v>0</v>
      </c>
      <c r="W437" s="23"/>
      <c r="X437" s="23"/>
      <c r="Y437" s="23"/>
    </row>
    <row r="438" spans="1:25" ht="14.25" customHeight="1">
      <c r="A438" s="171">
        <v>2</v>
      </c>
      <c r="B438" s="275" t="s">
        <v>3879</v>
      </c>
      <c r="C438" s="25">
        <v>439</v>
      </c>
      <c r="D438" s="25">
        <v>4</v>
      </c>
      <c r="E438" s="276">
        <v>43824</v>
      </c>
      <c r="F438" s="115" t="str">
        <f>HYPERLINK("https://hot.liputan6.com/read/4141668/tata-cara-aqiqah-sesuai-sunnah-rasul-lengkap-beserta-doanya ","sumber")</f>
        <v>sumber</v>
      </c>
      <c r="G438" s="228" t="s">
        <v>1</v>
      </c>
      <c r="H438" s="171">
        <v>1075</v>
      </c>
      <c r="I438" s="25">
        <v>2</v>
      </c>
      <c r="J438" s="25">
        <v>5</v>
      </c>
      <c r="K438" s="124"/>
      <c r="L438" s="26"/>
      <c r="M438" s="26"/>
      <c r="N438" s="26"/>
      <c r="O438" s="26"/>
      <c r="P438" s="26"/>
      <c r="Q438" s="26"/>
      <c r="R438" s="26"/>
      <c r="S438" s="124"/>
      <c r="T438" s="26"/>
      <c r="U438" s="26"/>
      <c r="V438" s="26"/>
      <c r="W438" s="26"/>
      <c r="X438" s="26"/>
      <c r="Y438" s="26"/>
    </row>
    <row r="439" spans="1:25" ht="14.25" customHeight="1">
      <c r="A439" s="171">
        <v>2</v>
      </c>
      <c r="B439" s="275" t="s">
        <v>3880</v>
      </c>
      <c r="C439" s="25">
        <v>440</v>
      </c>
      <c r="D439" s="25">
        <v>1</v>
      </c>
      <c r="E439" s="276">
        <v>43827</v>
      </c>
      <c r="F439" s="115" t="str">
        <f>HYPERLINK("https://hot.detik.com/celeb/d-4838300/pernikahan-ajun-perwira-jennifer-antara-cinta-harta-dan-perbedaan ","sumber")</f>
        <v>sumber</v>
      </c>
      <c r="G439" s="228" t="s">
        <v>1</v>
      </c>
      <c r="H439" s="171">
        <v>1335</v>
      </c>
      <c r="I439" s="25">
        <v>2</v>
      </c>
      <c r="J439" s="25">
        <v>5</v>
      </c>
      <c r="K439" s="116"/>
      <c r="L439" s="26"/>
      <c r="M439" s="26"/>
      <c r="N439" s="26"/>
      <c r="O439" s="26"/>
      <c r="P439" s="26"/>
      <c r="Q439" s="26"/>
      <c r="R439" s="26"/>
      <c r="S439" s="124"/>
      <c r="T439" s="26"/>
      <c r="U439" s="26"/>
      <c r="V439" s="26"/>
      <c r="W439" s="26"/>
      <c r="X439" s="26"/>
      <c r="Y439" s="26"/>
    </row>
    <row r="440" spans="1:25" ht="14.25" customHeight="1">
      <c r="A440" s="171">
        <v>2</v>
      </c>
      <c r="B440" s="275" t="s">
        <v>3881</v>
      </c>
      <c r="C440" s="25">
        <v>441</v>
      </c>
      <c r="D440" s="25">
        <v>9</v>
      </c>
      <c r="E440" s="276">
        <v>43827</v>
      </c>
      <c r="F440" s="115" t="str">
        <f>HYPERLINK("https://republika.co.id/berita/q36hr6383/transjakarta-siapkan-bus-gratis-kemayoranancol ","sumber")</f>
        <v>sumber</v>
      </c>
      <c r="G440" s="228" t="s">
        <v>1</v>
      </c>
      <c r="H440" s="171">
        <v>254</v>
      </c>
      <c r="I440" s="25">
        <v>1</v>
      </c>
      <c r="J440" s="25">
        <v>5</v>
      </c>
      <c r="K440" s="116"/>
      <c r="L440" s="26"/>
      <c r="M440" s="26"/>
      <c r="N440" s="26"/>
      <c r="O440" s="26"/>
      <c r="P440" s="26"/>
      <c r="Q440" s="26"/>
      <c r="R440" s="26"/>
      <c r="S440" s="124"/>
      <c r="T440" s="26"/>
      <c r="U440" s="26"/>
      <c r="V440" s="26"/>
      <c r="W440" s="26"/>
      <c r="X440" s="26"/>
      <c r="Y440" s="26"/>
    </row>
    <row r="441" spans="1:25" ht="14.25" customHeight="1">
      <c r="A441" s="168">
        <v>1</v>
      </c>
      <c r="B441" s="273" t="s">
        <v>3882</v>
      </c>
      <c r="C441" s="22">
        <v>442</v>
      </c>
      <c r="D441" s="22">
        <v>10</v>
      </c>
      <c r="E441" t="s">
        <v>3883</v>
      </c>
      <c r="F441" s="121" t="str">
        <f>HYPERLINK("https://seleb.tempo.co/read/1288670/punya-anak-down-syndrome-rahayu-saraswati-dia-sempurna ","sumber")</f>
        <v>sumber</v>
      </c>
      <c r="G441" s="223" t="s">
        <v>1</v>
      </c>
      <c r="H441" s="22">
        <v>344</v>
      </c>
      <c r="I441" s="22">
        <v>2</v>
      </c>
      <c r="J441" s="22">
        <v>2</v>
      </c>
      <c r="K441" s="123" t="s">
        <v>3884</v>
      </c>
      <c r="L441" s="22">
        <v>0</v>
      </c>
      <c r="M441" s="22">
        <v>0</v>
      </c>
      <c r="N441" s="22">
        <v>0</v>
      </c>
      <c r="O441" s="22">
        <v>0</v>
      </c>
      <c r="P441" s="22">
        <v>0</v>
      </c>
      <c r="Q441" s="22">
        <v>0</v>
      </c>
      <c r="R441" s="22">
        <v>1</v>
      </c>
      <c r="S441" s="123"/>
      <c r="T441" s="22">
        <v>0</v>
      </c>
      <c r="U441" s="22">
        <v>0</v>
      </c>
      <c r="V441" s="22">
        <v>0</v>
      </c>
      <c r="W441" s="23"/>
      <c r="X441" s="23"/>
      <c r="Y441" s="23"/>
    </row>
    <row r="442" spans="1:25" ht="14.25" customHeight="1">
      <c r="A442" s="148">
        <v>1</v>
      </c>
      <c r="B442" s="202" t="s">
        <v>3885</v>
      </c>
      <c r="C442" s="33">
        <v>443</v>
      </c>
      <c r="D442" s="33">
        <v>7</v>
      </c>
      <c r="E442" s="279">
        <v>43828</v>
      </c>
      <c r="F442" s="130" t="str">
        <f>HYPERLINK("https://www.tribunnews.com/regional/2019/12/29/ibu-kandung-di-kediri-tega-bunuh-anak-gadisnya-terungkap-pelaku-menderita-skizofrenia","sumber")</f>
        <v>sumber</v>
      </c>
      <c r="G442" s="231" t="s">
        <v>1</v>
      </c>
      <c r="H442" s="33">
        <v>190</v>
      </c>
      <c r="I442" s="33">
        <v>1</v>
      </c>
      <c r="J442" s="33">
        <v>2</v>
      </c>
      <c r="K442" s="131" t="s">
        <v>3886</v>
      </c>
      <c r="L442" s="33">
        <v>0</v>
      </c>
      <c r="M442" s="147">
        <v>0</v>
      </c>
      <c r="N442" s="33">
        <v>-1</v>
      </c>
      <c r="O442" s="33">
        <v>0</v>
      </c>
      <c r="P442" s="33">
        <v>-1</v>
      </c>
      <c r="Q442" s="33" t="s">
        <v>29</v>
      </c>
      <c r="R442" s="33" t="s">
        <v>29</v>
      </c>
      <c r="S442" s="131" t="s">
        <v>3887</v>
      </c>
      <c r="T442" s="33">
        <v>6</v>
      </c>
      <c r="U442" s="33">
        <v>-1</v>
      </c>
      <c r="V442" s="33">
        <v>0</v>
      </c>
      <c r="W442" s="24"/>
      <c r="X442" s="24"/>
      <c r="Y442" s="24"/>
    </row>
    <row r="443" spans="1:25" ht="15" customHeight="1">
      <c r="A443" s="171">
        <v>2</v>
      </c>
      <c r="B443" s="275" t="s">
        <v>3888</v>
      </c>
      <c r="C443" s="25">
        <v>444</v>
      </c>
      <c r="D443" s="25">
        <v>8</v>
      </c>
      <c r="E443" s="272">
        <v>43830</v>
      </c>
      <c r="F443" s="115" t="str">
        <f>HYPERLINK("https://www.suara.com/entertainment/2019/12/31/153433/sahabat-bilang-medina-zein-pakai-happy-5-bukan-amfetamin ","sumber")</f>
        <v>sumber</v>
      </c>
      <c r="G443" s="228" t="s">
        <v>1</v>
      </c>
      <c r="H443" s="25">
        <v>274</v>
      </c>
      <c r="I443" s="25">
        <v>1</v>
      </c>
      <c r="J443" s="25">
        <v>5</v>
      </c>
      <c r="K443" s="124"/>
      <c r="L443" s="26"/>
      <c r="M443" s="26"/>
      <c r="N443" s="26"/>
      <c r="O443" s="26"/>
      <c r="P443" s="26"/>
      <c r="Q443" s="26"/>
      <c r="R443" s="26"/>
      <c r="S443" s="124"/>
      <c r="T443" s="26"/>
      <c r="U443" s="26"/>
      <c r="V443" s="26"/>
      <c r="W443" s="26"/>
      <c r="X443" s="26"/>
      <c r="Y443" s="26"/>
    </row>
    <row r="444" spans="1:25" ht="14.4">
      <c r="A444" s="171">
        <v>2</v>
      </c>
      <c r="B444" s="275" t="s">
        <v>3889</v>
      </c>
      <c r="C444" s="25">
        <v>445</v>
      </c>
      <c r="D444" s="25">
        <v>7</v>
      </c>
      <c r="E444" s="272">
        <v>43830</v>
      </c>
      <c r="F444" s="115" t="str">
        <f>HYPERLINK("https://www.tribunnews.com/lifestyle/2019/12/31/cek-resolusi-terbaikmu-tahun-baru-2020-berdasarkan-zodiak-capricorn-coba-untuk-spontan ","sumber")</f>
        <v>sumber</v>
      </c>
      <c r="G444" s="228" t="s">
        <v>1</v>
      </c>
      <c r="H444" s="25">
        <v>141</v>
      </c>
      <c r="I444" s="25">
        <v>5</v>
      </c>
      <c r="J444" s="25">
        <v>5</v>
      </c>
      <c r="K444" s="124"/>
      <c r="L444" s="26"/>
      <c r="M444" s="26"/>
      <c r="N444" s="26"/>
      <c r="O444" s="26"/>
      <c r="P444" s="26"/>
      <c r="Q444" s="26"/>
      <c r="R444" s="26"/>
      <c r="S444" s="124"/>
      <c r="T444" s="26"/>
      <c r="U444" s="26"/>
      <c r="V444" s="26"/>
      <c r="W444" s="26"/>
      <c r="X444" s="26"/>
      <c r="Y444" s="26"/>
    </row>
    <row r="445" spans="1:25" ht="14.25" customHeight="1">
      <c r="A445" s="168">
        <v>1</v>
      </c>
      <c r="B445" s="273" t="s">
        <v>3890</v>
      </c>
      <c r="C445" s="22">
        <v>446</v>
      </c>
      <c r="D445" s="22">
        <v>1</v>
      </c>
      <c r="E445" s="280">
        <v>43742</v>
      </c>
      <c r="F445" s="121" t="str">
        <f>HYPERLINK("https://health.detik.com/berita-detikhealth/d-4734000/mark-westlife-punya-bayi-dengan-pasangan-pria-sel-telurnya-dari-mana ","sumber")</f>
        <v>sumber</v>
      </c>
      <c r="G445" s="223" t="s">
        <v>1</v>
      </c>
      <c r="H445" s="22">
        <v>309</v>
      </c>
      <c r="I445" s="22">
        <v>2</v>
      </c>
      <c r="J445" s="22">
        <v>3</v>
      </c>
      <c r="K445" s="123" t="s">
        <v>3891</v>
      </c>
      <c r="L445" s="22">
        <v>0</v>
      </c>
      <c r="M445" s="22">
        <v>0</v>
      </c>
      <c r="N445" s="22">
        <v>0</v>
      </c>
      <c r="O445" s="22">
        <v>0</v>
      </c>
      <c r="P445" s="22">
        <v>0</v>
      </c>
      <c r="Q445" s="22" t="s">
        <v>29</v>
      </c>
      <c r="R445" s="22" t="s">
        <v>29</v>
      </c>
      <c r="S445" s="123"/>
      <c r="T445" s="22">
        <v>0</v>
      </c>
      <c r="U445" s="22">
        <v>0</v>
      </c>
      <c r="V445" s="22">
        <v>0</v>
      </c>
      <c r="W445" s="23"/>
      <c r="X445" s="23"/>
      <c r="Y445" s="23"/>
    </row>
    <row r="446" spans="1:25" ht="14.25" customHeight="1">
      <c r="A446" s="168">
        <v>1</v>
      </c>
      <c r="B446" s="273" t="s">
        <v>3892</v>
      </c>
      <c r="C446" s="22">
        <v>447</v>
      </c>
      <c r="D446" s="22">
        <v>3</v>
      </c>
      <c r="E446" s="280">
        <v>43742</v>
      </c>
      <c r="F446" s="121" t="str">
        <f>HYPERLINK("https://news.okezone.com/read/2019/10/04/18/2112922/jadi-gay-pria-ini-tuntut-apple-rp287-juta ","sumber")</f>
        <v>sumber</v>
      </c>
      <c r="G446" s="223" t="s">
        <v>1</v>
      </c>
      <c r="H446" s="22">
        <v>232</v>
      </c>
      <c r="I446" s="22">
        <v>1</v>
      </c>
      <c r="J446" s="22">
        <v>3</v>
      </c>
      <c r="K446" s="123" t="s">
        <v>3893</v>
      </c>
      <c r="L446" s="22">
        <v>0</v>
      </c>
      <c r="M446" s="22">
        <v>-1</v>
      </c>
      <c r="N446" s="22">
        <v>0</v>
      </c>
      <c r="O446" s="22">
        <v>0</v>
      </c>
      <c r="P446" s="22">
        <v>0</v>
      </c>
      <c r="Q446" s="22" t="s">
        <v>178</v>
      </c>
      <c r="R446" s="22" t="s">
        <v>30</v>
      </c>
      <c r="S446" s="123" t="s">
        <v>3894</v>
      </c>
      <c r="T446" s="22">
        <v>1</v>
      </c>
      <c r="U446" s="22">
        <v>0</v>
      </c>
      <c r="V446" s="22">
        <v>0</v>
      </c>
      <c r="W446" s="23"/>
      <c r="X446" s="23"/>
      <c r="Y446" s="23"/>
    </row>
    <row r="447" spans="1:25" ht="14.25" customHeight="1">
      <c r="A447" s="171">
        <v>2</v>
      </c>
      <c r="B447" s="275" t="s">
        <v>3895</v>
      </c>
      <c r="C447" s="25">
        <v>448</v>
      </c>
      <c r="D447" s="25">
        <v>3</v>
      </c>
      <c r="E447" s="272">
        <v>43743</v>
      </c>
      <c r="F447" s="115" t="str">
        <f>HYPERLINK("https://celebrity.okezone.com/read/2019/10/04/33/2113118/cerita-pamela-anderson-dapati-fans-fanatik-diam-diam-tinggal-di-rumahnya ","sumber")</f>
        <v>sumber</v>
      </c>
      <c r="G447" s="228" t="s">
        <v>1</v>
      </c>
      <c r="H447" s="25">
        <v>535</v>
      </c>
      <c r="I447" s="25">
        <v>1</v>
      </c>
      <c r="J447" s="25">
        <v>3</v>
      </c>
      <c r="K447" s="124"/>
      <c r="L447" s="26"/>
      <c r="M447" s="26"/>
      <c r="N447" s="26"/>
      <c r="O447" s="26"/>
      <c r="P447" s="26"/>
      <c r="Q447" s="26"/>
      <c r="R447" s="26"/>
      <c r="S447" s="124"/>
      <c r="T447" s="26"/>
      <c r="U447" s="26"/>
      <c r="V447" s="26"/>
      <c r="W447" s="26"/>
      <c r="X447" s="26"/>
      <c r="Y447" s="26"/>
    </row>
    <row r="448" spans="1:25" ht="14.25" customHeight="1">
      <c r="A448" s="168">
        <v>1</v>
      </c>
      <c r="B448" s="273" t="s">
        <v>3896</v>
      </c>
      <c r="C448" s="22">
        <v>449</v>
      </c>
      <c r="D448" s="22">
        <v>7</v>
      </c>
      <c r="E448" s="280">
        <v>43744</v>
      </c>
      <c r="F448" s="121" t="str">
        <f>HYPERLINK("https://www.tribunnews.com/seleb/2019/10/06/perjalanan-karir-mark-westlife-yang-kini-tengah-bikin-heboh-karena-miliki-anak-dengan-kekasih-pria ","sumber")</f>
        <v>sumber</v>
      </c>
      <c r="G448" s="223" t="s">
        <v>1</v>
      </c>
      <c r="H448" s="22">
        <v>122</v>
      </c>
      <c r="I448" s="22">
        <v>2</v>
      </c>
      <c r="J448" s="22">
        <v>3</v>
      </c>
      <c r="K448" s="123" t="s">
        <v>3897</v>
      </c>
      <c r="L448" s="22">
        <v>0</v>
      </c>
      <c r="M448" s="22">
        <v>0</v>
      </c>
      <c r="N448" s="22">
        <v>0</v>
      </c>
      <c r="O448" s="22">
        <v>0</v>
      </c>
      <c r="P448" s="22">
        <v>0</v>
      </c>
      <c r="Q448" s="22">
        <v>2</v>
      </c>
      <c r="R448" s="22">
        <v>1</v>
      </c>
      <c r="S448" s="123"/>
      <c r="T448" s="22">
        <v>0</v>
      </c>
      <c r="U448" s="22">
        <v>-1</v>
      </c>
      <c r="V448" s="22">
        <v>0</v>
      </c>
      <c r="W448" s="23"/>
      <c r="X448" s="23"/>
      <c r="Y448" s="23"/>
    </row>
    <row r="449" spans="1:25" ht="14.25" customHeight="1">
      <c r="A449" s="168">
        <v>1</v>
      </c>
      <c r="B449" s="273" t="s">
        <v>3898</v>
      </c>
      <c r="C449" s="22">
        <v>450</v>
      </c>
      <c r="D449" s="22">
        <v>1</v>
      </c>
      <c r="E449" s="280">
        <v>43746</v>
      </c>
      <c r="F449" s="121" t="str">
        <f>HYPERLINK("https://hot.detik.com/celeb/d-4738453/duh-unggah-video-asusila-bareng-cowok-bebby-fey-akui-pansos ","sumber")</f>
        <v>sumber</v>
      </c>
      <c r="G449" s="223" t="s">
        <v>1</v>
      </c>
      <c r="H449" s="22">
        <v>1267</v>
      </c>
      <c r="I449" s="22">
        <v>1</v>
      </c>
      <c r="J449" s="22">
        <v>3</v>
      </c>
      <c r="K449" s="123" t="s">
        <v>3899</v>
      </c>
      <c r="L449" s="22">
        <v>0</v>
      </c>
      <c r="M449" s="22">
        <v>-1</v>
      </c>
      <c r="N449" s="22">
        <v>0</v>
      </c>
      <c r="O449" s="22">
        <v>0</v>
      </c>
      <c r="P449" s="22">
        <v>-1</v>
      </c>
      <c r="Q449" s="22">
        <v>0</v>
      </c>
      <c r="R449" s="22">
        <v>0</v>
      </c>
      <c r="S449" s="123"/>
      <c r="T449" s="22">
        <v>0</v>
      </c>
      <c r="U449" s="22">
        <v>0</v>
      </c>
      <c r="V449" s="22">
        <v>0</v>
      </c>
      <c r="W449" s="23"/>
      <c r="X449" s="23"/>
      <c r="Y449" s="23"/>
    </row>
    <row r="450" spans="1:25" ht="14.25" customHeight="1">
      <c r="A450" s="168">
        <v>1</v>
      </c>
      <c r="B450" s="273" t="s">
        <v>3900</v>
      </c>
      <c r="C450" s="22">
        <v>451</v>
      </c>
      <c r="D450" s="22">
        <v>8</v>
      </c>
      <c r="E450" s="280">
        <v>43746</v>
      </c>
      <c r="F450" s="121" t="str">
        <f>HYPERLINK("https://www.suara.com/news/2019/10/08/190026/sekali-goyang-turis-arab-psk-waria-cipanas-diupah-mucikari-rp-400-ribu ","sumber")</f>
        <v>sumber</v>
      </c>
      <c r="G450" s="223" t="s">
        <v>1</v>
      </c>
      <c r="H450" s="22">
        <v>339</v>
      </c>
      <c r="I450" s="22">
        <v>1</v>
      </c>
      <c r="J450" s="22">
        <v>3</v>
      </c>
      <c r="K450" s="123" t="s">
        <v>3901</v>
      </c>
      <c r="L450" s="22">
        <v>0</v>
      </c>
      <c r="M450" s="22">
        <v>1</v>
      </c>
      <c r="N450" s="22">
        <v>0</v>
      </c>
      <c r="O450" s="22">
        <v>0</v>
      </c>
      <c r="P450" s="22">
        <v>-1</v>
      </c>
      <c r="Q450" s="22" t="s">
        <v>87</v>
      </c>
      <c r="R450" s="22" t="s">
        <v>29</v>
      </c>
      <c r="S450" s="123"/>
      <c r="T450" s="22">
        <v>0</v>
      </c>
      <c r="U450" s="22">
        <v>0</v>
      </c>
      <c r="V450" s="22">
        <v>0</v>
      </c>
      <c r="W450" s="23"/>
      <c r="X450" s="23"/>
      <c r="Y450" s="23"/>
    </row>
    <row r="451" spans="1:25" ht="14.25" customHeight="1">
      <c r="A451" s="168">
        <v>1</v>
      </c>
      <c r="B451" s="273" t="s">
        <v>1860</v>
      </c>
      <c r="C451" s="22">
        <v>452</v>
      </c>
      <c r="D451" s="22">
        <v>7</v>
      </c>
      <c r="E451" s="280">
        <v>43746</v>
      </c>
      <c r="F451" s="121" t="str">
        <f>HYPERLINK("https://www.tribunnews.com/regional/2019/10/08/jaringan-prostitusi-di-cipanas-ini-jajakan-psk-berkeliling-pakai-mobil-sasarannya-wna ","sumber")</f>
        <v>sumber</v>
      </c>
      <c r="G451" s="223" t="s">
        <v>1</v>
      </c>
      <c r="H451" s="22">
        <v>272</v>
      </c>
      <c r="I451" s="22">
        <v>1</v>
      </c>
      <c r="J451" s="22">
        <v>5</v>
      </c>
      <c r="K451" s="123" t="s">
        <v>3902</v>
      </c>
      <c r="L451" s="22">
        <v>0</v>
      </c>
      <c r="M451" s="22">
        <v>-1</v>
      </c>
      <c r="N451" s="22">
        <v>0</v>
      </c>
      <c r="O451" s="22">
        <v>0</v>
      </c>
      <c r="P451" s="22">
        <v>0</v>
      </c>
      <c r="Q451" s="22">
        <v>0</v>
      </c>
      <c r="R451" s="22">
        <v>0</v>
      </c>
      <c r="S451" s="123"/>
      <c r="T451" s="22">
        <v>0</v>
      </c>
      <c r="U451" s="22">
        <v>0</v>
      </c>
      <c r="V451" s="22">
        <v>0</v>
      </c>
      <c r="W451" s="23"/>
      <c r="X451" s="23"/>
      <c r="Y451" s="23"/>
    </row>
    <row r="452" spans="1:25" ht="14.25" customHeight="1">
      <c r="A452" s="168">
        <v>1</v>
      </c>
      <c r="B452" s="273" t="s">
        <v>1864</v>
      </c>
      <c r="C452" s="22">
        <v>453</v>
      </c>
      <c r="D452" s="22">
        <v>2</v>
      </c>
      <c r="E452" s="280">
        <v>43788</v>
      </c>
      <c r="F452" s="121" t="str">
        <f>HYPERLINK("https://www.cnnindonesia.com/nasional/20191118224940-20-449503/kakek-di-binjai-tewas-usai-berhubungan-seks","sumber")</f>
        <v>sumber</v>
      </c>
      <c r="G452" s="223" t="s">
        <v>1</v>
      </c>
      <c r="H452" s="22">
        <v>205</v>
      </c>
      <c r="I452" s="22">
        <v>1</v>
      </c>
      <c r="J452" s="22">
        <v>3</v>
      </c>
      <c r="K452" s="123" t="s">
        <v>3903</v>
      </c>
      <c r="L452" s="22">
        <v>0</v>
      </c>
      <c r="M452" s="22">
        <v>-1</v>
      </c>
      <c r="N452" s="22">
        <v>0</v>
      </c>
      <c r="O452" s="22">
        <v>0</v>
      </c>
      <c r="P452" s="22">
        <v>0</v>
      </c>
      <c r="Q452" s="22">
        <v>0</v>
      </c>
      <c r="R452" s="22">
        <v>0</v>
      </c>
      <c r="S452" s="123"/>
      <c r="T452" s="22">
        <v>0</v>
      </c>
      <c r="U452" s="22">
        <v>0</v>
      </c>
      <c r="V452" s="22">
        <v>0</v>
      </c>
      <c r="W452" s="23"/>
      <c r="X452" s="23"/>
      <c r="Y452" s="23"/>
    </row>
    <row r="453" spans="1:25" ht="14.25" customHeight="1">
      <c r="A453" s="168">
        <v>1</v>
      </c>
      <c r="B453" s="273" t="s">
        <v>3904</v>
      </c>
      <c r="C453" s="22">
        <v>454</v>
      </c>
      <c r="D453" s="22">
        <v>6</v>
      </c>
      <c r="E453" s="280">
        <v>43789</v>
      </c>
      <c r="F453" s="121" t="str">
        <f>HYPERLINK("https://nasional.kompas.com/read/2019/11/20/13020051/ombudsman-sebut-ada-instansi-yang-mendiskriminasi-gender-dalam-seleksi-cpns ","sumber")</f>
        <v>sumber</v>
      </c>
      <c r="G453" s="223" t="s">
        <v>1</v>
      </c>
      <c r="H453" s="22">
        <v>283</v>
      </c>
      <c r="I453" s="22">
        <v>4</v>
      </c>
      <c r="J453" s="22">
        <v>3</v>
      </c>
      <c r="K453" s="123" t="s">
        <v>3905</v>
      </c>
      <c r="L453" s="22">
        <v>0</v>
      </c>
      <c r="M453" s="22">
        <v>0</v>
      </c>
      <c r="N453" s="22">
        <v>0</v>
      </c>
      <c r="O453" s="22">
        <v>0</v>
      </c>
      <c r="P453" s="22">
        <v>0</v>
      </c>
      <c r="Q453" s="22">
        <v>0</v>
      </c>
      <c r="R453" s="22">
        <v>1</v>
      </c>
      <c r="S453" s="123"/>
      <c r="T453" s="22">
        <v>0</v>
      </c>
      <c r="U453" s="22">
        <v>0</v>
      </c>
      <c r="V453" s="22">
        <v>0</v>
      </c>
      <c r="W453" s="23"/>
      <c r="X453" s="23"/>
      <c r="Y453" s="23"/>
    </row>
    <row r="454" spans="1:25" ht="14.25" customHeight="1">
      <c r="A454" s="168">
        <v>1</v>
      </c>
      <c r="B454" s="273" t="s">
        <v>3906</v>
      </c>
      <c r="C454" s="22">
        <v>455</v>
      </c>
      <c r="D454" s="22">
        <v>5</v>
      </c>
      <c r="E454" s="280">
        <v>43789</v>
      </c>
      <c r="F454" s="121" t="str">
        <f>HYPERLINK("https://tirto.id/benarkah-frozen-2-angkat-isu-lgbt-tampilkan-pasangan-elsa-elZQ ","sumber")</f>
        <v>sumber</v>
      </c>
      <c r="G454" s="223" t="s">
        <v>1</v>
      </c>
      <c r="H454" s="22">
        <v>476</v>
      </c>
      <c r="I454" s="22">
        <v>5</v>
      </c>
      <c r="J454" s="22">
        <v>3</v>
      </c>
      <c r="K454" s="123" t="s">
        <v>3907</v>
      </c>
      <c r="L454" s="22">
        <v>0</v>
      </c>
      <c r="M454" s="22">
        <v>0</v>
      </c>
      <c r="N454" s="22">
        <v>0</v>
      </c>
      <c r="O454" s="22">
        <v>0</v>
      </c>
      <c r="P454" s="22">
        <v>0</v>
      </c>
      <c r="Q454" s="146" t="s">
        <v>170</v>
      </c>
      <c r="R454" s="146" t="s">
        <v>170</v>
      </c>
      <c r="S454" s="123"/>
      <c r="T454" s="22">
        <v>0</v>
      </c>
      <c r="U454" s="22">
        <v>0</v>
      </c>
      <c r="V454" s="22">
        <v>0</v>
      </c>
      <c r="W454" s="23"/>
      <c r="X454" s="23"/>
      <c r="Y454" s="23"/>
    </row>
    <row r="455" spans="1:25" ht="14.25" customHeight="1">
      <c r="A455" s="168">
        <v>1</v>
      </c>
      <c r="B455" s="273" t="s">
        <v>3908</v>
      </c>
      <c r="C455" s="22">
        <v>456</v>
      </c>
      <c r="D455" s="22">
        <v>8</v>
      </c>
      <c r="E455" s="280">
        <v>43791</v>
      </c>
      <c r="F455" s="121" t="str">
        <f>HYPERLINK("https://www.suara.com/news/2019/11/22/145613/dpr-persoalkan-syarat-cpns-kejagung-yang-tolak-lgbt-dan-disabilitas ","sumber")</f>
        <v>sumber</v>
      </c>
      <c r="G455" s="223" t="s">
        <v>1</v>
      </c>
      <c r="H455" s="22">
        <v>239</v>
      </c>
      <c r="I455" s="22">
        <v>4</v>
      </c>
      <c r="J455" s="22">
        <v>3</v>
      </c>
      <c r="K455" s="123" t="s">
        <v>3909</v>
      </c>
      <c r="L455" s="22">
        <v>0</v>
      </c>
      <c r="M455" s="22">
        <v>0</v>
      </c>
      <c r="N455" s="22">
        <v>0</v>
      </c>
      <c r="O455" s="22">
        <v>0</v>
      </c>
      <c r="P455" s="22">
        <v>0</v>
      </c>
      <c r="Q455" s="22">
        <v>0</v>
      </c>
      <c r="R455" s="22">
        <v>1</v>
      </c>
      <c r="S455" s="123"/>
      <c r="T455" s="22">
        <v>0</v>
      </c>
      <c r="U455" s="22">
        <v>0</v>
      </c>
      <c r="V455" s="22">
        <v>0</v>
      </c>
      <c r="W455" s="23"/>
      <c r="X455" s="23"/>
      <c r="Y455" s="23"/>
    </row>
    <row r="456" spans="1:25" ht="14.25" customHeight="1">
      <c r="A456" s="168">
        <v>1</v>
      </c>
      <c r="B456" s="273" t="s">
        <v>3910</v>
      </c>
      <c r="C456" s="22">
        <v>457</v>
      </c>
      <c r="D456" s="22">
        <v>4</v>
      </c>
      <c r="E456" s="280">
        <v>43793</v>
      </c>
      <c r="F456" s="121" t="str">
        <f>HYPERLINK("https://www.liputan6.com/news/read/4118167/ppp-dukung-kejagung-tolak-lgbt-lamar-cpns ","sumber")</f>
        <v>sumber</v>
      </c>
      <c r="G456" s="223" t="s">
        <v>1</v>
      </c>
      <c r="H456" s="22">
        <v>319</v>
      </c>
      <c r="I456" s="22">
        <v>4</v>
      </c>
      <c r="J456" s="22">
        <v>3</v>
      </c>
      <c r="K456" s="123" t="s">
        <v>3911</v>
      </c>
      <c r="L456" s="22">
        <v>0</v>
      </c>
      <c r="M456" s="22">
        <v>0</v>
      </c>
      <c r="N456" s="22">
        <v>0</v>
      </c>
      <c r="O456" s="22">
        <v>0</v>
      </c>
      <c r="P456" s="22">
        <v>0</v>
      </c>
      <c r="Q456" s="22" t="s">
        <v>182</v>
      </c>
      <c r="R456" s="22" t="s">
        <v>141</v>
      </c>
      <c r="S456" s="123"/>
      <c r="T456" s="22">
        <v>0</v>
      </c>
      <c r="U456" s="22">
        <v>0</v>
      </c>
      <c r="V456" s="22">
        <v>0</v>
      </c>
      <c r="W456" s="23"/>
      <c r="X456" s="23"/>
      <c r="Y456" s="23"/>
    </row>
    <row r="457" spans="1:25" ht="14.25" customHeight="1">
      <c r="A457" s="168">
        <v>1</v>
      </c>
      <c r="B457" s="273" t="s">
        <v>3912</v>
      </c>
      <c r="C457" s="22">
        <v>458</v>
      </c>
      <c r="D457" s="22">
        <v>8</v>
      </c>
      <c r="E457" s="280">
        <v>43793</v>
      </c>
      <c r="F457" s="121" t="str">
        <f>HYPERLINK("https://www.suara.com/news/2019/11/24/111003/bermula-saling-ejek-di-medsos-tawuran-antar-siswa-sd-pecah-di-batam ","sumber")</f>
        <v>sumber</v>
      </c>
      <c r="G457" s="223" t="s">
        <v>1</v>
      </c>
      <c r="H457" s="22">
        <v>276</v>
      </c>
      <c r="I457" s="22">
        <v>1</v>
      </c>
      <c r="J457" s="22">
        <v>3</v>
      </c>
      <c r="K457" s="123" t="s">
        <v>3913</v>
      </c>
      <c r="L457" s="22">
        <v>0</v>
      </c>
      <c r="M457" s="22">
        <v>-1</v>
      </c>
      <c r="N457" s="22">
        <v>0</v>
      </c>
      <c r="O457" s="22">
        <v>0</v>
      </c>
      <c r="P457" s="22">
        <v>0</v>
      </c>
      <c r="Q457" s="22">
        <v>0</v>
      </c>
      <c r="R457" s="22">
        <v>0</v>
      </c>
      <c r="S457" s="123"/>
      <c r="T457" s="22">
        <v>0</v>
      </c>
      <c r="U457" s="22">
        <v>0</v>
      </c>
      <c r="V457" s="22">
        <v>0</v>
      </c>
      <c r="W457" s="23"/>
      <c r="X457" s="23"/>
      <c r="Y457" s="23"/>
    </row>
    <row r="458" spans="1:25" ht="14.25" customHeight="1">
      <c r="A458" s="171">
        <v>2</v>
      </c>
      <c r="B458" s="275" t="s">
        <v>3914</v>
      </c>
      <c r="C458" s="25">
        <v>459</v>
      </c>
      <c r="D458" s="25">
        <v>7</v>
      </c>
      <c r="E458" s="272">
        <v>43793</v>
      </c>
      <c r="F458" s="115" t="str">
        <f>HYPERLINK("https://www.tribunnews.com/seleb/2019/11/24/irma-darmawangsa-bongkar-pansos-di-kalangan-artis-biayanya-bisa-capai-rp-1-miliar ","sumber")</f>
        <v>sumber</v>
      </c>
      <c r="G458" s="228" t="s">
        <v>1</v>
      </c>
      <c r="H458" s="25">
        <v>144</v>
      </c>
      <c r="I458" s="25">
        <v>2</v>
      </c>
      <c r="J458" s="25">
        <v>5</v>
      </c>
      <c r="K458" s="124"/>
      <c r="L458" s="26"/>
      <c r="M458" s="26"/>
      <c r="N458" s="26"/>
      <c r="O458" s="26"/>
      <c r="P458" s="26"/>
      <c r="Q458" s="26"/>
      <c r="R458" s="26"/>
      <c r="S458" s="124"/>
      <c r="T458" s="26"/>
      <c r="U458" s="26"/>
      <c r="V458" s="26"/>
      <c r="W458" s="26"/>
      <c r="X458" s="26"/>
      <c r="Y458" s="26"/>
    </row>
    <row r="459" spans="1:25" ht="14.25" customHeight="1">
      <c r="A459" s="171">
        <v>2</v>
      </c>
      <c r="B459" s="275" t="s">
        <v>3915</v>
      </c>
      <c r="C459" s="25">
        <v>460</v>
      </c>
      <c r="D459" s="25">
        <v>1</v>
      </c>
      <c r="E459" s="272">
        <v>43794</v>
      </c>
      <c r="F459" s="115" t="str">
        <f>HYPERLINK("https://hot.detik.com/celeb/d-4797098/kebahagiaan-mike-lewis-bisa-bilang-punya-calon-istri ","sumber")</f>
        <v>sumber</v>
      </c>
      <c r="G459" s="228" t="s">
        <v>1</v>
      </c>
      <c r="H459" s="25">
        <v>1228</v>
      </c>
      <c r="I459" s="25">
        <v>2</v>
      </c>
      <c r="J459" s="25">
        <v>5</v>
      </c>
      <c r="K459" s="124"/>
      <c r="L459" s="26"/>
      <c r="M459" s="26"/>
      <c r="N459" s="26"/>
      <c r="O459" s="26"/>
      <c r="P459" s="26"/>
      <c r="Q459" s="26"/>
      <c r="R459" s="26"/>
      <c r="S459" s="124"/>
      <c r="T459" s="26"/>
      <c r="U459" s="26"/>
      <c r="V459" s="26"/>
      <c r="W459" s="26"/>
      <c r="X459" s="26"/>
      <c r="Y459" s="26"/>
    </row>
    <row r="460" spans="1:25" ht="14.25" customHeight="1">
      <c r="A460" s="168">
        <v>1</v>
      </c>
      <c r="B460" s="273" t="s">
        <v>2764</v>
      </c>
      <c r="C460" s="22">
        <v>461</v>
      </c>
      <c r="D460" s="22">
        <v>10</v>
      </c>
      <c r="E460" s="280">
        <v>43795</v>
      </c>
      <c r="F460" s="121" t="str">
        <f>HYPERLINK("https://nasional.tempo.co/read/1276810/larangan-lgbt-jadi-cpns-diprotes-kelompok-rentan ","sumber")</f>
        <v>sumber</v>
      </c>
      <c r="G460" s="223" t="s">
        <v>1</v>
      </c>
      <c r="H460" s="22">
        <v>339</v>
      </c>
      <c r="I460" s="22">
        <v>4</v>
      </c>
      <c r="J460" s="22">
        <v>3</v>
      </c>
      <c r="K460" s="123" t="s">
        <v>3916</v>
      </c>
      <c r="L460" s="22">
        <v>0</v>
      </c>
      <c r="M460" s="22">
        <v>0</v>
      </c>
      <c r="N460" s="22">
        <v>0</v>
      </c>
      <c r="O460" s="22">
        <v>0</v>
      </c>
      <c r="P460" s="22">
        <v>0</v>
      </c>
      <c r="Q460" s="22" t="s">
        <v>68</v>
      </c>
      <c r="R460" s="22" t="s">
        <v>160</v>
      </c>
      <c r="S460" s="123"/>
      <c r="T460" s="22">
        <v>0</v>
      </c>
      <c r="U460" s="22">
        <v>0</v>
      </c>
      <c r="V460" s="22">
        <v>0</v>
      </c>
      <c r="W460" s="23"/>
      <c r="X460" s="23"/>
      <c r="Y460" s="23"/>
    </row>
    <row r="461" spans="1:25" ht="14.25" customHeight="1">
      <c r="A461" s="168">
        <v>1</v>
      </c>
      <c r="B461" s="273" t="s">
        <v>3917</v>
      </c>
      <c r="C461" s="22">
        <v>462</v>
      </c>
      <c r="D461" s="22">
        <v>8</v>
      </c>
      <c r="E461" s="280">
        <v>43810</v>
      </c>
      <c r="F461" s="121" t="str">
        <f>HYPERLINK("https://www.suara.com/news/2019/12/11/132515/pelintir-riset-tentang-lgbt-politikus-pks-dimarahi-para-peneliti-asing ","sumber")</f>
        <v>sumber</v>
      </c>
      <c r="G461" s="223" t="s">
        <v>1</v>
      </c>
      <c r="H461" s="22">
        <v>502</v>
      </c>
      <c r="I461" s="22">
        <v>1</v>
      </c>
      <c r="J461" s="22">
        <v>3</v>
      </c>
      <c r="K461" s="123" t="s">
        <v>3918</v>
      </c>
      <c r="L461" s="22">
        <v>0</v>
      </c>
      <c r="M461" s="22">
        <v>1</v>
      </c>
      <c r="N461" s="22">
        <v>0</v>
      </c>
      <c r="O461" s="22">
        <v>0</v>
      </c>
      <c r="P461" s="22">
        <v>0</v>
      </c>
      <c r="Q461" s="22" t="s">
        <v>57</v>
      </c>
      <c r="R461" s="22" t="s">
        <v>1451</v>
      </c>
      <c r="S461" s="123"/>
      <c r="T461" s="22">
        <v>0</v>
      </c>
      <c r="U461" s="22">
        <v>0</v>
      </c>
      <c r="V461" s="22">
        <v>0</v>
      </c>
      <c r="W461" s="23"/>
      <c r="X461" s="23"/>
      <c r="Y461" s="23"/>
    </row>
    <row r="462" spans="1:25" ht="14.25" customHeight="1">
      <c r="A462" s="148">
        <v>1</v>
      </c>
      <c r="B462" s="202" t="s">
        <v>3919</v>
      </c>
      <c r="C462" s="33">
        <v>463</v>
      </c>
      <c r="D462" s="33">
        <v>5</v>
      </c>
      <c r="E462" s="279">
        <v>43811</v>
      </c>
      <c r="F462" s="130" t="str">
        <f>HYPERLINK("https://tirto.id/analisis-asal-comot-soal-lgbt-ala-dwi-estiningsih-enjC","sumber")</f>
        <v>sumber</v>
      </c>
      <c r="G462" s="231" t="s">
        <v>1</v>
      </c>
      <c r="H462" s="33">
        <v>644</v>
      </c>
      <c r="I462" s="33">
        <v>1</v>
      </c>
      <c r="J462" s="33">
        <v>3</v>
      </c>
      <c r="K462" s="131" t="s">
        <v>3920</v>
      </c>
      <c r="L462" s="33">
        <v>0</v>
      </c>
      <c r="M462" s="33">
        <v>1</v>
      </c>
      <c r="N462" s="33">
        <v>0</v>
      </c>
      <c r="O462" s="33">
        <v>0</v>
      </c>
      <c r="P462" s="33">
        <v>0</v>
      </c>
      <c r="Q462" s="131" t="s">
        <v>170</v>
      </c>
      <c r="R462" s="33" t="s">
        <v>3921</v>
      </c>
      <c r="S462" s="131"/>
      <c r="T462" s="33">
        <v>0</v>
      </c>
      <c r="U462" s="33">
        <v>0</v>
      </c>
      <c r="V462" s="33">
        <v>1</v>
      </c>
      <c r="W462" s="24"/>
      <c r="X462" s="24"/>
      <c r="Y462" s="24"/>
    </row>
    <row r="463" spans="1:25" ht="14.25" customHeight="1">
      <c r="A463" s="168">
        <v>1</v>
      </c>
      <c r="B463" s="273" t="s">
        <v>3922</v>
      </c>
      <c r="C463" s="22">
        <v>464</v>
      </c>
      <c r="D463" s="22">
        <v>7</v>
      </c>
      <c r="E463" s="280">
        <v>43812</v>
      </c>
      <c r="F463" s="121" t="str">
        <f>HYPERLINK("https://www.tribunnews.com/internasional/2019/12/13/legalkan-lgbtq-ibukota-india-adakan-festival-sastra-queer-untuk-pertama-kalinya-sepanjang-sejarah ","sumber")</f>
        <v>sumber</v>
      </c>
      <c r="G463" s="223" t="s">
        <v>1</v>
      </c>
      <c r="H463" s="22">
        <v>214</v>
      </c>
      <c r="I463" s="22">
        <v>3</v>
      </c>
      <c r="J463" s="22">
        <v>3</v>
      </c>
      <c r="K463" s="123" t="s">
        <v>3923</v>
      </c>
      <c r="L463" s="22">
        <v>0</v>
      </c>
      <c r="M463" s="22">
        <v>0</v>
      </c>
      <c r="N463" s="22">
        <v>0</v>
      </c>
      <c r="O463" s="22">
        <v>0</v>
      </c>
      <c r="P463" s="22">
        <v>0</v>
      </c>
      <c r="Q463" s="146" t="s">
        <v>3924</v>
      </c>
      <c r="R463" s="22" t="s">
        <v>3925</v>
      </c>
      <c r="S463" s="123"/>
      <c r="T463" s="22">
        <v>0</v>
      </c>
      <c r="U463" s="22">
        <v>0</v>
      </c>
      <c r="V463" s="22">
        <v>0</v>
      </c>
      <c r="W463" s="23"/>
      <c r="X463" s="23"/>
      <c r="Y463" s="23"/>
    </row>
    <row r="464" spans="1:25" ht="14.25" customHeight="1">
      <c r="A464" s="171">
        <v>2</v>
      </c>
      <c r="B464" s="275" t="s">
        <v>3926</v>
      </c>
      <c r="C464" s="25">
        <v>465</v>
      </c>
      <c r="D464" s="25">
        <v>8</v>
      </c>
      <c r="E464" s="272">
        <v>43814</v>
      </c>
      <c r="F464" s="115" t="str">
        <f>HYPERLINK("https://www.suara.com/entertainment/2019/12/15/101926/gathan-diburu-polisi-keluarga-ngotot-pertanyakan-surat-panggilan ","sumber")</f>
        <v>sumber</v>
      </c>
      <c r="G464" s="228" t="s">
        <v>1</v>
      </c>
      <c r="H464" s="25">
        <v>172</v>
      </c>
      <c r="I464" s="25">
        <v>1</v>
      </c>
      <c r="J464" s="25">
        <v>5</v>
      </c>
      <c r="K464" s="124"/>
      <c r="L464" s="26"/>
      <c r="M464" s="26"/>
      <c r="N464" s="26"/>
      <c r="O464" s="26"/>
      <c r="P464" s="26"/>
      <c r="Q464" s="26"/>
      <c r="R464" s="26"/>
      <c r="S464" s="124"/>
      <c r="T464" s="26"/>
      <c r="U464" s="26"/>
      <c r="V464" s="26"/>
      <c r="W464" s="26"/>
      <c r="X464" s="26"/>
      <c r="Y464" s="26"/>
    </row>
    <row r="465" spans="1:25" ht="14.25" customHeight="1">
      <c r="A465" s="168">
        <v>1</v>
      </c>
      <c r="B465" s="273" t="s">
        <v>3927</v>
      </c>
      <c r="C465" s="22">
        <v>466</v>
      </c>
      <c r="D465" s="22">
        <v>5</v>
      </c>
      <c r="E465" s="280">
        <v>43814</v>
      </c>
      <c r="F465" s="121" t="str">
        <f>HYPERLINK("https://tirto.id/kapal-perempuan-minta-nadiem-makariem-tangani-3-masalah-pendidikan-entj ","sumber")</f>
        <v>sumber</v>
      </c>
      <c r="G465" s="223" t="s">
        <v>1</v>
      </c>
      <c r="H465" s="22">
        <v>461</v>
      </c>
      <c r="I465" s="22">
        <v>4</v>
      </c>
      <c r="J465" s="22">
        <v>3</v>
      </c>
      <c r="K465" s="123" t="s">
        <v>3928</v>
      </c>
      <c r="L465" s="22">
        <v>0</v>
      </c>
      <c r="M465" s="22">
        <v>0</v>
      </c>
      <c r="N465" s="22">
        <v>0</v>
      </c>
      <c r="O465" s="22">
        <v>0</v>
      </c>
      <c r="P465" s="22">
        <v>0</v>
      </c>
      <c r="Q465" s="22">
        <v>0</v>
      </c>
      <c r="R465" s="22">
        <v>1</v>
      </c>
      <c r="S465" s="123"/>
      <c r="T465" s="22">
        <v>0</v>
      </c>
      <c r="U465" s="22">
        <v>0</v>
      </c>
      <c r="V465" s="22">
        <v>0</v>
      </c>
      <c r="W465" s="23"/>
      <c r="X465" s="23"/>
      <c r="Y465" s="23"/>
    </row>
    <row r="466" spans="1:25" ht="14.25" customHeight="1">
      <c r="A466" s="171">
        <v>2</v>
      </c>
      <c r="B466" s="275" t="s">
        <v>3929</v>
      </c>
      <c r="C466" s="25">
        <v>467</v>
      </c>
      <c r="D466" s="25">
        <v>1</v>
      </c>
      <c r="E466" s="272">
        <v>43816</v>
      </c>
      <c r="F466" s="115" t="str">
        <f>HYPERLINK("https://hot.detik.com/celeb/d-4825535/robert-de-niro-sebut-anak-anak-donald-trump-seperti-gangster ","sumber")</f>
        <v>sumber</v>
      </c>
      <c r="G466" s="228" t="s">
        <v>1</v>
      </c>
      <c r="H466" s="25">
        <v>720</v>
      </c>
      <c r="I466" s="25">
        <v>1</v>
      </c>
      <c r="J466" s="25">
        <v>5</v>
      </c>
      <c r="K466" s="116"/>
      <c r="L466" s="26"/>
      <c r="M466" s="26"/>
      <c r="N466" s="26"/>
      <c r="O466" s="26"/>
      <c r="P466" s="26"/>
      <c r="Q466" s="26"/>
      <c r="R466" s="26"/>
      <c r="S466" s="124"/>
      <c r="T466" s="26"/>
      <c r="U466" s="26"/>
      <c r="V466" s="26"/>
      <c r="W466" s="26"/>
      <c r="X466" s="26"/>
      <c r="Y466" s="26"/>
    </row>
    <row r="467" spans="1:25" ht="14.25" customHeight="1">
      <c r="A467" s="171">
        <v>2</v>
      </c>
      <c r="B467" s="275" t="s">
        <v>3930</v>
      </c>
      <c r="C467" s="25">
        <v>468</v>
      </c>
      <c r="D467" s="25">
        <v>2</v>
      </c>
      <c r="E467" s="272">
        <v>43819</v>
      </c>
      <c r="F467" s="115" t="str">
        <f>HYPERLINK("https://www.cnnindonesia.com/hiburan/20191220094926-220-458586/cinta-segitiga-di-trailer-perdana-sekuel-to-all-the-boys ","sumber")</f>
        <v>sumber</v>
      </c>
      <c r="G467" s="228" t="s">
        <v>1</v>
      </c>
      <c r="H467" s="25">
        <v>398</v>
      </c>
      <c r="I467" s="25">
        <v>5</v>
      </c>
      <c r="J467" s="25">
        <v>5</v>
      </c>
      <c r="K467" s="116"/>
      <c r="L467" s="26"/>
      <c r="M467" s="26"/>
      <c r="N467" s="26"/>
      <c r="O467" s="26"/>
      <c r="P467" s="26"/>
      <c r="Q467" s="26"/>
      <c r="R467" s="26"/>
      <c r="S467" s="124"/>
      <c r="T467" s="26"/>
      <c r="U467" s="26"/>
      <c r="V467" s="26"/>
      <c r="W467" s="26"/>
      <c r="X467" s="26"/>
      <c r="Y467" s="26"/>
    </row>
    <row r="468" spans="1:25" ht="14.25" customHeight="1">
      <c r="A468" s="171">
        <v>2</v>
      </c>
      <c r="B468" s="275" t="s">
        <v>3931</v>
      </c>
      <c r="C468" s="25">
        <v>469</v>
      </c>
      <c r="D468" s="25">
        <v>6</v>
      </c>
      <c r="E468" s="272">
        <v>43820</v>
      </c>
      <c r="F468" s="115" t="str">
        <f>HYPERLINK("https://nasional.kompas.com/read/2019/12/21/18120271/catatan-akhir-tahun-2019-tantangan-di-masa-depan-untuk-perlindungan-hak ","sumber")</f>
        <v>sumber</v>
      </c>
      <c r="G468" s="228" t="s">
        <v>1</v>
      </c>
      <c r="H468" s="25">
        <v>316</v>
      </c>
      <c r="I468" s="25">
        <v>4</v>
      </c>
      <c r="J468" s="25">
        <v>3</v>
      </c>
      <c r="K468" s="116"/>
      <c r="L468" s="26"/>
      <c r="M468" s="26"/>
      <c r="N468" s="26"/>
      <c r="O468" s="26"/>
      <c r="P468" s="26"/>
      <c r="Q468" s="26"/>
      <c r="R468" s="26"/>
      <c r="S468" s="124"/>
      <c r="T468" s="26"/>
      <c r="U468" s="26"/>
      <c r="V468" s="26"/>
      <c r="W468" s="26"/>
      <c r="X468" s="26"/>
      <c r="Y468" s="26"/>
    </row>
    <row r="469" spans="1:25" ht="14.25" customHeight="1">
      <c r="A469" s="168">
        <v>1</v>
      </c>
      <c r="B469" s="273" t="s">
        <v>3932</v>
      </c>
      <c r="C469" s="22">
        <v>470</v>
      </c>
      <c r="D469" s="22">
        <v>8</v>
      </c>
      <c r="E469" s="280">
        <v>43829</v>
      </c>
      <c r="F469" s="121" t="str">
        <f>HYPERLINK("https://jabar.suara.com/read/2019/12/30/172644/11-gadis-dan-1-lady-boy-dijual-ke-turis-timteng-cipanas-rp-500-ribu-sejam ","sumber")</f>
        <v>sumber</v>
      </c>
      <c r="G469" s="223" t="s">
        <v>1</v>
      </c>
      <c r="H469" s="22">
        <v>279</v>
      </c>
      <c r="I469" s="22">
        <v>1</v>
      </c>
      <c r="J469" s="22">
        <v>3</v>
      </c>
      <c r="K469" s="123" t="s">
        <v>3933</v>
      </c>
      <c r="L469" s="22">
        <v>0</v>
      </c>
      <c r="M469" s="147">
        <v>0</v>
      </c>
      <c r="N469" s="22">
        <v>-1</v>
      </c>
      <c r="O469" s="22">
        <v>0</v>
      </c>
      <c r="P469" s="22">
        <v>0</v>
      </c>
      <c r="Q469" s="22" t="s">
        <v>87</v>
      </c>
      <c r="R469" s="22" t="s">
        <v>29</v>
      </c>
      <c r="S469" s="123"/>
      <c r="T469" s="22">
        <v>0</v>
      </c>
      <c r="U469" s="22">
        <v>0</v>
      </c>
      <c r="V469" s="22">
        <v>0</v>
      </c>
      <c r="W469" s="23"/>
      <c r="X469" s="23"/>
      <c r="Y469" s="23"/>
    </row>
    <row r="470" spans="1:25" ht="14.25" customHeight="1">
      <c r="A470" s="168">
        <v>1</v>
      </c>
      <c r="B470" s="273" t="s">
        <v>3934</v>
      </c>
      <c r="C470" s="22">
        <v>471</v>
      </c>
      <c r="D470" s="22">
        <v>10</v>
      </c>
      <c r="E470" s="280">
        <v>43829</v>
      </c>
      <c r="F470" s="121" t="str">
        <f>HYPERLINK("https://nasional.tempo.co/read/1289428/kaukus-kebebasan-akademik-kampus-belum-terbebas-dari-represi ","sumber")</f>
        <v>sumber</v>
      </c>
      <c r="G470" s="223" t="s">
        <v>1</v>
      </c>
      <c r="H470" s="22">
        <v>396</v>
      </c>
      <c r="I470" s="22">
        <v>1</v>
      </c>
      <c r="J470" s="22">
        <v>3</v>
      </c>
      <c r="K470" s="123" t="s">
        <v>3935</v>
      </c>
      <c r="L470" s="22">
        <v>0</v>
      </c>
      <c r="M470" s="22">
        <v>1</v>
      </c>
      <c r="N470" s="22">
        <v>0</v>
      </c>
      <c r="O470" s="22">
        <v>0</v>
      </c>
      <c r="P470" s="22">
        <v>0</v>
      </c>
      <c r="Q470" s="22">
        <v>0</v>
      </c>
      <c r="R470" s="22">
        <v>1</v>
      </c>
      <c r="S470" s="123"/>
      <c r="T470" s="22">
        <v>0</v>
      </c>
      <c r="U470" s="22">
        <v>0</v>
      </c>
      <c r="V470" s="22">
        <v>1</v>
      </c>
      <c r="W470" s="23"/>
      <c r="X470" s="23"/>
      <c r="Y470" s="23"/>
    </row>
    <row r="471" spans="1:25" ht="14.25" customHeight="1">
      <c r="A471" s="168">
        <v>1</v>
      </c>
      <c r="B471" s="273" t="s">
        <v>3936</v>
      </c>
      <c r="C471" s="22">
        <v>472</v>
      </c>
      <c r="D471" s="22">
        <v>5</v>
      </c>
      <c r="E471" s="280">
        <v>43830</v>
      </c>
      <c r="F471" s="121" t="str">
        <f>HYPERLINK("https://tirto.id/kegagalan-terbesar-teknologi-2019-galaxy-fold-hingga-boeing-737-max-epRA ","sumber")</f>
        <v>sumber</v>
      </c>
      <c r="G471" s="223" t="s">
        <v>1</v>
      </c>
      <c r="H471" s="22">
        <v>666</v>
      </c>
      <c r="I471" s="22">
        <v>1</v>
      </c>
      <c r="J471" s="22">
        <v>3</v>
      </c>
      <c r="K471" s="123" t="s">
        <v>3937</v>
      </c>
      <c r="L471" s="22">
        <v>0</v>
      </c>
      <c r="M471" s="147">
        <v>0</v>
      </c>
      <c r="N471" s="22">
        <v>0</v>
      </c>
      <c r="O471" s="22">
        <v>0</v>
      </c>
      <c r="P471" s="22">
        <v>0</v>
      </c>
      <c r="Q471" s="22" t="s">
        <v>29</v>
      </c>
      <c r="R471" s="22" t="s">
        <v>29</v>
      </c>
      <c r="S471" s="123"/>
      <c r="T471" s="22">
        <v>0</v>
      </c>
      <c r="U471" s="22">
        <v>0</v>
      </c>
      <c r="V471" s="22">
        <v>0</v>
      </c>
      <c r="W471" s="23"/>
      <c r="X471" s="23"/>
      <c r="Y471" s="23"/>
    </row>
    <row r="472" spans="1:25" ht="14.25" customHeight="1">
      <c r="A472" s="168">
        <v>1</v>
      </c>
      <c r="B472" s="273" t="s">
        <v>3938</v>
      </c>
      <c r="C472" s="22">
        <v>473</v>
      </c>
      <c r="D472" s="22">
        <v>8</v>
      </c>
      <c r="E472" s="280">
        <v>43739</v>
      </c>
      <c r="F472" s="121" t="str">
        <f>HYPERLINK("https://www.suara.com/news/2019/10/01/173336/larang-orang-demo-cinta-laura-dicemooh-warganet ","sumber")</f>
        <v>sumber</v>
      </c>
      <c r="G472" s="223" t="s">
        <v>1</v>
      </c>
      <c r="H472" s="22">
        <v>476</v>
      </c>
      <c r="I472" s="22">
        <v>1</v>
      </c>
      <c r="J472" s="22">
        <v>1</v>
      </c>
      <c r="K472" s="123" t="s">
        <v>3939</v>
      </c>
      <c r="L472" s="22">
        <v>0</v>
      </c>
      <c r="M472" s="22">
        <v>1</v>
      </c>
      <c r="N472" s="22">
        <v>0</v>
      </c>
      <c r="O472" s="22">
        <v>0</v>
      </c>
      <c r="P472" s="22">
        <v>0</v>
      </c>
      <c r="Q472" s="146" t="s">
        <v>170</v>
      </c>
      <c r="R472" s="146" t="s">
        <v>3243</v>
      </c>
      <c r="S472" s="123"/>
      <c r="T472" s="22">
        <v>0</v>
      </c>
      <c r="U472" s="22">
        <v>0</v>
      </c>
      <c r="V472" s="22">
        <v>0</v>
      </c>
      <c r="W472" s="23"/>
      <c r="X472" s="23"/>
      <c r="Y472" s="23"/>
    </row>
    <row r="473" spans="1:25" ht="14.25" customHeight="1">
      <c r="A473" s="148">
        <v>1</v>
      </c>
      <c r="B473" s="202" t="s">
        <v>3940</v>
      </c>
      <c r="C473" s="33">
        <v>474</v>
      </c>
      <c r="D473" s="33">
        <v>1</v>
      </c>
      <c r="E473" s="279">
        <v>43741</v>
      </c>
      <c r="F473" s="130" t="str">
        <f>HYPERLINK("https://news.detik.com/berita-jawa-timur/d-4732851/kalap-karena-cemburu-suami-pukuli-istri-hingga-6-hari-nginap-di-rs","sumber")</f>
        <v>sumber</v>
      </c>
      <c r="G473" s="231" t="s">
        <v>1</v>
      </c>
      <c r="H473" s="33">
        <v>314</v>
      </c>
      <c r="I473" s="33">
        <v>1</v>
      </c>
      <c r="J473" s="33">
        <v>1</v>
      </c>
      <c r="K473" s="131" t="s">
        <v>3941</v>
      </c>
      <c r="L473" s="33">
        <v>0</v>
      </c>
      <c r="M473" s="33">
        <v>-1</v>
      </c>
      <c r="N473" s="33">
        <v>0</v>
      </c>
      <c r="O473" s="33">
        <v>0</v>
      </c>
      <c r="P473" s="33">
        <v>0</v>
      </c>
      <c r="Q473" s="33">
        <v>0</v>
      </c>
      <c r="R473" s="33">
        <v>0</v>
      </c>
      <c r="S473" s="131" t="s">
        <v>3942</v>
      </c>
      <c r="T473" s="33">
        <v>1</v>
      </c>
      <c r="U473" s="33">
        <v>0</v>
      </c>
      <c r="V473" s="33">
        <v>0</v>
      </c>
      <c r="W473" s="24"/>
      <c r="X473" s="24"/>
      <c r="Y473" s="24"/>
    </row>
    <row r="474" spans="1:25" ht="14.25" customHeight="1">
      <c r="A474" s="148">
        <v>1</v>
      </c>
      <c r="B474" s="202" t="s">
        <v>3943</v>
      </c>
      <c r="C474" s="33">
        <v>475</v>
      </c>
      <c r="D474" s="33">
        <v>6</v>
      </c>
      <c r="E474" s="279">
        <v>43742</v>
      </c>
      <c r="F474" s="130" t="str">
        <f>HYPERLINK("https://regional.kompas.com/read/2019/10/04/18354161/semenit-keluar-penjara-terdakwa-pemerkosa-ditangkap-lagi-pengacara-meradang","sumber")</f>
        <v>sumber</v>
      </c>
      <c r="G474" s="231" t="s">
        <v>1</v>
      </c>
      <c r="H474" s="33">
        <v>270</v>
      </c>
      <c r="I474" s="33">
        <v>1</v>
      </c>
      <c r="J474" s="33">
        <v>1</v>
      </c>
      <c r="K474" s="131" t="s">
        <v>3944</v>
      </c>
      <c r="L474" s="33">
        <v>0</v>
      </c>
      <c r="M474" s="33">
        <v>1</v>
      </c>
      <c r="N474" s="33">
        <v>0</v>
      </c>
      <c r="O474" s="33">
        <v>0</v>
      </c>
      <c r="P474" s="33">
        <v>0</v>
      </c>
      <c r="Q474" s="33">
        <v>0</v>
      </c>
      <c r="R474" s="33">
        <v>0</v>
      </c>
      <c r="S474" s="131"/>
      <c r="T474" s="33">
        <v>0</v>
      </c>
      <c r="U474" s="33">
        <v>0</v>
      </c>
      <c r="V474" s="33">
        <v>0</v>
      </c>
      <c r="W474" s="24"/>
      <c r="X474" s="24"/>
      <c r="Y474" s="24"/>
    </row>
    <row r="475" spans="1:25" ht="14.25" customHeight="1">
      <c r="A475" s="168">
        <v>1</v>
      </c>
      <c r="B475" s="273" t="s">
        <v>3945</v>
      </c>
      <c r="C475" s="22">
        <v>476</v>
      </c>
      <c r="D475" s="22">
        <v>7</v>
      </c>
      <c r="E475" s="280">
        <v>43742</v>
      </c>
      <c r="F475" s="121" t="str">
        <f>HYPERLINK("https://www.tribunnews.com/regional/2019/10/04/di-balik-viral-video-cewek-tanpa-busana-beraksi-di-manado-ada-praktik-prostitusi-anak-di-bawah-umur ","sumber")</f>
        <v>sumber</v>
      </c>
      <c r="G475" s="223" t="s">
        <v>1</v>
      </c>
      <c r="H475" s="22">
        <v>162</v>
      </c>
      <c r="I475" s="22">
        <v>1</v>
      </c>
      <c r="J475" s="22">
        <v>1</v>
      </c>
      <c r="K475" s="123" t="s">
        <v>3946</v>
      </c>
      <c r="L475" s="22">
        <v>0</v>
      </c>
      <c r="M475" s="22">
        <v>1</v>
      </c>
      <c r="N475" s="22">
        <v>0</v>
      </c>
      <c r="O475" s="22">
        <v>-1</v>
      </c>
      <c r="P475" s="22">
        <v>0</v>
      </c>
      <c r="Q475" s="146" t="s">
        <v>21</v>
      </c>
      <c r="R475" s="22" t="s">
        <v>106</v>
      </c>
      <c r="S475" s="123"/>
      <c r="T475" s="22">
        <v>0</v>
      </c>
      <c r="U475" s="22">
        <v>0</v>
      </c>
      <c r="V475" s="22">
        <v>0</v>
      </c>
      <c r="W475" s="23"/>
      <c r="X475" s="23"/>
      <c r="Y475" s="23"/>
    </row>
    <row r="476" spans="1:25" ht="14.25" customHeight="1">
      <c r="A476" s="21">
        <v>2</v>
      </c>
      <c r="B476" s="25" t="s">
        <v>3947</v>
      </c>
      <c r="C476" s="25">
        <v>477</v>
      </c>
      <c r="D476" s="25">
        <v>3</v>
      </c>
      <c r="E476" s="272">
        <v>43744</v>
      </c>
      <c r="F476" s="115" t="str">
        <f>HYPERLINK("https://celebrity.okezone.com/read/2019/10/05/33/2113386/berniat-perkosa-steven-spielberg-fans-fanatik-dipenjara-25-tahun ","sumber")</f>
        <v>sumber</v>
      </c>
      <c r="G476" s="228" t="s">
        <v>1</v>
      </c>
      <c r="H476" s="25">
        <v>533</v>
      </c>
      <c r="I476" s="25">
        <v>1</v>
      </c>
      <c r="J476" s="25">
        <v>1</v>
      </c>
      <c r="K476" s="116"/>
      <c r="L476" s="26"/>
      <c r="M476" s="26"/>
      <c r="N476" s="26"/>
      <c r="O476" s="26"/>
      <c r="P476" s="26"/>
      <c r="Q476" s="26"/>
      <c r="R476" s="26"/>
      <c r="S476" s="124"/>
      <c r="T476" s="26"/>
      <c r="U476" s="26"/>
      <c r="V476" s="26"/>
      <c r="W476" s="26"/>
      <c r="X476" s="26"/>
      <c r="Y476" s="26"/>
    </row>
    <row r="477" spans="1:25" ht="14.25" customHeight="1">
      <c r="A477" s="188">
        <v>1</v>
      </c>
      <c r="B477" s="22" t="s">
        <v>3948</v>
      </c>
      <c r="C477" s="22">
        <v>478</v>
      </c>
      <c r="D477" s="22">
        <v>8</v>
      </c>
      <c r="E477" s="280">
        <v>43744</v>
      </c>
      <c r="F477" s="121" t="str">
        <f>HYPERLINK("https://www.suara.com/news/2019/10/06/094505/psk-pakai-tinder-untuk-gaet-turis-saya-tak-perlu-keluar-rumah ","sumber")</f>
        <v>sumber</v>
      </c>
      <c r="G477" s="223" t="s">
        <v>1</v>
      </c>
      <c r="H477" s="22">
        <v>481</v>
      </c>
      <c r="I477" s="22">
        <v>1</v>
      </c>
      <c r="J477" s="22">
        <v>1</v>
      </c>
      <c r="K477" s="123" t="s">
        <v>3949</v>
      </c>
      <c r="L477" s="22">
        <v>0</v>
      </c>
      <c r="M477" s="22">
        <v>1</v>
      </c>
      <c r="N477" s="22">
        <v>0</v>
      </c>
      <c r="O477" s="22">
        <v>0</v>
      </c>
      <c r="P477" s="22">
        <v>0</v>
      </c>
      <c r="Q477" s="22" t="s">
        <v>29</v>
      </c>
      <c r="R477" s="22" t="s">
        <v>29</v>
      </c>
      <c r="S477" s="123"/>
      <c r="T477" s="22">
        <v>0</v>
      </c>
      <c r="U477" s="22">
        <v>0</v>
      </c>
      <c r="V477" s="22">
        <v>0</v>
      </c>
      <c r="W477" s="23"/>
      <c r="X477" s="23"/>
      <c r="Y477" s="23"/>
    </row>
    <row r="478" spans="1:25" ht="14.25" customHeight="1">
      <c r="A478" s="188">
        <v>1</v>
      </c>
      <c r="B478" s="22" t="s">
        <v>3950</v>
      </c>
      <c r="C478" s="22">
        <v>479</v>
      </c>
      <c r="D478" s="22">
        <v>1</v>
      </c>
      <c r="E478" s="280">
        <v>43745</v>
      </c>
      <c r="F478" s="121" t="str">
        <f>HYPERLINK("https://news.detik.com/berita-jawa-barat/d-4737399/keji-paman-dan-2-teman-sekap-perkosa-gadis-cianjur ","sumber")</f>
        <v>sumber</v>
      </c>
      <c r="G478" s="223" t="s">
        <v>1</v>
      </c>
      <c r="H478" s="22">
        <v>226</v>
      </c>
      <c r="I478" s="22">
        <v>1</v>
      </c>
      <c r="J478" s="22">
        <v>1</v>
      </c>
      <c r="K478" s="123" t="s">
        <v>3951</v>
      </c>
      <c r="L478" s="22">
        <v>0</v>
      </c>
      <c r="M478" s="22">
        <v>1</v>
      </c>
      <c r="N478" s="22">
        <v>0</v>
      </c>
      <c r="O478" s="22">
        <v>0</v>
      </c>
      <c r="P478" s="22">
        <v>-1</v>
      </c>
      <c r="Q478" s="22">
        <v>0</v>
      </c>
      <c r="R478" s="22">
        <v>0</v>
      </c>
      <c r="S478" s="123"/>
      <c r="T478" s="22">
        <v>0</v>
      </c>
      <c r="U478" s="22">
        <v>0</v>
      </c>
      <c r="V478" s="22">
        <v>0</v>
      </c>
      <c r="W478" s="23"/>
      <c r="X478" s="23"/>
      <c r="Y478" s="23"/>
    </row>
    <row r="479" spans="1:25" ht="14.25" customHeight="1">
      <c r="A479" s="21">
        <v>2</v>
      </c>
      <c r="B479" s="25" t="s">
        <v>3952</v>
      </c>
      <c r="C479" s="25">
        <v>480</v>
      </c>
      <c r="D479" s="25">
        <v>2</v>
      </c>
      <c r="E479" s="272">
        <v>43746</v>
      </c>
      <c r="F479" s="115" t="str">
        <f>HYPERLINK("https://www.cnnindonesia.com/hiburan/20191008201410-227-437892/ami-awards-2019-bakal-digelar-pada-28-november ","sumber")</f>
        <v>sumber</v>
      </c>
      <c r="G479" s="228" t="s">
        <v>1</v>
      </c>
      <c r="H479" s="25">
        <v>378</v>
      </c>
      <c r="I479" s="25">
        <v>3</v>
      </c>
      <c r="J479" s="25">
        <v>5</v>
      </c>
      <c r="K479" s="116"/>
      <c r="L479" s="26"/>
      <c r="M479" s="26"/>
      <c r="N479" s="26"/>
      <c r="O479" s="26"/>
      <c r="P479" s="26"/>
      <c r="Q479" s="26"/>
      <c r="R479" s="26"/>
      <c r="S479" s="124"/>
      <c r="T479" s="26"/>
      <c r="U479" s="26"/>
      <c r="V479" s="26"/>
      <c r="W479" s="26"/>
      <c r="X479" s="26"/>
      <c r="Y479" s="26"/>
    </row>
    <row r="480" spans="1:25" ht="14.25" customHeight="1">
      <c r="A480" s="188">
        <v>1</v>
      </c>
      <c r="B480" s="22" t="s">
        <v>3953</v>
      </c>
      <c r="C480" s="22">
        <v>481</v>
      </c>
      <c r="D480" s="22">
        <v>7</v>
      </c>
      <c r="E480" s="280">
        <v>43746</v>
      </c>
      <c r="F480" s="121" t="str">
        <f>HYPERLINK("https://www.tribunnews.com/regional/2019/10/08/jaringan-prostitusi-di-cipanas-ini-jajakan-psk-berkeliling-pakai-mobil-sasarannya-wna ","sumber")</f>
        <v>sumber</v>
      </c>
      <c r="G480" s="223" t="s">
        <v>1</v>
      </c>
      <c r="H480" s="22">
        <v>272</v>
      </c>
      <c r="I480" s="22">
        <v>1</v>
      </c>
      <c r="J480" s="22">
        <v>1</v>
      </c>
      <c r="K480" s="123" t="s">
        <v>3954</v>
      </c>
      <c r="L480" s="22">
        <v>0</v>
      </c>
      <c r="M480" s="147">
        <v>0</v>
      </c>
      <c r="N480" s="22">
        <v>0</v>
      </c>
      <c r="O480" s="22">
        <v>0</v>
      </c>
      <c r="P480" s="22">
        <v>0</v>
      </c>
      <c r="Q480" s="22">
        <v>0</v>
      </c>
      <c r="R480" s="22">
        <v>0</v>
      </c>
      <c r="S480" s="123"/>
      <c r="T480" s="22">
        <v>0</v>
      </c>
      <c r="U480" s="22">
        <v>0</v>
      </c>
      <c r="V480" s="22">
        <v>0</v>
      </c>
      <c r="W480" s="23"/>
      <c r="X480" s="23"/>
      <c r="Y480" s="23"/>
    </row>
    <row r="481" spans="1:25" ht="14.25" customHeight="1">
      <c r="A481" s="188">
        <v>1</v>
      </c>
      <c r="B481" s="22" t="s">
        <v>3955</v>
      </c>
      <c r="C481" s="22">
        <v>482</v>
      </c>
      <c r="D481" s="22">
        <v>1</v>
      </c>
      <c r="E481" s="280">
        <v>43747</v>
      </c>
      <c r="F481" s="121" t="str">
        <f>HYPERLINK("https://news.detik.com/berita-jawa-barat/d-4739732/terungkap-identitas-wanita-dibunuh-di-hotel-kerja-spg ","sumber")</f>
        <v>sumber</v>
      </c>
      <c r="G481" s="223" t="s">
        <v>1</v>
      </c>
      <c r="H481" s="22">
        <v>203</v>
      </c>
      <c r="I481" s="22">
        <v>1</v>
      </c>
      <c r="J481" s="22">
        <v>1</v>
      </c>
      <c r="K481" s="123" t="s">
        <v>3956</v>
      </c>
      <c r="L481" s="22">
        <v>0</v>
      </c>
      <c r="M481" s="22">
        <v>-1</v>
      </c>
      <c r="N481" s="22">
        <v>0</v>
      </c>
      <c r="O481" s="22">
        <v>0</v>
      </c>
      <c r="P481" s="22">
        <v>0</v>
      </c>
      <c r="Q481" s="22">
        <v>0</v>
      </c>
      <c r="R481" s="22">
        <v>0</v>
      </c>
      <c r="S481" s="123"/>
      <c r="T481" s="22">
        <v>0</v>
      </c>
      <c r="U481" s="22">
        <v>0</v>
      </c>
      <c r="V481" s="22">
        <v>0</v>
      </c>
      <c r="W481" s="23"/>
      <c r="X481" s="23"/>
      <c r="Y481" s="23"/>
    </row>
    <row r="482" spans="1:25" ht="14.25" customHeight="1">
      <c r="A482" s="188">
        <v>1</v>
      </c>
      <c r="B482" s="22" t="s">
        <v>3957</v>
      </c>
      <c r="C482" s="22">
        <v>483</v>
      </c>
      <c r="D482" s="22">
        <v>4</v>
      </c>
      <c r="E482" s="280">
        <v>43747</v>
      </c>
      <c r="F482" s="121" t="str">
        <f>HYPERLINK("https://www.liputan6.com/showbiz/read/4082004/tayangan-pagi-pagi-pasti-happy-dihentikan-selama-5-hari-oleh-kpi ","sumber")</f>
        <v>sumber</v>
      </c>
      <c r="G482" s="223" t="s">
        <v>1</v>
      </c>
      <c r="H482" s="22">
        <v>310</v>
      </c>
      <c r="I482" s="22">
        <v>1</v>
      </c>
      <c r="J482" s="22">
        <v>1</v>
      </c>
      <c r="K482" s="123" t="s">
        <v>3958</v>
      </c>
      <c r="L482" s="22">
        <v>0</v>
      </c>
      <c r="M482" s="22">
        <v>1</v>
      </c>
      <c r="N482" s="22">
        <v>0</v>
      </c>
      <c r="O482" s="22">
        <v>0</v>
      </c>
      <c r="P482" s="22">
        <v>0</v>
      </c>
      <c r="Q482" s="22">
        <v>0</v>
      </c>
      <c r="R482" s="22">
        <v>0</v>
      </c>
      <c r="S482" s="123"/>
      <c r="T482" s="22">
        <v>0</v>
      </c>
      <c r="U482" s="22">
        <v>0</v>
      </c>
      <c r="V482" s="22">
        <v>0</v>
      </c>
      <c r="W482" s="23"/>
      <c r="X482" s="23"/>
      <c r="Y482" s="23"/>
    </row>
    <row r="483" spans="1:25" ht="14.25" customHeight="1">
      <c r="A483" s="188">
        <v>1</v>
      </c>
      <c r="B483" s="22" t="s">
        <v>3959</v>
      </c>
      <c r="C483" s="22">
        <v>484</v>
      </c>
      <c r="D483" s="22">
        <v>5</v>
      </c>
      <c r="E483" s="280">
        <v>43787</v>
      </c>
      <c r="F483" s="121" t="str">
        <f>HYPERLINK("https://tirto.id/teror-sperma-di-tasikmalaya-adalah-pelecehan-seksual-serius-elTe ","sumber")</f>
        <v>sumber</v>
      </c>
      <c r="G483" s="223" t="s">
        <v>1</v>
      </c>
      <c r="H483" s="22">
        <v>366</v>
      </c>
      <c r="I483" s="22">
        <v>1</v>
      </c>
      <c r="J483" s="22">
        <v>1</v>
      </c>
      <c r="K483" s="123" t="s">
        <v>3960</v>
      </c>
      <c r="L483" s="22">
        <v>0</v>
      </c>
      <c r="M483" s="22">
        <v>1</v>
      </c>
      <c r="N483" s="22">
        <v>0</v>
      </c>
      <c r="O483" s="22">
        <v>0</v>
      </c>
      <c r="P483" s="22">
        <v>0</v>
      </c>
      <c r="Q483" s="22" t="s">
        <v>29</v>
      </c>
      <c r="R483" s="22" t="s">
        <v>160</v>
      </c>
      <c r="S483" s="123" t="s">
        <v>3961</v>
      </c>
      <c r="T483" s="22">
        <v>1</v>
      </c>
      <c r="U483" s="22">
        <v>0</v>
      </c>
      <c r="V483" s="22">
        <v>1</v>
      </c>
      <c r="W483" s="23"/>
      <c r="X483" s="23"/>
      <c r="Y483" s="23"/>
    </row>
    <row r="484" spans="1:25" ht="14.25" customHeight="1">
      <c r="A484" s="188">
        <v>1</v>
      </c>
      <c r="B484" s="22" t="s">
        <v>3962</v>
      </c>
      <c r="C484" s="22">
        <v>485</v>
      </c>
      <c r="D484" s="22">
        <v>4</v>
      </c>
      <c r="E484" s="280">
        <v>43788</v>
      </c>
      <c r="F484" s="121" t="str">
        <f>HYPERLINK("https://www.liputan6.com/global/read/4114087/penembakan-di-luar-supermarket-oklahoma-3-orang-tewas ","sumber")</f>
        <v>sumber</v>
      </c>
      <c r="G484" s="223" t="s">
        <v>1</v>
      </c>
      <c r="H484" s="22">
        <v>508</v>
      </c>
      <c r="I484" s="22">
        <v>1</v>
      </c>
      <c r="J484" s="22">
        <v>1</v>
      </c>
      <c r="K484" s="123" t="s">
        <v>3963</v>
      </c>
      <c r="L484" s="22">
        <v>0</v>
      </c>
      <c r="M484" s="22">
        <v>1</v>
      </c>
      <c r="N484" s="22">
        <v>0</v>
      </c>
      <c r="O484" s="22">
        <v>0</v>
      </c>
      <c r="P484" s="22">
        <v>0</v>
      </c>
      <c r="Q484" s="240" t="s">
        <v>112</v>
      </c>
      <c r="R484" s="240" t="s">
        <v>112</v>
      </c>
      <c r="S484" s="123"/>
      <c r="T484" s="22">
        <v>0</v>
      </c>
      <c r="U484" s="22">
        <v>0</v>
      </c>
      <c r="V484" s="22">
        <v>0</v>
      </c>
      <c r="W484" s="23"/>
      <c r="X484" s="23"/>
      <c r="Y484" s="23"/>
    </row>
    <row r="485" spans="1:25" ht="14.25" customHeight="1">
      <c r="A485" s="209">
        <v>1</v>
      </c>
      <c r="B485" s="33" t="s">
        <v>3964</v>
      </c>
      <c r="C485" s="33">
        <v>486</v>
      </c>
      <c r="D485" s="33">
        <v>9</v>
      </c>
      <c r="E485" s="279">
        <v>43788</v>
      </c>
      <c r="F485" s="153" t="s">
        <v>2163</v>
      </c>
      <c r="G485" s="231" t="s">
        <v>1</v>
      </c>
      <c r="H485" s="33">
        <v>253</v>
      </c>
      <c r="I485" s="33">
        <v>1</v>
      </c>
      <c r="J485" s="33">
        <v>1</v>
      </c>
      <c r="K485" s="131" t="s">
        <v>3965</v>
      </c>
      <c r="L485" s="33">
        <v>0</v>
      </c>
      <c r="M485" s="33">
        <v>-1</v>
      </c>
      <c r="N485" s="33">
        <v>0</v>
      </c>
      <c r="O485" s="33">
        <v>0</v>
      </c>
      <c r="P485" s="33">
        <v>0</v>
      </c>
      <c r="Q485" s="33">
        <v>0</v>
      </c>
      <c r="R485" s="33">
        <v>1</v>
      </c>
      <c r="S485" s="131"/>
      <c r="T485" s="33">
        <v>0</v>
      </c>
      <c r="U485" s="33">
        <v>0</v>
      </c>
      <c r="V485" s="33">
        <v>0</v>
      </c>
      <c r="W485" s="24"/>
      <c r="X485" s="24"/>
      <c r="Y485" s="24"/>
    </row>
    <row r="486" spans="1:25" ht="14.25" customHeight="1">
      <c r="A486" s="188">
        <v>1</v>
      </c>
      <c r="B486" s="22" t="s">
        <v>3966</v>
      </c>
      <c r="C486" s="22">
        <v>487</v>
      </c>
      <c r="D486" s="22">
        <v>8</v>
      </c>
      <c r="E486" s="280">
        <v>43789</v>
      </c>
      <c r="F486" s="121" t="str">
        <f>HYPERLINK("https://jabar.suara.com/read/2019/11/20/142551/selain-incar-cewek-yang-disukai-sidiq-nekat-cipratkan-sperma-karena-mabuk ","sumber")</f>
        <v>sumber</v>
      </c>
      <c r="G486" s="223" t="s">
        <v>1</v>
      </c>
      <c r="H486" s="22">
        <v>199</v>
      </c>
      <c r="I486" s="22">
        <v>1</v>
      </c>
      <c r="J486" s="22">
        <v>1</v>
      </c>
      <c r="K486" s="123" t="s">
        <v>3967</v>
      </c>
      <c r="L486" s="22">
        <v>0</v>
      </c>
      <c r="M486" s="22">
        <v>-1</v>
      </c>
      <c r="N486" s="22">
        <v>0</v>
      </c>
      <c r="O486" s="22">
        <v>0</v>
      </c>
      <c r="P486" s="22">
        <v>0</v>
      </c>
      <c r="Q486" s="22">
        <v>0</v>
      </c>
      <c r="R486" s="22">
        <v>0</v>
      </c>
      <c r="S486" s="123"/>
      <c r="T486" s="22">
        <v>0</v>
      </c>
      <c r="U486" s="22">
        <v>0</v>
      </c>
      <c r="V486" s="22">
        <v>0</v>
      </c>
      <c r="W486" s="23"/>
      <c r="X486" s="23"/>
      <c r="Y486" s="23"/>
    </row>
    <row r="487" spans="1:25" ht="14.25" customHeight="1">
      <c r="A487" s="188">
        <v>1</v>
      </c>
      <c r="B487" s="22" t="s">
        <v>3968</v>
      </c>
      <c r="C487" s="22">
        <v>488</v>
      </c>
      <c r="D487" s="22">
        <v>10</v>
      </c>
      <c r="E487" s="280">
        <v>43789</v>
      </c>
      <c r="F487" s="121" t="str">
        <f>HYPERLINK("https://dunia.tempo.co/read/1274572/berotak-jenius-begini-sosok-julian-assange ","sumber")</f>
        <v>sumber</v>
      </c>
      <c r="G487" s="223" t="s">
        <v>1</v>
      </c>
      <c r="H487" s="22">
        <v>564</v>
      </c>
      <c r="I487" s="22">
        <v>1</v>
      </c>
      <c r="J487" s="22">
        <v>1</v>
      </c>
      <c r="K487" s="123" t="s">
        <v>3969</v>
      </c>
      <c r="L487" s="22">
        <v>0</v>
      </c>
      <c r="M487" s="22">
        <v>-1</v>
      </c>
      <c r="N487" s="22">
        <v>0</v>
      </c>
      <c r="O487" s="22">
        <v>0</v>
      </c>
      <c r="P487" s="22">
        <v>0</v>
      </c>
      <c r="Q487" s="22">
        <v>0</v>
      </c>
      <c r="R487" s="22">
        <v>0</v>
      </c>
      <c r="S487" s="123"/>
      <c r="T487" s="22">
        <v>0</v>
      </c>
      <c r="U487" s="22">
        <v>-1</v>
      </c>
      <c r="V487" s="22">
        <v>0</v>
      </c>
      <c r="W487" s="23"/>
      <c r="X487" s="23"/>
      <c r="Y487" s="23"/>
    </row>
    <row r="488" spans="1:25" ht="14.25" customHeight="1">
      <c r="A488" s="21">
        <v>2</v>
      </c>
      <c r="B488" s="25" t="s">
        <v>3970</v>
      </c>
      <c r="C488" s="25">
        <v>489</v>
      </c>
      <c r="D488" s="25">
        <v>10</v>
      </c>
      <c r="E488" s="272">
        <v>43790</v>
      </c>
      <c r="F488" s="115" t="str">
        <f>HYPERLINK("https://dunia.tempo.co/read/1275039/ratu-elizabeth-ii-pecat-pangeran-andrew-dari-tugas-kerajaan ","sumber")</f>
        <v>sumber</v>
      </c>
      <c r="G488" s="228" t="s">
        <v>1</v>
      </c>
      <c r="H488" s="25">
        <v>362</v>
      </c>
      <c r="I488" s="25">
        <v>3</v>
      </c>
      <c r="J488" s="25">
        <v>5</v>
      </c>
      <c r="K488" s="124"/>
      <c r="L488" s="26"/>
      <c r="M488" s="26"/>
      <c r="N488" s="26"/>
      <c r="O488" s="26"/>
      <c r="P488" s="26"/>
      <c r="Q488" s="26"/>
      <c r="R488" s="26"/>
      <c r="S488" s="124"/>
      <c r="T488" s="26"/>
      <c r="U488" s="26"/>
      <c r="V488" s="26"/>
      <c r="W488" s="26"/>
      <c r="X488" s="26"/>
      <c r="Y488" s="26"/>
    </row>
    <row r="489" spans="1:25" ht="14.25" customHeight="1">
      <c r="A489" s="188">
        <v>1</v>
      </c>
      <c r="B489" s="22" t="s">
        <v>3971</v>
      </c>
      <c r="C489" s="22">
        <v>490</v>
      </c>
      <c r="D489" s="22">
        <v>4</v>
      </c>
      <c r="E489" s="280">
        <v>43791</v>
      </c>
      <c r="F489" s="121" t="str">
        <f>HYPERLINK("https://www.liputan6.com/global/read/4116393/22-11-1986-mike-tyson-jadi-juara-petinju-kelas-berat-termuda-dalam-sejarah ","sumber")</f>
        <v>sumber</v>
      </c>
      <c r="G489" s="223" t="s">
        <v>1</v>
      </c>
      <c r="H489" s="22">
        <v>231</v>
      </c>
      <c r="I489" s="22">
        <v>1</v>
      </c>
      <c r="J489" s="22">
        <v>1</v>
      </c>
      <c r="K489" s="123" t="s">
        <v>3972</v>
      </c>
      <c r="L489" s="22">
        <v>0</v>
      </c>
      <c r="M489" s="22">
        <v>-1</v>
      </c>
      <c r="N489" s="22">
        <v>0</v>
      </c>
      <c r="O489" s="22">
        <v>0</v>
      </c>
      <c r="P489" s="22">
        <v>0</v>
      </c>
      <c r="Q489" s="22">
        <v>0</v>
      </c>
      <c r="R489" s="22">
        <v>0</v>
      </c>
      <c r="S489" s="123"/>
      <c r="T489" s="22">
        <v>0</v>
      </c>
      <c r="U489" s="22">
        <v>-1</v>
      </c>
      <c r="V489" s="22">
        <v>0</v>
      </c>
      <c r="W489" s="23"/>
      <c r="X489" s="23"/>
      <c r="Y489" s="23"/>
    </row>
    <row r="490" spans="1:25" ht="14.25" customHeight="1">
      <c r="A490" s="188">
        <v>1</v>
      </c>
      <c r="B490" s="22" t="s">
        <v>3973</v>
      </c>
      <c r="C490" s="22">
        <v>491</v>
      </c>
      <c r="D490" s="22">
        <v>9</v>
      </c>
      <c r="E490" s="280">
        <v>43791</v>
      </c>
      <c r="F490" s="121" t="str">
        <f>HYPERLINK("https://internasional.republika.co.id/berita/q1dcn2/kritik-profesor-australia-indonesia-susah-terima-perbedaan ","sumber")</f>
        <v>sumber</v>
      </c>
      <c r="G490" s="223" t="s">
        <v>1</v>
      </c>
      <c r="H490" s="22">
        <v>719</v>
      </c>
      <c r="I490" s="22">
        <v>2</v>
      </c>
      <c r="J490" s="22">
        <v>1</v>
      </c>
      <c r="K490" s="123" t="s">
        <v>3974</v>
      </c>
      <c r="L490" s="22">
        <v>0</v>
      </c>
      <c r="M490" s="22">
        <v>0</v>
      </c>
      <c r="N490" s="22">
        <v>0</v>
      </c>
      <c r="O490" s="22">
        <v>0</v>
      </c>
      <c r="P490" s="22">
        <v>0</v>
      </c>
      <c r="Q490" s="22" t="s">
        <v>29</v>
      </c>
      <c r="R490" s="22" t="s">
        <v>29</v>
      </c>
      <c r="S490" s="123"/>
      <c r="T490" s="22">
        <v>0</v>
      </c>
      <c r="U490" s="22">
        <v>0</v>
      </c>
      <c r="V490" s="22">
        <v>0</v>
      </c>
      <c r="W490" s="23"/>
      <c r="X490" s="23"/>
      <c r="Y490" s="23"/>
    </row>
    <row r="491" spans="1:25" ht="14.25" customHeight="1">
      <c r="A491" s="188">
        <v>1</v>
      </c>
      <c r="B491" s="22" t="s">
        <v>3975</v>
      </c>
      <c r="C491" s="22">
        <v>492</v>
      </c>
      <c r="D491" s="22">
        <v>8</v>
      </c>
      <c r="E491" s="280">
        <v>43791</v>
      </c>
      <c r="F491" s="121" t="str">
        <f>HYPERLINK("https://www.suara.com/entertainment/2019/11/22/090110/deddy-corbuzier-bahas-mata-novel-baswedan-dan-3-berita-populer-lainnya ","sumber")</f>
        <v>sumber</v>
      </c>
      <c r="G491" s="223" t="s">
        <v>1</v>
      </c>
      <c r="H491" s="22">
        <v>369</v>
      </c>
      <c r="I491" s="22">
        <v>1</v>
      </c>
      <c r="J491" s="22">
        <v>1</v>
      </c>
      <c r="K491" s="123" t="s">
        <v>3976</v>
      </c>
      <c r="L491" s="22">
        <v>0</v>
      </c>
      <c r="M491" s="22">
        <v>-1</v>
      </c>
      <c r="N491" s="22">
        <v>-1</v>
      </c>
      <c r="O491" s="22">
        <v>0</v>
      </c>
      <c r="P491" s="22">
        <v>0</v>
      </c>
      <c r="Q491" s="22">
        <v>0</v>
      </c>
      <c r="R491" s="22">
        <v>0</v>
      </c>
      <c r="S491" s="123"/>
      <c r="T491" s="22">
        <v>0</v>
      </c>
      <c r="U491" s="22">
        <v>0</v>
      </c>
      <c r="V491" s="22">
        <v>0</v>
      </c>
      <c r="W491" s="23"/>
      <c r="X491" s="23"/>
      <c r="Y491" s="23"/>
    </row>
    <row r="492" spans="1:25" ht="14.25" customHeight="1">
      <c r="A492" s="209">
        <v>1</v>
      </c>
      <c r="B492" s="33" t="s">
        <v>3977</v>
      </c>
      <c r="C492" s="33">
        <v>493</v>
      </c>
      <c r="D492" s="33">
        <v>4</v>
      </c>
      <c r="E492" s="279">
        <v>43792</v>
      </c>
      <c r="F492" s="153" t="s">
        <v>2163</v>
      </c>
      <c r="G492" s="231" t="s">
        <v>1</v>
      </c>
      <c r="H492" s="33">
        <v>277</v>
      </c>
      <c r="I492" s="33">
        <v>3</v>
      </c>
      <c r="J492" s="33">
        <v>5</v>
      </c>
      <c r="K492" s="131" t="s">
        <v>3978</v>
      </c>
      <c r="L492" s="33">
        <v>0</v>
      </c>
      <c r="M492" s="33">
        <v>0</v>
      </c>
      <c r="N492" s="33">
        <v>0</v>
      </c>
      <c r="O492" s="33">
        <v>0</v>
      </c>
      <c r="P492" s="33">
        <v>0</v>
      </c>
      <c r="Q492" s="33">
        <v>0</v>
      </c>
      <c r="R492" s="33">
        <v>1</v>
      </c>
      <c r="S492" s="131"/>
      <c r="T492" s="33">
        <v>0</v>
      </c>
      <c r="U492" s="33">
        <v>0</v>
      </c>
      <c r="V492" s="33">
        <v>0</v>
      </c>
      <c r="W492" s="24"/>
      <c r="X492" s="24"/>
      <c r="Y492" s="24"/>
    </row>
    <row r="493" spans="1:25" ht="14.25" customHeight="1">
      <c r="A493" s="188">
        <v>1</v>
      </c>
      <c r="B493" s="22" t="s">
        <v>3979</v>
      </c>
      <c r="C493" s="22">
        <v>494</v>
      </c>
      <c r="D493" s="22">
        <v>2</v>
      </c>
      <c r="E493" s="280">
        <v>43793</v>
      </c>
      <c r="F493" s="121" t="str">
        <f>HYPERLINK("https://www.cnnindonesia.com/hiburan/20191124191521-234-451072/goo-hara-jadi-artis-ketiga-korea-yang-meninggal-di-tahun-2019 ","sumber")</f>
        <v>sumber</v>
      </c>
      <c r="G493" s="223" t="s">
        <v>1</v>
      </c>
      <c r="H493" s="22">
        <v>361</v>
      </c>
      <c r="I493" s="22">
        <v>1</v>
      </c>
      <c r="J493" s="22">
        <v>1</v>
      </c>
      <c r="K493" s="123" t="s">
        <v>3980</v>
      </c>
      <c r="L493" s="22">
        <v>0</v>
      </c>
      <c r="M493" s="147">
        <v>0</v>
      </c>
      <c r="N493" s="22">
        <v>0</v>
      </c>
      <c r="O493" s="22">
        <v>0</v>
      </c>
      <c r="P493" s="22">
        <v>0</v>
      </c>
      <c r="Q493" s="22">
        <v>0</v>
      </c>
      <c r="R493" s="22">
        <v>0</v>
      </c>
      <c r="S493" s="123"/>
      <c r="T493" s="22">
        <v>0</v>
      </c>
      <c r="U493" s="22">
        <v>0</v>
      </c>
      <c r="V493" s="22">
        <v>0</v>
      </c>
      <c r="W493" s="23"/>
      <c r="X493" s="23"/>
      <c r="Y493" s="23"/>
    </row>
    <row r="494" spans="1:25" ht="14.25" customHeight="1">
      <c r="A494" s="188">
        <v>1</v>
      </c>
      <c r="B494" s="22" t="s">
        <v>3981</v>
      </c>
      <c r="C494" s="22">
        <v>495</v>
      </c>
      <c r="D494" s="22">
        <v>1</v>
      </c>
      <c r="E494" s="280">
        <v>43793</v>
      </c>
      <c r="F494" s="121" t="str">
        <f>HYPERLINK("https://news.detik.com/berita-jawa-timur/d-4796020/pria-yang-tewas-dibacok-juga-bawa-pisau-saat-hendak-perkosa-istri-orang ","sumber")</f>
        <v>sumber</v>
      </c>
      <c r="G494" s="223" t="s">
        <v>1</v>
      </c>
      <c r="H494" s="22">
        <v>170</v>
      </c>
      <c r="I494" s="22">
        <v>1</v>
      </c>
      <c r="J494" s="22">
        <v>1</v>
      </c>
      <c r="K494" s="123" t="s">
        <v>3982</v>
      </c>
      <c r="L494" s="22">
        <v>0</v>
      </c>
      <c r="M494" s="147">
        <v>0</v>
      </c>
      <c r="N494" s="22">
        <v>0</v>
      </c>
      <c r="O494" s="22">
        <v>0</v>
      </c>
      <c r="P494" s="22">
        <v>0</v>
      </c>
      <c r="Q494" s="22">
        <v>0</v>
      </c>
      <c r="R494" s="22">
        <v>0</v>
      </c>
      <c r="S494" s="123"/>
      <c r="T494" s="22">
        <v>0</v>
      </c>
      <c r="U494" s="22">
        <v>0</v>
      </c>
      <c r="V494" s="22">
        <v>0</v>
      </c>
      <c r="W494" s="23"/>
      <c r="X494" s="23"/>
      <c r="Y494" s="23"/>
    </row>
    <row r="495" spans="1:25" ht="14.25" customHeight="1">
      <c r="A495" s="188">
        <v>1</v>
      </c>
      <c r="B495" s="22" t="s">
        <v>3983</v>
      </c>
      <c r="C495" s="22">
        <v>496</v>
      </c>
      <c r="D495" s="22">
        <v>3</v>
      </c>
      <c r="E495" s="280">
        <v>43793</v>
      </c>
      <c r="F495" s="121" t="str">
        <f>HYPERLINK("https://news.okezone.com/read/2019/11/23/18/2133638/wanita-muslim-bela-keluarga-yahudi-yang-diserang-seorang-pria-di-krl ","sumber")</f>
        <v>sumber</v>
      </c>
      <c r="G495" s="223" t="s">
        <v>1</v>
      </c>
      <c r="H495" s="22">
        <v>519</v>
      </c>
      <c r="I495" s="22">
        <v>1</v>
      </c>
      <c r="J495" s="22">
        <v>4</v>
      </c>
      <c r="K495" s="123" t="s">
        <v>3984</v>
      </c>
      <c r="L495" s="22">
        <v>0</v>
      </c>
      <c r="M495" s="22">
        <v>1</v>
      </c>
      <c r="N495" s="22">
        <v>0</v>
      </c>
      <c r="O495" s="22">
        <v>0</v>
      </c>
      <c r="P495" s="22">
        <v>0</v>
      </c>
      <c r="Q495" s="22" t="s">
        <v>29</v>
      </c>
      <c r="R495" s="22" t="s">
        <v>160</v>
      </c>
      <c r="S495" s="123"/>
      <c r="T495" s="22">
        <v>0</v>
      </c>
      <c r="U495" s="22">
        <v>0</v>
      </c>
      <c r="V495" s="22">
        <v>0</v>
      </c>
      <c r="W495" s="23"/>
      <c r="X495" s="23"/>
      <c r="Y495" s="23"/>
    </row>
    <row r="496" spans="1:25" ht="14.25" customHeight="1">
      <c r="A496" s="188">
        <v>1</v>
      </c>
      <c r="B496" s="22" t="s">
        <v>3985</v>
      </c>
      <c r="C496" s="22">
        <v>497</v>
      </c>
      <c r="D496" s="22">
        <v>3</v>
      </c>
      <c r="E496" s="280">
        <v>43794</v>
      </c>
      <c r="F496" s="121" t="str">
        <f>HYPERLINK("https://celebrity.okezone.com/read/2019/11/25/33/2134123/hari-guru-vanessa-angel-berharap-bisa-selesaikan-pendidikan-sma ","sumber")</f>
        <v>sumber</v>
      </c>
      <c r="G496" s="223" t="s">
        <v>1</v>
      </c>
      <c r="H496" s="22">
        <v>343</v>
      </c>
      <c r="I496" s="22">
        <v>1</v>
      </c>
      <c r="J496" s="22">
        <v>1</v>
      </c>
      <c r="K496" s="123" t="s">
        <v>3986</v>
      </c>
      <c r="L496" s="22">
        <v>0</v>
      </c>
      <c r="M496" s="147">
        <v>0</v>
      </c>
      <c r="N496" s="22">
        <v>0</v>
      </c>
      <c r="O496" s="22">
        <v>0</v>
      </c>
      <c r="P496" s="22">
        <v>0</v>
      </c>
      <c r="Q496" s="22" t="s">
        <v>48</v>
      </c>
      <c r="R496" s="22" t="s">
        <v>514</v>
      </c>
      <c r="S496" s="123"/>
      <c r="T496" s="22">
        <v>0</v>
      </c>
      <c r="U496" s="22">
        <v>-1</v>
      </c>
      <c r="V496" s="22">
        <v>0</v>
      </c>
      <c r="W496" s="23"/>
      <c r="X496" s="23"/>
      <c r="Y496" s="23"/>
    </row>
    <row r="497" spans="1:25" ht="14.25" customHeight="1">
      <c r="A497" s="188">
        <v>1</v>
      </c>
      <c r="B497" s="22" t="s">
        <v>3987</v>
      </c>
      <c r="C497" s="22">
        <v>498</v>
      </c>
      <c r="D497" s="22">
        <v>7</v>
      </c>
      <c r="E497" s="280">
        <v>43794</v>
      </c>
      <c r="F497" s="121" t="str">
        <f>HYPERLINK("https://www.tribunnews.com/nasional/2019/11/25/forum-pengadu-layanan-komnas-perempuan-catat-ada-168-kasus-hubungan-sedarah-sepanjang-2016-2018 ","sumber")</f>
        <v>sumber</v>
      </c>
      <c r="G497" s="223" t="s">
        <v>1</v>
      </c>
      <c r="H497" s="22">
        <v>248</v>
      </c>
      <c r="I497" s="22">
        <v>1</v>
      </c>
      <c r="J497" s="22">
        <v>1</v>
      </c>
      <c r="K497" s="123" t="s">
        <v>3988</v>
      </c>
      <c r="L497" s="22">
        <v>0</v>
      </c>
      <c r="M497" s="22">
        <v>-1</v>
      </c>
      <c r="N497" s="22">
        <v>0</v>
      </c>
      <c r="O497" s="22">
        <v>0</v>
      </c>
      <c r="P497" s="22">
        <v>0</v>
      </c>
      <c r="Q497" s="22">
        <v>1</v>
      </c>
      <c r="R497" s="22">
        <v>0</v>
      </c>
      <c r="S497" s="123"/>
      <c r="T497" s="22">
        <v>0</v>
      </c>
      <c r="U497" s="22">
        <v>0</v>
      </c>
      <c r="V497" s="22">
        <v>0</v>
      </c>
      <c r="W497" s="23"/>
      <c r="X497" s="23"/>
      <c r="Y497" s="23"/>
    </row>
    <row r="498" spans="1:25" ht="14.25" customHeight="1">
      <c r="A498" s="188">
        <v>1</v>
      </c>
      <c r="B498" s="22" t="s">
        <v>3989</v>
      </c>
      <c r="C498" s="22">
        <v>499</v>
      </c>
      <c r="D498" s="22">
        <v>7</v>
      </c>
      <c r="E498" s="280">
        <v>43811</v>
      </c>
      <c r="F498" s="121" t="str">
        <f>HYPERLINK("https://www.tribunnews.com/regional/2019/12/12/driver-taksi-online-dan-penumpang-berdamai-polisi-hentikan-penyelidikan-dugaan-kasus-pencabulan ","sumber")</f>
        <v>sumber</v>
      </c>
      <c r="G498" s="223" t="s">
        <v>1</v>
      </c>
      <c r="H498" s="22">
        <v>181</v>
      </c>
      <c r="I498" s="22">
        <v>1</v>
      </c>
      <c r="J498" s="22">
        <v>1</v>
      </c>
      <c r="K498" s="123" t="s">
        <v>3990</v>
      </c>
      <c r="L498" s="22">
        <v>0</v>
      </c>
      <c r="M498" s="147">
        <v>0</v>
      </c>
      <c r="N498" s="22">
        <v>-1</v>
      </c>
      <c r="O498" s="22">
        <v>0</v>
      </c>
      <c r="P498" s="22">
        <v>0</v>
      </c>
      <c r="Q498" s="146" t="s">
        <v>21</v>
      </c>
      <c r="R498" s="22" t="s">
        <v>106</v>
      </c>
      <c r="S498" s="123" t="s">
        <v>3991</v>
      </c>
      <c r="T498" s="22">
        <v>3</v>
      </c>
      <c r="U498" s="22">
        <v>-1</v>
      </c>
      <c r="V498" s="22">
        <v>0</v>
      </c>
      <c r="W498" s="23"/>
      <c r="X498" s="23"/>
      <c r="Y498" s="23"/>
    </row>
    <row r="499" spans="1:25" ht="14.25" customHeight="1">
      <c r="A499" s="188">
        <v>1</v>
      </c>
      <c r="B499" s="22" t="s">
        <v>3992</v>
      </c>
      <c r="C499" s="22">
        <v>500</v>
      </c>
      <c r="D499" s="22">
        <v>8</v>
      </c>
      <c r="E499" s="280">
        <v>43814</v>
      </c>
      <c r="F499" s="121" t="str">
        <f>HYPERLINK("https://www.suara.com/news/2019/12/15/192506/presiden-turki-apresiasi-kinerja-risma-sebagai-perempuan-inspiratif ","sumber")</f>
        <v>sumber</v>
      </c>
      <c r="G499" s="223" t="s">
        <v>1</v>
      </c>
      <c r="H499" s="22">
        <v>759</v>
      </c>
      <c r="I499" s="22">
        <v>3</v>
      </c>
      <c r="J499" s="22">
        <v>1</v>
      </c>
      <c r="K499" s="123" t="s">
        <v>3993</v>
      </c>
      <c r="L499" s="22">
        <v>0</v>
      </c>
      <c r="M499" s="22">
        <v>0</v>
      </c>
      <c r="N499" s="22">
        <v>0</v>
      </c>
      <c r="O499" s="22">
        <v>0</v>
      </c>
      <c r="P499" s="22">
        <v>0</v>
      </c>
      <c r="Q499" s="22" t="s">
        <v>29</v>
      </c>
      <c r="R499" s="22" t="s">
        <v>160</v>
      </c>
      <c r="S499" s="123"/>
      <c r="T499" s="22">
        <v>0</v>
      </c>
      <c r="U499" s="22">
        <v>0</v>
      </c>
      <c r="V499" s="22">
        <v>1</v>
      </c>
      <c r="W499" s="23"/>
      <c r="X499" s="23"/>
      <c r="Y499" s="23"/>
    </row>
    <row r="500" spans="1:25" ht="14.25" customHeight="1">
      <c r="A500" s="188">
        <v>1</v>
      </c>
      <c r="B500" s="22" t="s">
        <v>3994</v>
      </c>
      <c r="C500" s="22">
        <v>501</v>
      </c>
      <c r="D500" s="22">
        <v>2</v>
      </c>
      <c r="E500" s="280">
        <v>43815</v>
      </c>
      <c r="F500" s="121" t="str">
        <f>HYPERLINK("https://www.cnnindonesia.com/gaya-hidup/20191216184533-269-457499/colosseum-diskotek-terbaik-di-dunia-yang-gegerkan-jakarta ","sumber")</f>
        <v>sumber</v>
      </c>
      <c r="G500" s="223" t="s">
        <v>1</v>
      </c>
      <c r="H500" s="22">
        <v>489</v>
      </c>
      <c r="I500" s="22">
        <v>4</v>
      </c>
      <c r="J500" s="22">
        <v>1</v>
      </c>
      <c r="K500" s="123" t="s">
        <v>3995</v>
      </c>
      <c r="L500" s="22">
        <v>0</v>
      </c>
      <c r="M500" s="22">
        <v>0</v>
      </c>
      <c r="N500" s="22">
        <v>0</v>
      </c>
      <c r="O500" s="22">
        <v>0</v>
      </c>
      <c r="P500" s="22">
        <v>0</v>
      </c>
      <c r="Q500" s="22">
        <v>0</v>
      </c>
      <c r="R500" s="22">
        <v>0</v>
      </c>
      <c r="S500" s="123"/>
      <c r="T500" s="22">
        <v>0</v>
      </c>
      <c r="U500" s="22">
        <v>0</v>
      </c>
      <c r="V500" s="22">
        <v>0</v>
      </c>
      <c r="W500" s="23"/>
      <c r="X500" s="23"/>
      <c r="Y500" s="23"/>
    </row>
    <row r="501" spans="1:25" ht="14.25" customHeight="1">
      <c r="A501" s="21">
        <v>2</v>
      </c>
      <c r="B501" s="25" t="s">
        <v>3996</v>
      </c>
      <c r="C501" s="25">
        <v>502</v>
      </c>
      <c r="D501" s="25">
        <v>1</v>
      </c>
      <c r="E501" s="272">
        <v>43815</v>
      </c>
      <c r="F501" s="115" t="str">
        <f>HYPERLINK("https://hot.detik.com/celeb/d-4824398/vanessa-angel-nikah-diam-diam-ayah-semoga-kembali-ke-jalan-yang-benar ","sumber")</f>
        <v>sumber</v>
      </c>
      <c r="G501" s="228" t="s">
        <v>1</v>
      </c>
      <c r="H501" s="25">
        <v>1521</v>
      </c>
      <c r="I501" s="25">
        <v>2</v>
      </c>
      <c r="J501" s="25">
        <v>5</v>
      </c>
      <c r="K501" s="116"/>
      <c r="L501" s="26"/>
      <c r="M501" s="26"/>
      <c r="N501" s="26"/>
      <c r="O501" s="26"/>
      <c r="P501" s="26"/>
      <c r="Q501" s="26"/>
      <c r="R501" s="26"/>
      <c r="S501" s="116"/>
      <c r="T501" s="26"/>
      <c r="U501" s="26"/>
      <c r="V501" s="26"/>
      <c r="W501" s="26"/>
      <c r="X501" s="26"/>
      <c r="Y501" s="26"/>
    </row>
    <row r="502" spans="1:25" ht="14.25" customHeight="1">
      <c r="A502" s="188">
        <v>1</v>
      </c>
      <c r="B502" s="22" t="s">
        <v>3997</v>
      </c>
      <c r="C502" s="22">
        <v>503</v>
      </c>
      <c r="D502" s="22">
        <v>8</v>
      </c>
      <c r="E502" s="280">
        <v>43818</v>
      </c>
      <c r="F502" s="121" t="str">
        <f>HYPERLINK("https://www.suara.com/news/2019/12/19/151249/perawat-iwan-minta-pasien-lepas-celana-dan-raba-kemaluan-ditangkap-polisi ","sumber")</f>
        <v>sumber</v>
      </c>
      <c r="G502" s="223" t="s">
        <v>1</v>
      </c>
      <c r="H502" s="22">
        <v>191</v>
      </c>
      <c r="I502" s="22">
        <v>1</v>
      </c>
      <c r="J502" s="22">
        <v>1</v>
      </c>
      <c r="K502" s="123" t="s">
        <v>3998</v>
      </c>
      <c r="L502" s="22">
        <v>0</v>
      </c>
      <c r="M502" s="22">
        <v>1</v>
      </c>
      <c r="N502" s="22">
        <v>0</v>
      </c>
      <c r="O502" s="22">
        <v>0</v>
      </c>
      <c r="P502" s="22">
        <v>0</v>
      </c>
      <c r="Q502" s="146" t="s">
        <v>29</v>
      </c>
      <c r="R502" s="146" t="s">
        <v>53</v>
      </c>
      <c r="S502" s="123"/>
      <c r="T502" s="22">
        <v>0</v>
      </c>
      <c r="U502" s="22">
        <v>0</v>
      </c>
      <c r="V502" s="22">
        <v>0</v>
      </c>
      <c r="W502" s="23"/>
      <c r="X502" s="23"/>
      <c r="Y502" s="23"/>
    </row>
    <row r="503" spans="1:25" ht="14.25" customHeight="1">
      <c r="A503" s="21">
        <v>2</v>
      </c>
      <c r="B503" s="25" t="s">
        <v>1040</v>
      </c>
      <c r="C503" s="25">
        <v>504</v>
      </c>
      <c r="D503" s="25">
        <v>1</v>
      </c>
      <c r="E503" s="272">
        <v>43819</v>
      </c>
      <c r="F503" s="115" t="str">
        <f>HYPERLINK("https://hot.detik.com/celeb/d-4829585/ichsan-munthe-sosok-yang-disebut-suami-vanessa-angel ","sumber")</f>
        <v>sumber</v>
      </c>
      <c r="G503" s="228" t="s">
        <v>1</v>
      </c>
      <c r="H503" s="25">
        <v>1559</v>
      </c>
      <c r="I503" s="25">
        <v>2</v>
      </c>
      <c r="J503" s="25">
        <v>5</v>
      </c>
      <c r="K503" s="116"/>
      <c r="L503" s="26"/>
      <c r="M503" s="26"/>
      <c r="N503" s="26"/>
      <c r="O503" s="26"/>
      <c r="P503" s="26"/>
      <c r="Q503" s="26"/>
      <c r="R503" s="26"/>
      <c r="S503" s="116"/>
      <c r="T503" s="26"/>
      <c r="U503" s="26"/>
      <c r="V503" s="26"/>
      <c r="W503" s="26"/>
      <c r="X503" s="26"/>
      <c r="Y503" s="26"/>
    </row>
    <row r="504" spans="1:25" ht="14.25" customHeight="1">
      <c r="A504" s="188">
        <v>1</v>
      </c>
      <c r="B504" s="22" t="s">
        <v>3999</v>
      </c>
      <c r="C504" s="22">
        <v>505</v>
      </c>
      <c r="D504" s="22">
        <v>1</v>
      </c>
      <c r="E504" s="280">
        <v>43820</v>
      </c>
      <c r="F504" s="121" t="str">
        <f>HYPERLINK("https://hot.detik.com/celeb/d-4831449/8-kontroversi-nikita-mirzani ","sumber")</f>
        <v>sumber</v>
      </c>
      <c r="G504" s="223" t="s">
        <v>1</v>
      </c>
      <c r="H504" s="22">
        <v>1870</v>
      </c>
      <c r="I504" s="22">
        <v>1</v>
      </c>
      <c r="J504" s="22">
        <v>1</v>
      </c>
      <c r="K504" s="123" t="s">
        <v>4000</v>
      </c>
      <c r="L504" s="22">
        <v>0</v>
      </c>
      <c r="M504" s="22">
        <v>-1</v>
      </c>
      <c r="N504" s="22">
        <v>0</v>
      </c>
      <c r="O504" s="22">
        <v>0</v>
      </c>
      <c r="P504" s="22">
        <v>0</v>
      </c>
      <c r="Q504" s="22">
        <v>0</v>
      </c>
      <c r="R504" s="22">
        <v>0</v>
      </c>
      <c r="S504" s="123"/>
      <c r="T504" s="22">
        <v>0</v>
      </c>
      <c r="U504" s="22">
        <v>-1</v>
      </c>
      <c r="V504" s="22">
        <v>0</v>
      </c>
      <c r="W504" s="23"/>
      <c r="X504" s="23"/>
      <c r="Y504" s="23"/>
    </row>
    <row r="505" spans="1:25" ht="14.25" customHeight="1">
      <c r="A505" s="188">
        <v>1</v>
      </c>
      <c r="B505" s="22" t="s">
        <v>4001</v>
      </c>
      <c r="C505" s="22">
        <v>506</v>
      </c>
      <c r="D505" s="22">
        <v>2</v>
      </c>
      <c r="E505" s="280">
        <v>43821</v>
      </c>
      <c r="F505" s="121" t="str">
        <f>HYPERLINK("https://www.cnnindonesia.com/nasional/20191222123242-20-459088/5-tuntutan-ruwatan-perempuan-di-hari-ibu ","sumber")</f>
        <v>sumber</v>
      </c>
      <c r="G505" s="223" t="s">
        <v>1</v>
      </c>
      <c r="H505" s="22">
        <v>352</v>
      </c>
      <c r="I505" s="22">
        <v>4</v>
      </c>
      <c r="J505" s="22">
        <v>1</v>
      </c>
      <c r="K505" s="123" t="s">
        <v>4002</v>
      </c>
      <c r="L505" s="22">
        <v>0</v>
      </c>
      <c r="M505" s="22">
        <v>0</v>
      </c>
      <c r="N505" s="22">
        <v>0</v>
      </c>
      <c r="O505" s="22">
        <v>0</v>
      </c>
      <c r="P505" s="22">
        <v>0</v>
      </c>
      <c r="Q505" s="123" t="s">
        <v>1046</v>
      </c>
      <c r="R505" s="22" t="s">
        <v>360</v>
      </c>
      <c r="S505" s="123"/>
      <c r="T505" s="22">
        <v>0</v>
      </c>
      <c r="U505" s="22">
        <v>0</v>
      </c>
      <c r="V505" s="22">
        <v>0</v>
      </c>
      <c r="W505" s="23"/>
      <c r="X505" s="23"/>
      <c r="Y505" s="23"/>
    </row>
    <row r="506" spans="1:25" ht="14.25" customHeight="1">
      <c r="A506" s="148">
        <v>1</v>
      </c>
      <c r="B506" s="202" t="s">
        <v>1041</v>
      </c>
      <c r="C506" s="33">
        <v>507</v>
      </c>
      <c r="D506" s="33">
        <v>3</v>
      </c>
      <c r="E506" s="279">
        <v>43822</v>
      </c>
      <c r="F506" s="130" t="str">
        <f>HYPERLINK("https://economy.okezone.com/read/2019/12/23/320/2145044/sri-mulyani-ibu-teman-dekat-saat-anaknya-mengalami-masa-sulit","sumber")</f>
        <v>sumber</v>
      </c>
      <c r="G506" s="231" t="s">
        <v>1</v>
      </c>
      <c r="H506" s="33">
        <v>311</v>
      </c>
      <c r="I506" s="33">
        <v>3</v>
      </c>
      <c r="J506" s="33">
        <v>5</v>
      </c>
      <c r="K506" s="131" t="s">
        <v>4003</v>
      </c>
      <c r="L506" s="33">
        <v>0</v>
      </c>
      <c r="M506" s="33">
        <v>0</v>
      </c>
      <c r="N506" s="33">
        <v>0</v>
      </c>
      <c r="O506" s="33">
        <v>0</v>
      </c>
      <c r="P506" s="33">
        <v>0</v>
      </c>
      <c r="Q506" s="33" t="s">
        <v>29</v>
      </c>
      <c r="R506" s="33" t="s">
        <v>160</v>
      </c>
      <c r="S506" s="131"/>
      <c r="T506" s="33">
        <v>0</v>
      </c>
      <c r="U506" s="33">
        <v>0</v>
      </c>
      <c r="V506" s="33">
        <v>0</v>
      </c>
      <c r="W506" s="24"/>
      <c r="X506" s="24"/>
      <c r="Y506" s="24"/>
    </row>
    <row r="507" spans="1:25" ht="14.25" customHeight="1">
      <c r="A507" s="188">
        <v>1</v>
      </c>
      <c r="B507" s="22" t="s">
        <v>4004</v>
      </c>
      <c r="C507" s="22">
        <v>508</v>
      </c>
      <c r="D507" s="22">
        <v>7</v>
      </c>
      <c r="E507" s="280">
        <v>43822</v>
      </c>
      <c r="F507" s="121" t="str">
        <f>HYPERLINK("https://www.tribunnews.com/seleb/2019/12/23/5-fakta-penderitaan-yuni-shara-menikah-dengan-raymond-manthey-bertahan-cuma-4-bulan-drama-kdrt ","sumber")</f>
        <v>sumber</v>
      </c>
      <c r="G507" s="223" t="s">
        <v>1</v>
      </c>
      <c r="H507" s="22">
        <v>95</v>
      </c>
      <c r="I507" s="22">
        <v>1</v>
      </c>
      <c r="J507" s="22">
        <v>1</v>
      </c>
      <c r="K507" s="123" t="s">
        <v>4005</v>
      </c>
      <c r="L507" s="22">
        <v>0</v>
      </c>
      <c r="M507" s="22">
        <v>-1</v>
      </c>
      <c r="N507" s="22">
        <v>-1</v>
      </c>
      <c r="O507" s="22">
        <v>0</v>
      </c>
      <c r="P507" s="22">
        <v>0</v>
      </c>
      <c r="Q507" s="22">
        <v>2</v>
      </c>
      <c r="R507" s="22">
        <v>0</v>
      </c>
      <c r="S507" s="123"/>
      <c r="T507" s="22">
        <v>0</v>
      </c>
      <c r="U507" s="22">
        <v>-1</v>
      </c>
      <c r="V507" s="22">
        <v>0</v>
      </c>
      <c r="W507" s="23"/>
      <c r="X507" s="23"/>
      <c r="Y507" s="23"/>
    </row>
    <row r="508" spans="1:25" ht="14.25" customHeight="1">
      <c r="A508" s="21">
        <v>2</v>
      </c>
      <c r="B508" s="25" t="s">
        <v>1941</v>
      </c>
      <c r="C508" s="25">
        <v>509</v>
      </c>
      <c r="D508" s="25">
        <v>5</v>
      </c>
      <c r="E508" s="272">
        <v>43826</v>
      </c>
      <c r="F508" s="115" t="str">
        <f>HYPERLINK("https://tirto.id/jelang-nataru-polda-metro-jaya-tangkap-47-orang-terkait-narkoba-epiW ","sumber")</f>
        <v>sumber</v>
      </c>
      <c r="G508" s="228" t="s">
        <v>1</v>
      </c>
      <c r="H508" s="25">
        <v>260</v>
      </c>
      <c r="I508" s="25">
        <v>1</v>
      </c>
      <c r="J508" s="25">
        <v>1</v>
      </c>
      <c r="K508" s="124"/>
      <c r="L508" s="26"/>
      <c r="M508" s="26"/>
      <c r="N508" s="26"/>
      <c r="O508" s="26"/>
      <c r="P508" s="26"/>
      <c r="Q508" s="26"/>
      <c r="R508" s="26"/>
      <c r="S508" s="124"/>
      <c r="T508" s="26"/>
      <c r="U508" s="26"/>
      <c r="V508" s="26"/>
      <c r="W508" s="26"/>
      <c r="X508" s="26"/>
      <c r="Y508" s="26"/>
    </row>
    <row r="509" spans="1:25" ht="14.25" customHeight="1">
      <c r="A509" s="188">
        <v>1</v>
      </c>
      <c r="B509" s="22" t="s">
        <v>1047</v>
      </c>
      <c r="C509" s="22">
        <v>510</v>
      </c>
      <c r="D509" s="22">
        <v>9</v>
      </c>
      <c r="E509" s="280">
        <v>43827</v>
      </c>
      <c r="F509" s="121" t="str">
        <f>HYPERLINK("https://nasional.republika.co.id/berita/q37tou349/polri-pelaporan-kasus-pemerkosaan-meningkat-di-2019 ","sumber")</f>
        <v>sumber</v>
      </c>
      <c r="G509" s="223" t="s">
        <v>1</v>
      </c>
      <c r="H509" s="22">
        <v>205</v>
      </c>
      <c r="I509" s="22">
        <v>1</v>
      </c>
      <c r="J509" s="22">
        <v>1</v>
      </c>
      <c r="K509" s="123" t="s">
        <v>1049</v>
      </c>
      <c r="L509" s="22">
        <v>0</v>
      </c>
      <c r="M509" s="22">
        <v>-1</v>
      </c>
      <c r="N509" s="22">
        <v>0</v>
      </c>
      <c r="O509" s="22">
        <v>0</v>
      </c>
      <c r="P509" s="22">
        <v>0</v>
      </c>
      <c r="Q509" s="22">
        <v>0</v>
      </c>
      <c r="R509" s="22">
        <v>1</v>
      </c>
      <c r="S509" s="123"/>
      <c r="T509" s="22">
        <v>0</v>
      </c>
      <c r="U509" s="22">
        <v>0</v>
      </c>
      <c r="V509" s="22">
        <v>0</v>
      </c>
      <c r="W509" s="23"/>
      <c r="X509" s="23"/>
      <c r="Y509" s="23"/>
    </row>
  </sheetData>
  <customSheetViews>
    <customSheetView guid="{E3B16FF4-157A-41A8-880D-5DDB83361892}" filter="1" showAutoFilter="1">
      <pageMargins left="0.7" right="0.7" top="0.75" bottom="0.75" header="0.3" footer="0.3"/>
      <autoFilter ref="Y12"/>
    </customSheetView>
    <customSheetView guid="{66348944-9FC2-49D4-937A-1A6FEBFF4639}" filter="1" showAutoFilter="1">
      <pageMargins left="0.7" right="0.7" top="0.75" bottom="0.75" header="0.3" footer="0.3"/>
      <autoFilter ref="A5:A513"/>
    </customSheetView>
    <customSheetView guid="{7A661D72-FC41-4646-AEAF-00CD193B6D95}" filter="1" showAutoFilter="1">
      <pageMargins left="0.7" right="0.7" top="0.75" bottom="0.75" header="0.3" footer="0.3"/>
      <autoFilter ref="P5:P513"/>
    </customSheetView>
    <customSheetView guid="{62CFFA2F-2CDE-4159-80E8-0067D9460027}" filter="1" showAutoFilter="1">
      <pageMargins left="0.7" right="0.7" top="0.75" bottom="0.75" header="0.3" footer="0.3"/>
      <autoFilter ref="Z1:Z1498"/>
    </customSheetView>
    <customSheetView guid="{0B48C2DC-E7D4-4DCC-ACB5-09BD4089ED05}" filter="1" showAutoFilter="1">
      <pageMargins left="0.7" right="0.7" top="0.75" bottom="0.75" header="0.3" footer="0.3"/>
      <autoFilter ref="Y1:Y513"/>
    </customSheetView>
    <customSheetView guid="{17EFBF60-FA66-46DD-8C66-7DD74D543108}" filter="1" showAutoFilter="1">
      <pageMargins left="0.7" right="0.7" top="0.75" bottom="0.75" header="0.3" footer="0.3"/>
      <autoFilter ref="K5:K513"/>
    </customSheetView>
    <customSheetView guid="{20CAB334-E8B9-4848-AC8F-2E0A8DBFE604}" filter="1" showAutoFilter="1">
      <pageMargins left="0.7" right="0.7" top="0.75" bottom="0.75" header="0.3" footer="0.3"/>
      <autoFilter ref="S5:S513"/>
    </customSheetView>
  </customSheetViews>
  <hyperlinks>
    <hyperlink ref="F121" r:id="rId1"/>
    <hyperlink ref="F277" r:id="rId2"/>
    <hyperlink ref="F485" r:id="rId3"/>
    <hyperlink ref="F492" r:id="rId4"/>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503"/>
  <sheetViews>
    <sheetView workbookViewId="0">
      <pane ySplit="1" topLeftCell="A289" activePane="bottomLeft" state="frozen"/>
      <selection pane="bottomLeft" activeCell="I293" sqref="I293"/>
    </sheetView>
  </sheetViews>
  <sheetFormatPr defaultColWidth="14.44140625" defaultRowHeight="15.75" customHeight="1"/>
  <cols>
    <col min="1" max="2" width="10" customWidth="1"/>
    <col min="3" max="3" width="4.33203125" customWidth="1"/>
    <col min="4" max="4" width="7.44140625" customWidth="1"/>
    <col min="5" max="5" width="11.44140625" customWidth="1"/>
    <col min="6" max="6" width="7.44140625" customWidth="1"/>
    <col min="7" max="7" width="7" customWidth="1"/>
    <col min="8" max="10" width="11.33203125" customWidth="1"/>
    <col min="11" max="11" width="20" customWidth="1"/>
    <col min="12" max="13" width="10.6640625" customWidth="1"/>
    <col min="14" max="16" width="12" customWidth="1"/>
    <col min="17" max="18" width="13.44140625" customWidth="1"/>
    <col min="19" max="19" width="29.33203125" customWidth="1"/>
    <col min="20" max="20" width="8.33203125" customWidth="1"/>
    <col min="21" max="21" width="8.5546875" customWidth="1"/>
    <col min="22" max="22" width="10.6640625" customWidth="1"/>
    <col min="23" max="24" width="8.109375" customWidth="1"/>
    <col min="25" max="25" width="9.88671875" customWidth="1"/>
  </cols>
  <sheetData>
    <row r="1" spans="1:25" ht="13.8">
      <c r="A1" s="281">
        <v>2</v>
      </c>
      <c r="B1" s="282" t="s">
        <v>4006</v>
      </c>
      <c r="C1" s="25">
        <v>1</v>
      </c>
      <c r="D1" s="25">
        <v>1</v>
      </c>
      <c r="E1" s="234">
        <v>43497</v>
      </c>
      <c r="F1" s="115" t="str">
        <f>HYPERLINK("https://news.detik.com/berita-jawa-tengah/d-4367945/menristekdikti-dukung-pembukaan-prodi-kebencanaaan-di-universitas ","sumber")</f>
        <v>sumber</v>
      </c>
      <c r="G1" s="25" t="s">
        <v>1</v>
      </c>
      <c r="H1" s="25">
        <v>255</v>
      </c>
      <c r="I1" s="25"/>
      <c r="J1" s="25">
        <v>4</v>
      </c>
      <c r="K1" s="116"/>
      <c r="L1" s="25"/>
      <c r="M1" s="25"/>
      <c r="N1" s="25"/>
      <c r="O1" s="25"/>
      <c r="P1" s="25"/>
      <c r="Q1" s="25"/>
      <c r="R1" s="25"/>
      <c r="S1" s="116"/>
      <c r="T1" s="25"/>
      <c r="U1" s="25"/>
      <c r="V1" s="25"/>
      <c r="W1" s="25"/>
      <c r="X1" s="26"/>
      <c r="Y1" s="26"/>
    </row>
    <row r="2" spans="1:25" ht="13.2">
      <c r="A2" s="21">
        <v>2</v>
      </c>
      <c r="B2" s="25" t="s">
        <v>4007</v>
      </c>
      <c r="C2" s="25">
        <v>2</v>
      </c>
      <c r="D2" s="25">
        <v>2</v>
      </c>
      <c r="E2" s="234">
        <v>43525</v>
      </c>
      <c r="F2" s="115" t="str">
        <f>HYPERLINK("https://www.cnnindonesia.com/internasional/20190103141936-113-358215/penikaman-di-pusat-sekte-scientology-sydney-satu-orang-tewas","sumber")</f>
        <v>sumber</v>
      </c>
      <c r="G2" s="115" t="str">
        <f>HYPERLINK("https://drive.google.com/file/d/1HuvumzN5QmCvXheDZlQTAuue3FmByx-N/view?usp=sharing","lokasi")</f>
        <v>lokasi</v>
      </c>
      <c r="H2" s="25">
        <v>181</v>
      </c>
      <c r="I2" s="25">
        <v>1</v>
      </c>
      <c r="J2" s="25">
        <v>4</v>
      </c>
      <c r="K2" s="116" t="s">
        <v>4008</v>
      </c>
      <c r="L2" s="25">
        <v>0</v>
      </c>
      <c r="M2" s="25">
        <v>-1</v>
      </c>
      <c r="N2" s="25">
        <v>0</v>
      </c>
      <c r="O2" s="25">
        <v>0</v>
      </c>
      <c r="P2" s="25">
        <v>0</v>
      </c>
      <c r="Q2" s="25">
        <v>0</v>
      </c>
      <c r="R2" s="25">
        <v>0</v>
      </c>
      <c r="S2" s="124"/>
      <c r="T2" s="25">
        <v>0</v>
      </c>
      <c r="U2" s="25">
        <v>0</v>
      </c>
      <c r="V2" s="25">
        <v>1</v>
      </c>
      <c r="W2" s="26"/>
      <c r="X2" s="26"/>
      <c r="Y2" s="26"/>
    </row>
    <row r="3" spans="1:25" ht="13.2">
      <c r="A3" s="188">
        <v>1</v>
      </c>
      <c r="B3" s="22" t="s">
        <v>4009</v>
      </c>
      <c r="C3" s="22">
        <v>3</v>
      </c>
      <c r="D3" s="22">
        <v>5</v>
      </c>
      <c r="E3" s="22" t="s">
        <v>417</v>
      </c>
      <c r="F3" s="121" t="str">
        <f>HYPERLINK("https://tirto.id/yang-terjadi-di-balik-pembubaran-diskusi-buku-ahmadiyah-bandung-dd9e","sumber")</f>
        <v>sumber</v>
      </c>
      <c r="G3" s="121" t="str">
        <f>HYPERLINK("https://drive.google.com/file/d/1fpaLacwh1LRQp7gTBCC8YqoJQ1EcPtc_/view?usp=sharing","lokasi")</f>
        <v>lokasi</v>
      </c>
      <c r="H3" s="22">
        <v>1165</v>
      </c>
      <c r="I3" s="22">
        <v>1</v>
      </c>
      <c r="J3" s="22">
        <v>4</v>
      </c>
      <c r="K3" s="123" t="s">
        <v>4010</v>
      </c>
      <c r="L3" s="22">
        <v>0</v>
      </c>
      <c r="M3" s="22">
        <v>1</v>
      </c>
      <c r="N3" s="22">
        <v>0</v>
      </c>
      <c r="O3" s="22">
        <v>0</v>
      </c>
      <c r="P3" s="22">
        <v>0</v>
      </c>
      <c r="Q3" s="22" t="s">
        <v>3775</v>
      </c>
      <c r="R3" s="22" t="s">
        <v>1026</v>
      </c>
      <c r="S3" s="123"/>
      <c r="T3" s="22">
        <v>0</v>
      </c>
      <c r="U3" s="22">
        <v>0</v>
      </c>
      <c r="V3" s="22">
        <v>1</v>
      </c>
      <c r="W3" s="23"/>
      <c r="X3" s="23"/>
      <c r="Y3" s="23"/>
    </row>
    <row r="4" spans="1:25" ht="13.8">
      <c r="A4" s="283">
        <v>1</v>
      </c>
      <c r="B4" s="284" t="s">
        <v>2868</v>
      </c>
      <c r="C4" s="22">
        <v>4</v>
      </c>
      <c r="D4" s="22">
        <v>7</v>
      </c>
      <c r="E4" s="22" t="s">
        <v>2857</v>
      </c>
      <c r="F4" s="121" t="str">
        <f>HYPERLINK("https://www.tribunnews.com/nasional/2019/01/20/respon-rencana-pembebasan-baasyir-icjr-minta-pemerintah-tinjau-ulang-hukuman-mati?page=all","sumber")</f>
        <v>sumber</v>
      </c>
      <c r="G4" s="121" t="str">
        <f>HYPERLINK("https://drive.google.com/open?id=1FTcUDzebKiSlxpOJzc7-qdfkZfdD2CYb","lokasi")</f>
        <v>lokasi</v>
      </c>
      <c r="H4" s="22">
        <v>297</v>
      </c>
      <c r="I4" s="22">
        <v>4</v>
      </c>
      <c r="J4" s="22">
        <v>4</v>
      </c>
      <c r="K4" s="123" t="s">
        <v>4011</v>
      </c>
      <c r="L4" s="22">
        <v>0</v>
      </c>
      <c r="M4" s="22">
        <v>0</v>
      </c>
      <c r="N4" s="22">
        <v>0</v>
      </c>
      <c r="O4" s="22">
        <v>0</v>
      </c>
      <c r="P4" s="22">
        <v>0</v>
      </c>
      <c r="Q4" s="22">
        <v>0</v>
      </c>
      <c r="R4" s="22">
        <v>1</v>
      </c>
      <c r="S4" s="134"/>
      <c r="T4" s="22">
        <v>0</v>
      </c>
      <c r="U4" s="22">
        <v>0</v>
      </c>
      <c r="V4" s="22">
        <v>1</v>
      </c>
      <c r="W4" s="23"/>
      <c r="X4" s="23"/>
      <c r="Y4" s="23"/>
    </row>
    <row r="5" spans="1:25" ht="14.4">
      <c r="A5" s="126">
        <v>1</v>
      </c>
      <c r="B5" s="285" t="s">
        <v>1067</v>
      </c>
      <c r="C5" s="33">
        <v>5</v>
      </c>
      <c r="D5" s="33">
        <v>10</v>
      </c>
      <c r="E5" s="33" t="s">
        <v>4012</v>
      </c>
      <c r="F5" s="130" t="str">
        <f>HYPERLINK("https://pemilu.tempo.co/read/1164057/kontras-sebut-debat-capres-mirip-pemilihan-ketua-osis","sumber")</f>
        <v>sumber</v>
      </c>
      <c r="G5" s="130" t="str">
        <f>HYPERLINK("https://drive.google.com/open?id=1CQaZ7baW0Gu40N5DDPd7U6XLOMIwqyjf","lokasi")</f>
        <v>lokasi</v>
      </c>
      <c r="H5" s="33">
        <v>409</v>
      </c>
      <c r="I5" s="33">
        <v>1</v>
      </c>
      <c r="J5" s="33">
        <v>4</v>
      </c>
      <c r="K5" s="131" t="s">
        <v>4013</v>
      </c>
      <c r="L5" s="33">
        <v>0</v>
      </c>
      <c r="M5" s="147">
        <v>0</v>
      </c>
      <c r="N5" s="33">
        <v>0</v>
      </c>
      <c r="O5" s="33">
        <v>0</v>
      </c>
      <c r="P5" s="33">
        <v>0</v>
      </c>
      <c r="Q5" s="33" t="s">
        <v>21</v>
      </c>
      <c r="R5" s="33" t="s">
        <v>210</v>
      </c>
      <c r="S5" s="133"/>
      <c r="T5" s="33">
        <v>0</v>
      </c>
      <c r="U5" s="33">
        <v>0</v>
      </c>
      <c r="V5" s="33">
        <v>1</v>
      </c>
      <c r="W5" s="24"/>
      <c r="X5" s="24"/>
      <c r="Y5" s="24"/>
    </row>
    <row r="6" spans="1:25" ht="13.8">
      <c r="A6" s="283">
        <v>1</v>
      </c>
      <c r="B6" s="284" t="s">
        <v>4014</v>
      </c>
      <c r="C6" s="22">
        <v>6</v>
      </c>
      <c r="D6" s="22">
        <v>10</v>
      </c>
      <c r="E6" s="22" t="s">
        <v>55</v>
      </c>
      <c r="F6" s="121" t="str">
        <f>HYPERLINK("https://metro.tempo.co/read/1169016/beberkan-korban-lain-serupa-ahok-ini-ajakan-dan-desakan-kontras/full&amp;view=ok","sumber")</f>
        <v>sumber</v>
      </c>
      <c r="G6" s="121" t="str">
        <f>HYPERLINK("https://drive.google.com/open?id=1RyKTaZg_fF-gUnonj9yTvm8L-1yisgXq","lokasi")</f>
        <v>lokasi</v>
      </c>
      <c r="H6" s="22">
        <v>345</v>
      </c>
      <c r="I6" s="22">
        <v>4</v>
      </c>
      <c r="J6" s="22">
        <v>4</v>
      </c>
      <c r="K6" s="123" t="s">
        <v>4015</v>
      </c>
      <c r="L6" s="22">
        <v>0</v>
      </c>
      <c r="M6" s="22">
        <v>0</v>
      </c>
      <c r="N6" s="22">
        <v>0</v>
      </c>
      <c r="O6" s="22">
        <v>0</v>
      </c>
      <c r="P6" s="22">
        <v>0</v>
      </c>
      <c r="Q6" s="22">
        <v>0</v>
      </c>
      <c r="R6" s="22">
        <v>1</v>
      </c>
      <c r="S6" s="123"/>
      <c r="T6" s="22">
        <v>0</v>
      </c>
      <c r="U6" s="22">
        <v>0</v>
      </c>
      <c r="V6" s="22">
        <v>1</v>
      </c>
      <c r="W6" s="23"/>
      <c r="X6" s="23"/>
      <c r="Y6" s="23"/>
    </row>
    <row r="7" spans="1:25" ht="13.8">
      <c r="A7" s="283">
        <v>1</v>
      </c>
      <c r="B7" s="284" t="s">
        <v>4016</v>
      </c>
      <c r="C7" s="22">
        <v>7</v>
      </c>
      <c r="D7" s="22">
        <v>6</v>
      </c>
      <c r="E7" s="222">
        <v>43801</v>
      </c>
      <c r="F7" s="121" t="str">
        <f>HYPERLINK("https://internasional.kompas.com/read/2019/02/12/09491031/dibebaskan-thailand-pesepak-bola-bahrain-pulang-ke-melbourne","sumber")</f>
        <v>sumber</v>
      </c>
      <c r="G7" s="121" t="str">
        <f>HYPERLINK("https://drive.google.com/open?id=1THep2JyjU-uOqreu_f_avm0SnAcTEaxY","lokasi")</f>
        <v>lokasi</v>
      </c>
      <c r="H7" s="22">
        <v>379</v>
      </c>
      <c r="I7" s="22">
        <v>4</v>
      </c>
      <c r="J7" s="22">
        <v>4</v>
      </c>
      <c r="K7" s="123" t="s">
        <v>4017</v>
      </c>
      <c r="L7" s="22">
        <v>0</v>
      </c>
      <c r="M7" s="22">
        <v>0</v>
      </c>
      <c r="N7" s="22">
        <v>0</v>
      </c>
      <c r="O7" s="22">
        <v>0</v>
      </c>
      <c r="P7" s="22">
        <v>0</v>
      </c>
      <c r="Q7" s="22">
        <v>0</v>
      </c>
      <c r="R7" s="22">
        <v>0</v>
      </c>
      <c r="S7" s="123" t="s">
        <v>4018</v>
      </c>
      <c r="T7" s="22">
        <v>2</v>
      </c>
      <c r="U7" s="22">
        <v>0</v>
      </c>
      <c r="V7" s="22">
        <v>1</v>
      </c>
      <c r="W7" s="23"/>
      <c r="X7" s="23"/>
      <c r="Y7" s="23"/>
    </row>
    <row r="8" spans="1:25" ht="13.2">
      <c r="A8" s="209">
        <v>1</v>
      </c>
      <c r="B8" s="33" t="s">
        <v>4019</v>
      </c>
      <c r="C8" s="33">
        <v>8</v>
      </c>
      <c r="D8" s="33">
        <v>7</v>
      </c>
      <c r="E8" s="33" t="s">
        <v>2304</v>
      </c>
      <c r="F8" s="130" t="str">
        <f>HYPERLINK("http://www.tribunnews.com/nasional/2019/02/28/dirjen-dukcapil-bantah-isu-kolom-agama-pada-ktp-el-dihapus","sumber")</f>
        <v>sumber</v>
      </c>
      <c r="G8" s="130" t="str">
        <f>HYPERLINK("https://drive.google.com/open?id=1lMUTR6iJsXonOHPsqhsAdhTbj4avwlkr","lokasi")</f>
        <v>lokasi</v>
      </c>
      <c r="H8" s="33">
        <v>300</v>
      </c>
      <c r="I8" s="33">
        <v>3</v>
      </c>
      <c r="J8" s="33">
        <v>4</v>
      </c>
      <c r="K8" s="131" t="s">
        <v>4020</v>
      </c>
      <c r="L8" s="33">
        <v>0</v>
      </c>
      <c r="M8" s="33">
        <v>0</v>
      </c>
      <c r="N8" s="33">
        <v>0</v>
      </c>
      <c r="O8" s="33">
        <v>0</v>
      </c>
      <c r="P8" s="33">
        <v>0</v>
      </c>
      <c r="Q8" s="33">
        <v>0</v>
      </c>
      <c r="R8" s="33">
        <v>1</v>
      </c>
      <c r="S8" s="133"/>
      <c r="T8" s="33">
        <v>0</v>
      </c>
      <c r="U8" s="33">
        <v>0</v>
      </c>
      <c r="V8" s="33">
        <v>1</v>
      </c>
      <c r="W8" s="24"/>
      <c r="X8" s="24"/>
      <c r="Y8" s="24"/>
    </row>
    <row r="9" spans="1:25" ht="13.2">
      <c r="A9" s="188">
        <v>1</v>
      </c>
      <c r="B9" s="22" t="s">
        <v>6200</v>
      </c>
      <c r="C9" s="22">
        <v>9</v>
      </c>
      <c r="D9" s="22">
        <v>5</v>
      </c>
      <c r="E9" s="22" t="s">
        <v>1967</v>
      </c>
      <c r="F9" s="121" t="str">
        <f>HYPERLINK("https://tirto.id/penghayat-kepercayaan-di-jawa-barat-dapat-status-baru-di-kolom-ktp-dhBf ","sumber")</f>
        <v>sumber</v>
      </c>
      <c r="G9" s="121" t="str">
        <f>HYPERLINK("https://drive.google.com/open?id=1eBgcxyTsMrCqI33GNPfuIo4DNvI65mjj","lokasi")</f>
        <v>lokasi</v>
      </c>
      <c r="H9" s="22">
        <v>379</v>
      </c>
      <c r="I9" s="22">
        <v>2</v>
      </c>
      <c r="J9" s="22">
        <v>4</v>
      </c>
      <c r="K9" s="123" t="s">
        <v>4021</v>
      </c>
      <c r="L9" s="22">
        <v>0</v>
      </c>
      <c r="M9" s="22">
        <v>0</v>
      </c>
      <c r="N9" s="22">
        <v>0</v>
      </c>
      <c r="O9" s="22">
        <v>0</v>
      </c>
      <c r="P9" s="22">
        <v>0</v>
      </c>
      <c r="Q9" s="22">
        <v>1</v>
      </c>
      <c r="R9" s="22">
        <v>1</v>
      </c>
      <c r="S9" s="134"/>
      <c r="T9" s="22">
        <v>0</v>
      </c>
      <c r="U9" s="22">
        <v>0</v>
      </c>
      <c r="V9" s="22">
        <v>1</v>
      </c>
      <c r="W9" s="23"/>
      <c r="X9" s="23"/>
      <c r="Y9" s="23"/>
    </row>
    <row r="10" spans="1:25" ht="13.8">
      <c r="A10" s="283">
        <v>1</v>
      </c>
      <c r="B10" s="284" t="s">
        <v>4022</v>
      </c>
      <c r="C10" s="22">
        <v>10</v>
      </c>
      <c r="D10" s="22">
        <v>1</v>
      </c>
      <c r="E10" s="22" t="s">
        <v>464</v>
      </c>
      <c r="F10" s="121" t="str">
        <f>HYPERLINK("https://news.detik.com/berita/d-4442673/hore-puluhan-ribu-penghayat-di-sulsel-bisa-tulis-di-kolom-agama-ktp ","sumber")</f>
        <v>sumber</v>
      </c>
      <c r="G10" s="121" t="str">
        <f>HYPERLINK("https://drive.google.com/open?id=12d8J7_VFrTXRj1JHc7HJuT4NnhUfkV0a","lokasi")</f>
        <v>lokasi</v>
      </c>
      <c r="H10" s="22">
        <v>250</v>
      </c>
      <c r="I10" s="22">
        <v>4</v>
      </c>
      <c r="J10" s="22">
        <v>4</v>
      </c>
      <c r="K10" s="123" t="s">
        <v>4023</v>
      </c>
      <c r="L10" s="22">
        <v>0</v>
      </c>
      <c r="M10" s="22">
        <v>0</v>
      </c>
      <c r="N10" s="22">
        <v>0</v>
      </c>
      <c r="O10" s="22">
        <v>0</v>
      </c>
      <c r="P10" s="22">
        <v>-1</v>
      </c>
      <c r="Q10" s="22">
        <v>0</v>
      </c>
      <c r="R10" s="22">
        <v>1</v>
      </c>
      <c r="S10" s="134"/>
      <c r="T10" s="22">
        <v>0</v>
      </c>
      <c r="U10" s="22">
        <v>0</v>
      </c>
      <c r="V10" s="22">
        <v>1</v>
      </c>
      <c r="W10" s="23"/>
      <c r="X10" s="23"/>
      <c r="Y10" s="23"/>
    </row>
    <row r="11" spans="1:25" ht="13.8">
      <c r="A11" s="283">
        <v>1</v>
      </c>
      <c r="B11" s="284" t="s">
        <v>4024</v>
      </c>
      <c r="C11" s="22">
        <v>11</v>
      </c>
      <c r="D11" s="22">
        <v>4</v>
      </c>
      <c r="E11" s="22" t="s">
        <v>464</v>
      </c>
      <c r="F11" s="121" t="str">
        <f>HYPERLINK("https://www.liputan6.com/regional/read/3903408/begini-alur-mengubah-kolom-agama-jadi-kepercayaan-di-e-ktp ","sumber")</f>
        <v>sumber</v>
      </c>
      <c r="G11" s="121" t="str">
        <f>HYPERLINK("https://drive.google.com/open?id=1S1bdU7j9vHJruk8YydCU6mcE2xjuto9U","lokasi")</f>
        <v>lokasi</v>
      </c>
      <c r="H11" s="22">
        <v>346</v>
      </c>
      <c r="I11" s="22">
        <v>4</v>
      </c>
      <c r="J11" s="22">
        <v>4</v>
      </c>
      <c r="K11" s="123" t="s">
        <v>4025</v>
      </c>
      <c r="L11" s="22">
        <v>0</v>
      </c>
      <c r="M11" s="22">
        <v>0</v>
      </c>
      <c r="N11" s="22">
        <v>0</v>
      </c>
      <c r="O11" s="22">
        <v>0</v>
      </c>
      <c r="P11" s="22">
        <v>0</v>
      </c>
      <c r="Q11" s="22">
        <v>0</v>
      </c>
      <c r="R11" s="22">
        <v>0</v>
      </c>
      <c r="S11" s="134"/>
      <c r="T11" s="22">
        <v>0</v>
      </c>
      <c r="U11" s="22">
        <v>0</v>
      </c>
      <c r="V11" s="22">
        <v>1</v>
      </c>
      <c r="W11" s="23"/>
      <c r="X11" s="23"/>
      <c r="Y11" s="23"/>
    </row>
    <row r="12" spans="1:25" ht="13.2">
      <c r="A12" s="188">
        <v>1</v>
      </c>
      <c r="B12" s="22" t="s">
        <v>1969</v>
      </c>
      <c r="C12" s="22">
        <v>12</v>
      </c>
      <c r="D12" s="22">
        <v>3</v>
      </c>
      <c r="E12" s="22" t="s">
        <v>464</v>
      </c>
      <c r="F12" s="121" t="str">
        <f>HYPERLINK("https://nasional.okezone.com/read/2019/02/25/337/2022651/kolom-penghayat-kepercayaan-di-e-ktp-dukcapil-laksanakan-amanat-mk","sumber")</f>
        <v>sumber</v>
      </c>
      <c r="G12" s="121" t="str">
        <f>HYPERLINK("https://drive.google.com/open?id=1T3rZpRK6mAR6bq7prxBNVtnMtOATUgMq","lokasi")</f>
        <v>lokasi</v>
      </c>
      <c r="H12" s="22">
        <v>355</v>
      </c>
      <c r="I12" s="22">
        <v>4</v>
      </c>
      <c r="J12" s="22">
        <v>4</v>
      </c>
      <c r="K12" s="123" t="s">
        <v>4026</v>
      </c>
      <c r="L12" s="22">
        <v>0</v>
      </c>
      <c r="M12" s="22">
        <v>0</v>
      </c>
      <c r="N12" s="22">
        <v>0</v>
      </c>
      <c r="O12" s="22">
        <v>0</v>
      </c>
      <c r="P12" s="22">
        <v>0</v>
      </c>
      <c r="Q12" s="22">
        <v>0</v>
      </c>
      <c r="R12" s="22">
        <v>1</v>
      </c>
      <c r="S12" s="134"/>
      <c r="T12" s="22">
        <v>0</v>
      </c>
      <c r="U12" s="22">
        <v>0</v>
      </c>
      <c r="V12" s="22">
        <v>1</v>
      </c>
      <c r="W12" s="23"/>
      <c r="X12" s="23"/>
      <c r="Y12" s="23"/>
    </row>
    <row r="13" spans="1:25" ht="13.2">
      <c r="A13" s="188">
        <v>1</v>
      </c>
      <c r="B13" s="22" t="s">
        <v>6201</v>
      </c>
      <c r="C13" s="22">
        <v>13</v>
      </c>
      <c r="D13" s="22">
        <v>5</v>
      </c>
      <c r="E13" s="22" t="s">
        <v>325</v>
      </c>
      <c r="F13" s="121" t="str">
        <f>HYPERLINK("https://tirto.id/kolom-agama-ktp-penghayat-dirjen-dukcapil-kami-ikuti-putusan-mk-dhNy","sumber")</f>
        <v>sumber</v>
      </c>
      <c r="G13" s="121" t="str">
        <f>HYPERLINK("https://drive.google.com/open?id=1NFTcLyJmqx4_8pG9WqYmmfJqfc4_dep4","lokasi")</f>
        <v>lokasi</v>
      </c>
      <c r="H13" s="22">
        <v>352</v>
      </c>
      <c r="I13" s="22">
        <v>1</v>
      </c>
      <c r="J13" s="22">
        <v>4</v>
      </c>
      <c r="K13" s="123" t="s">
        <v>4027</v>
      </c>
      <c r="L13" s="22">
        <v>0</v>
      </c>
      <c r="M13" s="22">
        <v>1</v>
      </c>
      <c r="N13" s="22">
        <v>0</v>
      </c>
      <c r="O13" s="22">
        <v>0</v>
      </c>
      <c r="P13" s="22">
        <v>0</v>
      </c>
      <c r="Q13" s="22">
        <v>0</v>
      </c>
      <c r="R13" s="22">
        <v>1</v>
      </c>
      <c r="S13" s="134"/>
      <c r="T13" s="22">
        <v>0</v>
      </c>
      <c r="U13" s="22">
        <v>0</v>
      </c>
      <c r="V13" s="22">
        <v>1</v>
      </c>
      <c r="W13" s="23"/>
      <c r="X13" s="23"/>
      <c r="Y13" s="23"/>
    </row>
    <row r="14" spans="1:25" ht="13.2">
      <c r="A14" s="188">
        <v>1</v>
      </c>
      <c r="B14" s="22" t="s">
        <v>6202</v>
      </c>
      <c r="C14" s="22">
        <v>14</v>
      </c>
      <c r="D14" s="22">
        <v>7</v>
      </c>
      <c r="E14" s="22" t="s">
        <v>325</v>
      </c>
      <c r="F14" s="121" t="str">
        <f>HYPERLINK("https://www.tribunnews.com/nasional/2019/02/26/soal-penerapan-kolom-kepercayaan-di-ktp-elektronik-wapres-jk-wajar-ada-pro-kontra","sumber")</f>
        <v>sumber</v>
      </c>
      <c r="G14" s="121" t="str">
        <f>HYPERLINK("https://drive.google.com/open?id=1zEw3BUfJE7qVUiCH-TQ_a1ng9a9WIRjz","lokasi")</f>
        <v>lokasi</v>
      </c>
      <c r="H14" s="22">
        <v>249</v>
      </c>
      <c r="I14" s="22">
        <v>1</v>
      </c>
      <c r="J14" s="22">
        <v>4</v>
      </c>
      <c r="K14" s="123" t="s">
        <v>4028</v>
      </c>
      <c r="L14" s="22">
        <v>0</v>
      </c>
      <c r="M14" s="22">
        <v>-1</v>
      </c>
      <c r="N14" s="22">
        <v>0</v>
      </c>
      <c r="O14" s="22">
        <v>0</v>
      </c>
      <c r="P14" s="22">
        <v>0</v>
      </c>
      <c r="Q14" s="22">
        <v>0</v>
      </c>
      <c r="R14" s="22">
        <v>1</v>
      </c>
      <c r="S14" s="134"/>
      <c r="T14" s="22">
        <v>0</v>
      </c>
      <c r="U14" s="22">
        <v>0</v>
      </c>
      <c r="V14" s="22">
        <v>1</v>
      </c>
      <c r="W14" s="23"/>
      <c r="X14" s="23"/>
      <c r="Y14" s="23"/>
    </row>
    <row r="15" spans="1:25" ht="13.8">
      <c r="A15" s="281">
        <v>2</v>
      </c>
      <c r="B15" s="282" t="s">
        <v>4029</v>
      </c>
      <c r="C15" s="25">
        <v>15</v>
      </c>
      <c r="D15" s="25">
        <v>10</v>
      </c>
      <c r="E15" s="25" t="s">
        <v>328</v>
      </c>
      <c r="F15" s="115" t="str">
        <f>HYPERLINK("https://nasional.tempo.co/read/1180010/soal-isu-ktp-asing-untuk-pemilu-kemendagri-gelar-konferensi-pers ","sumber")</f>
        <v>sumber</v>
      </c>
      <c r="G15" s="115" t="str">
        <f>HYPERLINK("https://drive.google.com/open?id=1XmhW0MLIVTl0977RKdI-UmaOi8EHWPTW","lokasi")</f>
        <v>lokasi</v>
      </c>
      <c r="H15" s="25">
        <v>380</v>
      </c>
      <c r="I15" s="26"/>
      <c r="J15" s="25">
        <v>4</v>
      </c>
      <c r="K15" s="124"/>
      <c r="L15" s="26"/>
      <c r="M15" s="26"/>
      <c r="N15" s="26"/>
      <c r="O15" s="26"/>
      <c r="P15" s="26"/>
      <c r="Q15" s="26"/>
      <c r="R15" s="26"/>
      <c r="S15" s="124"/>
      <c r="T15" s="26"/>
      <c r="U15" s="26"/>
      <c r="V15" s="26"/>
      <c r="W15" s="26"/>
      <c r="X15" s="26"/>
      <c r="Y15" s="26"/>
    </row>
    <row r="16" spans="1:25" ht="13.8">
      <c r="A16" s="281">
        <v>2</v>
      </c>
      <c r="B16" s="282" t="s">
        <v>4030</v>
      </c>
      <c r="C16" s="25">
        <v>16</v>
      </c>
      <c r="D16" s="25">
        <v>9</v>
      </c>
      <c r="E16" s="234">
        <v>43468</v>
      </c>
      <c r="F16" s="115" t="str">
        <f>HYPERLINK("https://nasional.republika.co.id/berita/nasional/umum/pnonzs328/jk-ungkap-indonesia-bantu-bangun-masjid-raya-filipina ","sumber")</f>
        <v>sumber</v>
      </c>
      <c r="G16" s="115" t="str">
        <f>HYPERLINK("https://drive.google.com/open?id=1yJIGpiDKLdCEYFbrrcvEfnOdqRfUiIrP","lokasi")</f>
        <v>lokasi</v>
      </c>
      <c r="H16" s="25">
        <v>350</v>
      </c>
      <c r="I16" s="26"/>
      <c r="J16" s="25">
        <v>4</v>
      </c>
      <c r="K16" s="124"/>
      <c r="L16" s="26"/>
      <c r="M16" s="26"/>
      <c r="N16" s="26"/>
      <c r="O16" s="26"/>
      <c r="P16" s="26"/>
      <c r="Q16" s="26"/>
      <c r="R16" s="26"/>
      <c r="S16" s="124"/>
      <c r="T16" s="26"/>
      <c r="U16" s="26"/>
      <c r="V16" s="26"/>
      <c r="W16" s="26"/>
      <c r="X16" s="26"/>
      <c r="Y16" s="26"/>
    </row>
    <row r="17" spans="1:25" ht="13.8">
      <c r="A17" s="281">
        <v>2</v>
      </c>
      <c r="B17" s="282" t="s">
        <v>4031</v>
      </c>
      <c r="C17" s="25">
        <v>17</v>
      </c>
      <c r="D17" s="25">
        <v>2</v>
      </c>
      <c r="E17" s="234">
        <v>43558</v>
      </c>
      <c r="F17" s="115" t="str">
        <f>HYPERLINK("https://www.cnnindonesia.com/nasional/20190304001542-20-374244/satelit-deteksi-lima-titik-panas-di-aceh-indikasi-karhutla","sumber")</f>
        <v>sumber</v>
      </c>
      <c r="G17" s="115" t="str">
        <f>HYPERLINK("https://drive.google.com/open?id=1CFgldjf6wNtCeeQD8Tbnq0gyfXn_RODD","lokasi")</f>
        <v>lokasi</v>
      </c>
      <c r="H17" s="25">
        <v>315</v>
      </c>
      <c r="I17" s="26"/>
      <c r="J17" s="25">
        <v>4</v>
      </c>
      <c r="K17" s="124"/>
      <c r="L17" s="26"/>
      <c r="M17" s="26"/>
      <c r="N17" s="26"/>
      <c r="O17" s="26"/>
      <c r="P17" s="26"/>
      <c r="Q17" s="26"/>
      <c r="R17" s="26"/>
      <c r="S17" s="124"/>
      <c r="T17" s="26"/>
      <c r="U17" s="26"/>
      <c r="V17" s="26"/>
      <c r="W17" s="26"/>
      <c r="X17" s="26"/>
      <c r="Y17" s="26"/>
    </row>
    <row r="18" spans="1:25" ht="13.8">
      <c r="A18" s="281">
        <v>2</v>
      </c>
      <c r="B18" s="282" t="s">
        <v>4032</v>
      </c>
      <c r="C18" s="25">
        <v>18</v>
      </c>
      <c r="D18" s="25">
        <v>9</v>
      </c>
      <c r="E18" s="234">
        <v>43558</v>
      </c>
      <c r="F18" s="115" t="str">
        <f>HYPERLINK("https://nasional.republika.co.id/berita/nasional/hukum/pnu8rn320/jalani-hukuman-cambuk-6-wanita-pelanggar-syariat-dipapah","sumber")</f>
        <v>sumber</v>
      </c>
      <c r="G18" s="115" t="str">
        <f>HYPERLINK("https://drive.google.com/file/d/1yrf7j7KLSpp6bmjqw3buGtvb79GTSHkE/view?usp=sharing","lokasi")</f>
        <v>lokasi</v>
      </c>
      <c r="H18" s="25">
        <v>326</v>
      </c>
      <c r="I18" s="26"/>
      <c r="J18" s="25">
        <v>4</v>
      </c>
      <c r="K18" s="124"/>
      <c r="L18" s="26"/>
      <c r="M18" s="26"/>
      <c r="N18" s="26"/>
      <c r="O18" s="26"/>
      <c r="P18" s="26"/>
      <c r="Q18" s="26"/>
      <c r="R18" s="26"/>
      <c r="S18" s="124"/>
      <c r="T18" s="26"/>
      <c r="U18" s="26"/>
      <c r="V18" s="26"/>
      <c r="W18" s="26"/>
      <c r="X18" s="26"/>
      <c r="Y18" s="26"/>
    </row>
    <row r="19" spans="1:25" ht="13.8">
      <c r="A19" s="283">
        <v>1</v>
      </c>
      <c r="B19" s="284" t="s">
        <v>4033</v>
      </c>
      <c r="C19" s="22">
        <v>19</v>
      </c>
      <c r="D19" s="22">
        <v>4</v>
      </c>
      <c r="E19" s="222">
        <v>43649</v>
      </c>
      <c r="F19" s="121" t="str">
        <f>HYPERLINK("https://www.liputan6.com/regional/read/3911196/jalan-panjang-penghayat-kepercayaan-di-cilacap-dapatkan-ktp","sumber")</f>
        <v>sumber</v>
      </c>
      <c r="G19" s="121" t="str">
        <f>HYPERLINK("https://drive.google.com/open?id=1qPcbxWT78tObz3a45b9b-188gdE8U95O","lokasi")</f>
        <v>lokasi</v>
      </c>
      <c r="H19" s="22">
        <v>551</v>
      </c>
      <c r="I19" s="22">
        <v>4</v>
      </c>
      <c r="J19" s="22">
        <v>4</v>
      </c>
      <c r="K19" s="123" t="s">
        <v>4034</v>
      </c>
      <c r="L19" s="22">
        <v>0</v>
      </c>
      <c r="M19" s="22">
        <v>0</v>
      </c>
      <c r="N19" s="22">
        <v>0</v>
      </c>
      <c r="O19" s="22">
        <v>0</v>
      </c>
      <c r="P19" s="22">
        <v>-1</v>
      </c>
      <c r="Q19" s="22">
        <v>1</v>
      </c>
      <c r="R19" s="22">
        <v>0</v>
      </c>
      <c r="S19" s="134"/>
      <c r="T19" s="22">
        <v>0</v>
      </c>
      <c r="U19" s="22">
        <v>0</v>
      </c>
      <c r="V19" s="22">
        <v>1</v>
      </c>
      <c r="W19" s="23"/>
      <c r="X19" s="23"/>
      <c r="Y19" s="23"/>
    </row>
    <row r="20" spans="1:25" ht="13.2">
      <c r="A20" s="188">
        <v>1</v>
      </c>
      <c r="B20" s="22" t="s">
        <v>4035</v>
      </c>
      <c r="C20" s="22">
        <v>20</v>
      </c>
      <c r="D20" s="22">
        <v>7</v>
      </c>
      <c r="E20" s="222">
        <v>43649</v>
      </c>
      <c r="F20" s="121" t="str">
        <f>HYPERLINK("http://www.tribunnews.com/regional/2019/03/07/waria-berjuluk-angel-vanessa-berusaha-kabur-saat-ketahuan-berduaan-bersama-teman-semasa-smp ","sumber")</f>
        <v>sumber</v>
      </c>
      <c r="G20" s="121" t="str">
        <f>HYPERLINK("https://drive.google.com/open?id=11BQUH2Cs1XxnRVuabSDF0GQfwQfoXs1y","lokasi")</f>
        <v>lokasi</v>
      </c>
      <c r="H20" s="22">
        <v>608</v>
      </c>
      <c r="I20" s="22">
        <v>2</v>
      </c>
      <c r="J20" s="22">
        <v>3</v>
      </c>
      <c r="K20" s="123" t="s">
        <v>4036</v>
      </c>
      <c r="L20" s="22">
        <v>0</v>
      </c>
      <c r="M20" s="22">
        <v>0</v>
      </c>
      <c r="N20" s="22">
        <v>-1</v>
      </c>
      <c r="O20" s="22">
        <v>0</v>
      </c>
      <c r="P20" s="22">
        <v>-1</v>
      </c>
      <c r="Q20" s="22" t="s">
        <v>792</v>
      </c>
      <c r="R20" s="22" t="s">
        <v>99</v>
      </c>
      <c r="S20" s="123" t="s">
        <v>4037</v>
      </c>
      <c r="T20" s="22">
        <v>6</v>
      </c>
      <c r="U20" s="22">
        <v>-1</v>
      </c>
      <c r="V20" s="22">
        <v>0</v>
      </c>
      <c r="W20" s="23"/>
      <c r="X20" s="23"/>
      <c r="Y20" s="23"/>
    </row>
    <row r="21" spans="1:25" ht="13.8">
      <c r="A21" s="281">
        <v>2</v>
      </c>
      <c r="B21" s="282" t="s">
        <v>4038</v>
      </c>
      <c r="C21" s="25">
        <v>21</v>
      </c>
      <c r="D21" s="25">
        <v>9</v>
      </c>
      <c r="E21" s="234">
        <v>43711</v>
      </c>
      <c r="F21" s="115" t="str">
        <f>HYPERLINK("https://nasional.republika.co.id/berita/nasional/politik/po3ppr409/bawaslu-sampang-temukan-dua-wna-masuk-dpt-pemilu-2019","sumber")</f>
        <v>sumber</v>
      </c>
      <c r="G21" s="115" t="str">
        <f>HYPERLINK("https://drive.google.com/open?id=1Cck8WBi3J2ToWRBn3SouMq-2XOEEvna5","lokasi")</f>
        <v>lokasi</v>
      </c>
      <c r="H21" s="25">
        <v>460</v>
      </c>
      <c r="I21" s="26"/>
      <c r="J21" s="26"/>
      <c r="K21" s="124"/>
      <c r="L21" s="26"/>
      <c r="M21" s="26"/>
      <c r="N21" s="26"/>
      <c r="O21" s="26"/>
      <c r="P21" s="26"/>
      <c r="Q21" s="26"/>
      <c r="R21" s="26"/>
      <c r="S21" s="124"/>
      <c r="T21" s="26"/>
      <c r="U21" s="26"/>
      <c r="V21" s="26"/>
      <c r="W21" s="26"/>
      <c r="X21" s="26"/>
      <c r="Y21" s="26"/>
    </row>
    <row r="22" spans="1:25" ht="13.2">
      <c r="A22" s="209">
        <v>1</v>
      </c>
      <c r="B22" s="33" t="s">
        <v>4039</v>
      </c>
      <c r="C22" s="33">
        <v>22</v>
      </c>
      <c r="D22" s="33">
        <v>8</v>
      </c>
      <c r="E22" s="33" t="s">
        <v>4040</v>
      </c>
      <c r="F22" s="130" t="str">
        <f>HYPERLINK("https://jateng.suara.com/read/2019/03/18/132745/penghayat-kepercayaan-di-klaten-bisa-ubah-kolom-agama ","sumber")</f>
        <v>sumber</v>
      </c>
      <c r="G22" s="130" t="str">
        <f>HYPERLINK("https://drive.google.com/open?id=1A4dMP6tyUKt4NEyiJ38A550YwrKZj1du","lokasi")</f>
        <v>lokasi</v>
      </c>
      <c r="H22" s="33">
        <v>234</v>
      </c>
      <c r="I22" s="33">
        <v>3</v>
      </c>
      <c r="J22" s="33">
        <v>4</v>
      </c>
      <c r="K22" s="131" t="s">
        <v>4041</v>
      </c>
      <c r="L22" s="33">
        <v>0</v>
      </c>
      <c r="M22" s="33">
        <v>0</v>
      </c>
      <c r="N22" s="132">
        <v>0</v>
      </c>
      <c r="O22" s="33">
        <v>0</v>
      </c>
      <c r="P22" s="33">
        <v>0</v>
      </c>
      <c r="Q22" s="33">
        <v>0</v>
      </c>
      <c r="R22" s="33">
        <v>1</v>
      </c>
      <c r="S22" s="133"/>
      <c r="T22" s="33">
        <v>0</v>
      </c>
      <c r="U22" s="33">
        <v>0</v>
      </c>
      <c r="V22" s="33">
        <v>1</v>
      </c>
      <c r="W22" s="24"/>
      <c r="X22" s="24"/>
      <c r="Y22" s="24"/>
    </row>
    <row r="23" spans="1:25" ht="13.2">
      <c r="A23" s="21">
        <v>2</v>
      </c>
      <c r="B23" s="25" t="s">
        <v>4042</v>
      </c>
      <c r="C23" s="25">
        <v>23</v>
      </c>
      <c r="D23" s="25">
        <v>8</v>
      </c>
      <c r="E23" s="234">
        <v>43802</v>
      </c>
      <c r="F23" s="115" t="str">
        <f>HYPERLINK("https://www.suara.com/bisnis/2019/03/12/060607/menteri-pupr-sampaikan-3-kunci-utama-agar-indonesia-maju-dari-jokowi","sumber")</f>
        <v>sumber</v>
      </c>
      <c r="G23" s="115" t="str">
        <f>HYPERLINK("https://drive.google.com/open?id=1GmZErZyHrc2VeszJHg2DzSq-uKhpna0n","lokasi")</f>
        <v>lokasi</v>
      </c>
      <c r="H23" s="25">
        <v>478</v>
      </c>
      <c r="I23" s="26"/>
      <c r="J23" s="26"/>
      <c r="K23" s="124"/>
      <c r="L23" s="26"/>
      <c r="M23" s="26"/>
      <c r="N23" s="26"/>
      <c r="O23" s="26"/>
      <c r="P23" s="26"/>
      <c r="Q23" s="26"/>
      <c r="R23" s="26"/>
      <c r="S23" s="124"/>
      <c r="T23" s="26"/>
      <c r="U23" s="26"/>
      <c r="V23" s="26"/>
      <c r="W23" s="26"/>
      <c r="X23" s="26"/>
      <c r="Y23" s="26"/>
    </row>
    <row r="24" spans="1:25" ht="13.2">
      <c r="A24" s="188">
        <v>1</v>
      </c>
      <c r="B24" s="22" t="s">
        <v>4043</v>
      </c>
      <c r="C24" s="22">
        <v>24</v>
      </c>
      <c r="D24" s="22">
        <v>1</v>
      </c>
      <c r="E24" s="22" t="s">
        <v>110</v>
      </c>
      <c r="F24" s="121" t="str">
        <f>HYPERLINK("https://news.detik.com/berita-jawa-barat/d-4467130/baru-6-penghayat-di-jabar-yang-telah-memiliki-e-ktp","sumber")</f>
        <v>sumber</v>
      </c>
      <c r="G24" s="121" t="str">
        <f>HYPERLINK("https://drive.google.com/open?id=1a9NvWfv3qbs7Vy9BWnE7zLhE0fVrEjqR","lokasi")</f>
        <v>lokasi</v>
      </c>
      <c r="H24" s="22">
        <v>229</v>
      </c>
      <c r="I24" s="22">
        <v>4</v>
      </c>
      <c r="J24" s="22">
        <v>4</v>
      </c>
      <c r="K24" s="123" t="s">
        <v>4044</v>
      </c>
      <c r="L24" s="22">
        <v>0</v>
      </c>
      <c r="M24" s="22">
        <v>0</v>
      </c>
      <c r="N24" s="125">
        <v>0</v>
      </c>
      <c r="O24" s="22">
        <v>0</v>
      </c>
      <c r="P24" s="22">
        <v>0</v>
      </c>
      <c r="Q24" s="22">
        <v>0</v>
      </c>
      <c r="R24" s="22">
        <v>0</v>
      </c>
      <c r="S24" s="134"/>
      <c r="T24" s="22">
        <v>0</v>
      </c>
      <c r="U24" s="22">
        <v>0</v>
      </c>
      <c r="V24" s="22">
        <v>1</v>
      </c>
      <c r="W24" s="23"/>
      <c r="X24" s="23"/>
      <c r="Y24" s="23"/>
    </row>
    <row r="25" spans="1:25" ht="13.2">
      <c r="A25" s="209">
        <v>1</v>
      </c>
      <c r="B25" s="33" t="s">
        <v>4045</v>
      </c>
      <c r="C25" s="33">
        <v>25</v>
      </c>
      <c r="D25" s="33">
        <v>10</v>
      </c>
      <c r="E25" s="33" t="s">
        <v>110</v>
      </c>
      <c r="F25" s="130" t="str">
        <f>HYPERLINK("https://nasional.tempo.co/read/1185272/di-jawa-barat-baru-6-orang-kantungi-ktp-berkolom-penghayat ","sumber")</f>
        <v>sumber</v>
      </c>
      <c r="G25" s="130" t="str">
        <f>HYPERLINK("https://drive.google.com/open?id=1acgevD9TDDd8VH_WHHJ-NCIbA4mtblJ3","lokasi")</f>
        <v>lokasi</v>
      </c>
      <c r="H25" s="33">
        <v>373</v>
      </c>
      <c r="I25" s="33">
        <v>4</v>
      </c>
      <c r="J25" s="33">
        <v>4</v>
      </c>
      <c r="K25" s="131" t="s">
        <v>4046</v>
      </c>
      <c r="L25" s="33">
        <v>0</v>
      </c>
      <c r="M25" s="33">
        <v>0</v>
      </c>
      <c r="N25" s="132">
        <v>0</v>
      </c>
      <c r="O25" s="33">
        <v>0</v>
      </c>
      <c r="P25" s="33">
        <v>0</v>
      </c>
      <c r="Q25" s="33" t="s">
        <v>87</v>
      </c>
      <c r="R25" s="33" t="s">
        <v>160</v>
      </c>
      <c r="S25" s="133"/>
      <c r="T25" s="33">
        <v>0</v>
      </c>
      <c r="U25" s="33">
        <v>0</v>
      </c>
      <c r="V25" s="33">
        <v>1</v>
      </c>
      <c r="W25" s="24"/>
      <c r="X25" s="24"/>
      <c r="Y25" s="24"/>
    </row>
    <row r="26" spans="1:25" ht="13.2">
      <c r="A26" s="188">
        <v>1</v>
      </c>
      <c r="B26" s="22" t="s">
        <v>4047</v>
      </c>
      <c r="C26" s="22">
        <v>26</v>
      </c>
      <c r="D26" s="22">
        <v>6</v>
      </c>
      <c r="E26" s="22" t="s">
        <v>4048</v>
      </c>
      <c r="F26" s="121" t="str">
        <f>HYPERLINK("https://regional.kompas.com/read/2019/03/23/12294651/tokoh-lintas-agama-cirebon-gelar-kirab-budaya-dan-doa-perdamaian?page=all#page2","sumber")</f>
        <v>sumber</v>
      </c>
      <c r="G26" s="121" t="str">
        <f>HYPERLINK("https://drive.google.com/open?id=12INNnb7JVY1wIOcLerfSomHwC812llCf","lokasi")</f>
        <v>lokasi</v>
      </c>
      <c r="H26" s="22">
        <v>528</v>
      </c>
      <c r="I26" s="22">
        <v>3</v>
      </c>
      <c r="J26" s="22">
        <v>4</v>
      </c>
      <c r="K26" s="123" t="s">
        <v>4049</v>
      </c>
      <c r="L26" s="22">
        <v>0</v>
      </c>
      <c r="M26" s="22">
        <v>0</v>
      </c>
      <c r="N26" s="125">
        <v>0</v>
      </c>
      <c r="O26" s="22">
        <v>0</v>
      </c>
      <c r="P26" s="22">
        <v>0</v>
      </c>
      <c r="Q26" s="22" t="s">
        <v>182</v>
      </c>
      <c r="R26" s="22" t="s">
        <v>160</v>
      </c>
      <c r="S26" s="134"/>
      <c r="T26" s="22">
        <v>0</v>
      </c>
      <c r="U26" s="22">
        <v>0</v>
      </c>
      <c r="V26" s="22">
        <v>1</v>
      </c>
      <c r="W26" s="23"/>
      <c r="X26" s="23"/>
      <c r="Y26" s="23"/>
    </row>
    <row r="27" spans="1:25" ht="13.2">
      <c r="A27" s="21">
        <v>2</v>
      </c>
      <c r="B27" s="25" t="s">
        <v>4050</v>
      </c>
      <c r="C27" s="25">
        <v>27</v>
      </c>
      <c r="D27" s="25">
        <v>6</v>
      </c>
      <c r="E27" s="25" t="s">
        <v>110</v>
      </c>
      <c r="F27" s="115" t="str">
        <f>HYPERLINK("https://regional.kompas.com/read/2019/03/24/19120521/kpu-pangkalpinang-pilih-caleg-yang-sudah-meninggal-dunia-suara-sah ","sumber")</f>
        <v>sumber</v>
      </c>
      <c r="G27" s="115" t="str">
        <f>HYPERLINK("https://drive.google.com/open?id=1VcgxL9CaPT0VI1163gLT7C9js5cSZ_60","lokasi")</f>
        <v>lokasi</v>
      </c>
      <c r="H27" s="25">
        <v>166</v>
      </c>
      <c r="I27" s="26"/>
      <c r="J27" s="26"/>
      <c r="K27" s="124"/>
      <c r="L27" s="26"/>
      <c r="M27" s="26"/>
      <c r="N27" s="26"/>
      <c r="O27" s="26"/>
      <c r="P27" s="26"/>
      <c r="Q27" s="26"/>
      <c r="R27" s="26"/>
      <c r="S27" s="124"/>
      <c r="T27" s="26"/>
      <c r="U27" s="26"/>
      <c r="V27" s="26"/>
      <c r="W27" s="26"/>
      <c r="X27" s="26"/>
      <c r="Y27" s="26"/>
    </row>
    <row r="28" spans="1:25" ht="13.2">
      <c r="A28" s="21">
        <v>2</v>
      </c>
      <c r="B28" s="25" t="s">
        <v>4051</v>
      </c>
      <c r="C28" s="25">
        <v>28</v>
      </c>
      <c r="D28" s="25">
        <v>1</v>
      </c>
      <c r="E28" s="25" t="s">
        <v>474</v>
      </c>
      <c r="F28" s="115" t="str">
        <f>HYPERLINK("https://news.detik.com/internasional/d-4481924/akhirnya-kalah-total-begini-awal-sejarah-kemunculan-dan-jatuhnya-isis","sumber")</f>
        <v>sumber</v>
      </c>
      <c r="G28" s="115" t="str">
        <f>HYPERLINK("https://drive.google.com/open?id=1ArsDG7X-Ns9DHDpmM1oZpnu43GsENzri","lokasi")</f>
        <v>lokasi</v>
      </c>
      <c r="H28" s="25">
        <v>1120</v>
      </c>
      <c r="I28" s="26"/>
      <c r="J28" s="26"/>
      <c r="K28" s="124"/>
      <c r="L28" s="26"/>
      <c r="M28" s="26"/>
      <c r="N28" s="26"/>
      <c r="O28" s="26"/>
      <c r="P28" s="26"/>
      <c r="Q28" s="26"/>
      <c r="R28" s="26"/>
      <c r="S28" s="124"/>
      <c r="T28" s="26"/>
      <c r="U28" s="26"/>
      <c r="V28" s="26"/>
      <c r="W28" s="26"/>
      <c r="X28" s="26"/>
      <c r="Y28" s="26"/>
    </row>
    <row r="29" spans="1:25" ht="13.2">
      <c r="A29" s="21">
        <v>2</v>
      </c>
      <c r="B29" s="25" t="s">
        <v>2907</v>
      </c>
      <c r="C29" s="25">
        <v>29</v>
      </c>
      <c r="D29" s="25">
        <v>4</v>
      </c>
      <c r="E29" s="25" t="s">
        <v>139</v>
      </c>
      <c r="F29" s="115" t="str">
        <f>HYPERLINK("https://www.liputan6.com/global/read/3930587/makam-nabi-yunus-hingga-masjid-6-situs-kuno-yang-hancur-oleh-isis","sumber")</f>
        <v>sumber</v>
      </c>
      <c r="G29" s="115" t="str">
        <f>HYPERLINK("https://drive.google.com/open?id=1bh0KCDyK-mdBwCulF7kGngvCpkQH8IHO","lokasi")</f>
        <v>lokasi</v>
      </c>
      <c r="H29" s="25">
        <v>1390</v>
      </c>
      <c r="I29" s="26"/>
      <c r="J29" s="26"/>
      <c r="K29" s="124"/>
      <c r="L29" s="26"/>
      <c r="M29" s="26"/>
      <c r="N29" s="26"/>
      <c r="O29" s="26"/>
      <c r="P29" s="26"/>
      <c r="Q29" s="26"/>
      <c r="R29" s="26"/>
      <c r="S29" s="124"/>
      <c r="T29" s="26"/>
      <c r="U29" s="26"/>
      <c r="V29" s="26"/>
      <c r="W29" s="26"/>
      <c r="X29" s="26"/>
      <c r="Y29" s="26"/>
    </row>
    <row r="30" spans="1:25" ht="13.2">
      <c r="A30" s="188">
        <v>1</v>
      </c>
      <c r="B30" s="22" t="s">
        <v>4052</v>
      </c>
      <c r="C30" s="22">
        <v>30</v>
      </c>
      <c r="D30" s="22">
        <v>2</v>
      </c>
      <c r="E30" s="222">
        <v>43559</v>
      </c>
      <c r="F30" s="121" t="str">
        <f>HYPERLINK("https://www.cnnindonesia.com/nasional/20190404093911-20-383303/larangan-non-muslim-dicabut-slamet-pilih-tinggalkan-dusun ","sumber")</f>
        <v>sumber</v>
      </c>
      <c r="G30" s="121" t="str">
        <f>HYPERLINK("https://drive.google.com/open?id=1BG-j_L0ZGR4qVtrKjmWW-xt3PWLKvtrA","lokasi")</f>
        <v>lokasi</v>
      </c>
      <c r="H30" s="22">
        <v>465</v>
      </c>
      <c r="I30" s="22">
        <v>2</v>
      </c>
      <c r="J30" s="22">
        <v>4</v>
      </c>
      <c r="K30" s="123" t="s">
        <v>4053</v>
      </c>
      <c r="L30" s="22">
        <v>-1</v>
      </c>
      <c r="M30" s="22">
        <v>0</v>
      </c>
      <c r="N30" s="125">
        <v>0</v>
      </c>
      <c r="O30" s="22">
        <v>0</v>
      </c>
      <c r="P30" s="22">
        <v>0</v>
      </c>
      <c r="Q30" s="22" t="s">
        <v>178</v>
      </c>
      <c r="R30" s="22" t="s">
        <v>160</v>
      </c>
      <c r="S30" s="134"/>
      <c r="T30" s="22">
        <v>0</v>
      </c>
      <c r="U30" s="22">
        <v>0</v>
      </c>
      <c r="V30" s="22">
        <v>0</v>
      </c>
      <c r="W30" s="23"/>
      <c r="X30" s="23"/>
      <c r="Y30" s="23"/>
    </row>
    <row r="31" spans="1:25" ht="13.2">
      <c r="A31" s="188">
        <v>1</v>
      </c>
      <c r="B31" s="22" t="s">
        <v>4054</v>
      </c>
      <c r="C31" s="22">
        <v>31</v>
      </c>
      <c r="D31" s="22">
        <v>1</v>
      </c>
      <c r="E31" s="222">
        <v>43589</v>
      </c>
      <c r="F31" s="121" t="str">
        <f>HYPERLINK("https://news.detik.com/berita-jawa-timur/d-4498660/forum-kebangsaan-lintas-agama-tulungagung-doa-bersama-dukung-jokowi ","sumber")</f>
        <v>sumber</v>
      </c>
      <c r="G31" s="121" t="str">
        <f>HYPERLINK("https://drive.google.com/open?id=1pz_VE27I9BHsRkydl2W4bZOztbn32Ogl","lokasi")</f>
        <v>lokasi</v>
      </c>
      <c r="H31" s="22">
        <v>188</v>
      </c>
      <c r="I31" s="22">
        <v>3</v>
      </c>
      <c r="J31" s="22">
        <v>4</v>
      </c>
      <c r="K31" s="123" t="s">
        <v>4055</v>
      </c>
      <c r="L31" s="22">
        <v>0</v>
      </c>
      <c r="M31" s="22">
        <v>0</v>
      </c>
      <c r="N31" s="125">
        <v>0</v>
      </c>
      <c r="O31" s="22">
        <v>0</v>
      </c>
      <c r="P31" s="22">
        <v>0</v>
      </c>
      <c r="Q31" s="22">
        <v>0</v>
      </c>
      <c r="R31" s="22">
        <v>1</v>
      </c>
      <c r="S31" s="134"/>
      <c r="T31" s="22">
        <v>0</v>
      </c>
      <c r="U31" s="22">
        <v>0</v>
      </c>
      <c r="V31" s="22">
        <v>1</v>
      </c>
      <c r="W31" s="23"/>
      <c r="X31" s="23"/>
      <c r="Y31" s="23"/>
    </row>
    <row r="32" spans="1:25" ht="13.2">
      <c r="A32" s="21">
        <v>2</v>
      </c>
      <c r="B32" s="25" t="s">
        <v>4056</v>
      </c>
      <c r="C32" s="25">
        <v>32</v>
      </c>
      <c r="D32" s="25">
        <v>6</v>
      </c>
      <c r="E32" s="234">
        <v>43650</v>
      </c>
      <c r="F32" s="115" t="str">
        <f>HYPERLINK("https://internasional.kompas.com/read/2019/04/07/20095501/ayatollah-ali-khamenei-minta-irak-usir-pasukan-as-secepatnya ","sumber")</f>
        <v>sumber</v>
      </c>
      <c r="G32" s="115" t="str">
        <f>HYPERLINK("https://drive.google.com/open?id=1Zhxe9Y0PtWlS51maCfSlJxnyrtC6-MNs","lokasi")</f>
        <v>lokasi</v>
      </c>
      <c r="H32" s="25">
        <v>329</v>
      </c>
      <c r="I32" s="26"/>
      <c r="J32" s="26"/>
      <c r="K32" s="124"/>
      <c r="L32" s="26"/>
      <c r="M32" s="26"/>
      <c r="N32" s="26"/>
      <c r="O32" s="26"/>
      <c r="P32" s="26"/>
      <c r="Q32" s="26"/>
      <c r="R32" s="26"/>
      <c r="S32" s="124"/>
      <c r="T32" s="26"/>
      <c r="U32" s="26"/>
      <c r="V32" s="26"/>
      <c r="W32" s="26"/>
      <c r="X32" s="26"/>
      <c r="Y32" s="26"/>
    </row>
    <row r="33" spans="1:25" ht="13.2">
      <c r="A33" s="188">
        <v>1</v>
      </c>
      <c r="B33" s="22" t="s">
        <v>4057</v>
      </c>
      <c r="C33" s="22">
        <v>33</v>
      </c>
      <c r="D33" s="22">
        <v>2</v>
      </c>
      <c r="E33" s="222">
        <v>43681</v>
      </c>
      <c r="F33" s="121" t="str">
        <f>HYPERLINK("https://www.cnnindonesia.com/internasional/20190408015059-120-384146/tentara-saudi-tembak-mati-2-penyerang-pos-keamanan ","sumber")</f>
        <v>sumber</v>
      </c>
      <c r="G33" s="121" t="str">
        <f>HYPERLINK("https://drive.google.com/open?id=1FiQVH-fag7kLtQtJ6zKKxg_ERTCDKO6G","lokasi")</f>
        <v>lokasi</v>
      </c>
      <c r="H33" s="22">
        <v>304</v>
      </c>
      <c r="I33" s="22">
        <v>1</v>
      </c>
      <c r="J33" s="22">
        <v>4</v>
      </c>
      <c r="K33" s="123" t="s">
        <v>4058</v>
      </c>
      <c r="L33" s="22">
        <v>0</v>
      </c>
      <c r="M33" s="147">
        <v>1</v>
      </c>
      <c r="N33" s="125">
        <v>0</v>
      </c>
      <c r="O33" s="22">
        <v>0</v>
      </c>
      <c r="P33" s="22">
        <v>0</v>
      </c>
      <c r="Q33" s="22" t="s">
        <v>182</v>
      </c>
      <c r="R33" s="22" t="s">
        <v>160</v>
      </c>
      <c r="S33" s="134"/>
      <c r="T33" s="22">
        <v>0</v>
      </c>
      <c r="U33" s="22">
        <v>0</v>
      </c>
      <c r="V33" s="22">
        <v>1</v>
      </c>
      <c r="W33" s="23"/>
      <c r="X33" s="23"/>
      <c r="Y33" s="23"/>
    </row>
    <row r="34" spans="1:25" ht="13.2">
      <c r="A34" s="21">
        <v>2</v>
      </c>
      <c r="B34" s="25" t="s">
        <v>4059</v>
      </c>
      <c r="C34" s="25">
        <v>34</v>
      </c>
      <c r="D34" s="25">
        <v>6</v>
      </c>
      <c r="E34" s="234">
        <v>43681</v>
      </c>
      <c r="F34" s="115" t="str">
        <f>HYPERLINK("https://edukasi.kompas.com/read/2019/04/08/21220471/menumbuhkan-startup-kampus-lewat-cppbt-boot-camp-2019?page=all#page2","sumber")</f>
        <v>sumber</v>
      </c>
      <c r="G34" s="115" t="str">
        <f>HYPERLINK("https://drive.google.com/open?id=1svy4NiiJFYr77evBd8EKA-Fh9XFQn3xe","lokasi")</f>
        <v>lokasi</v>
      </c>
      <c r="H34" s="25">
        <v>717</v>
      </c>
      <c r="I34" s="26"/>
      <c r="J34" s="26"/>
      <c r="K34" s="124"/>
      <c r="L34" s="26"/>
      <c r="M34" s="26"/>
      <c r="N34" s="26"/>
      <c r="O34" s="26"/>
      <c r="P34" s="26"/>
      <c r="Q34" s="26"/>
      <c r="R34" s="26"/>
      <c r="S34" s="124"/>
      <c r="T34" s="26"/>
      <c r="U34" s="26"/>
      <c r="V34" s="26"/>
      <c r="W34" s="26"/>
      <c r="X34" s="26"/>
      <c r="Y34" s="26"/>
    </row>
    <row r="35" spans="1:25" ht="13.2">
      <c r="A35" s="21">
        <v>2</v>
      </c>
      <c r="B35" s="25" t="s">
        <v>4060</v>
      </c>
      <c r="C35" s="25">
        <v>35</v>
      </c>
      <c r="D35" s="25">
        <v>2</v>
      </c>
      <c r="E35" s="234">
        <v>43712</v>
      </c>
      <c r="F35" s="115" t="str">
        <f>HYPERLINK("https://www.cnnindonesia.com/internasional/20190409141747-120-384584/iran-kecam-garda-revolusi-dianggap-teroris-saudi-dukung-as ","sumber")</f>
        <v>sumber</v>
      </c>
      <c r="G35" s="115" t="str">
        <f>HYPERLINK("https://drive.google.com/open?id=1BmTwAJegwRFcBwWc4eGzZBrmNW_u39_t","lokasi")</f>
        <v>lokasi</v>
      </c>
      <c r="H35" s="25">
        <v>432</v>
      </c>
      <c r="I35" s="26"/>
      <c r="J35" s="26"/>
      <c r="K35" s="124"/>
      <c r="L35" s="26"/>
      <c r="M35" s="26"/>
      <c r="N35" s="26"/>
      <c r="O35" s="26"/>
      <c r="P35" s="26"/>
      <c r="Q35" s="26"/>
      <c r="R35" s="26"/>
      <c r="S35" s="124"/>
      <c r="T35" s="26"/>
      <c r="U35" s="26"/>
      <c r="V35" s="26"/>
      <c r="W35" s="26"/>
      <c r="X35" s="26"/>
      <c r="Y35" s="26"/>
    </row>
    <row r="36" spans="1:25" ht="13.2">
      <c r="A36" s="21">
        <v>2</v>
      </c>
      <c r="B36" s="25" t="s">
        <v>4061</v>
      </c>
      <c r="C36" s="25">
        <v>36</v>
      </c>
      <c r="D36" s="25">
        <v>3</v>
      </c>
      <c r="E36" s="234">
        <v>43712</v>
      </c>
      <c r="F36" s="115" t="str">
        <f>HYPERLINK("https://news.okezone.com/read/2019/04/09/18/2040937/iran-nyatakan-pemerintah-dan-tentara-as-sebagai-kelompok-teroris ","sumber")</f>
        <v>sumber</v>
      </c>
      <c r="G36" s="115" t="str">
        <f>HYPERLINK("https://drive.google.com/open?id=1kith-PkZCfyXWmqlV6pBTB-RX3bCbmfB","lokasi")</f>
        <v>lokasi</v>
      </c>
      <c r="H36" s="25">
        <v>311</v>
      </c>
      <c r="I36" s="26"/>
      <c r="J36" s="26"/>
      <c r="K36" s="124"/>
      <c r="L36" s="26"/>
      <c r="M36" s="26"/>
      <c r="N36" s="26"/>
      <c r="O36" s="26"/>
      <c r="P36" s="26"/>
      <c r="Q36" s="26"/>
      <c r="R36" s="26"/>
      <c r="S36" s="124"/>
      <c r="T36" s="26"/>
      <c r="U36" s="26"/>
      <c r="V36" s="26"/>
      <c r="W36" s="26"/>
      <c r="X36" s="26"/>
      <c r="Y36" s="26"/>
    </row>
    <row r="37" spans="1:25" ht="13.2">
      <c r="A37" s="21">
        <v>2</v>
      </c>
      <c r="B37" s="25" t="s">
        <v>4062</v>
      </c>
      <c r="C37" s="25">
        <v>37</v>
      </c>
      <c r="D37" s="25">
        <v>5</v>
      </c>
      <c r="E37" s="234">
        <v>43742</v>
      </c>
      <c r="F37" s="115" t="str">
        <f>HYPERLINK("https://tirto.id/para-milisi-penggebuk-isis-mulai-kehilangan-musuh-bersama-dljY ","sumber")</f>
        <v>sumber</v>
      </c>
      <c r="G37" s="115" t="str">
        <f>HYPERLINK("https://drive.google.com/open?id=1bQRQ1yg4DNUKGyfTlB5TRuk6TOE0wTMw","lokasi")</f>
        <v>lokasi</v>
      </c>
      <c r="H37" s="25">
        <v>1258</v>
      </c>
      <c r="I37" s="26"/>
      <c r="J37" s="26"/>
      <c r="K37" s="124"/>
      <c r="L37" s="26"/>
      <c r="M37" s="26"/>
      <c r="N37" s="26"/>
      <c r="O37" s="26"/>
      <c r="P37" s="26"/>
      <c r="Q37" s="26"/>
      <c r="R37" s="26"/>
      <c r="S37" s="124"/>
      <c r="T37" s="26"/>
      <c r="U37" s="26"/>
      <c r="V37" s="26"/>
      <c r="W37" s="26"/>
      <c r="X37" s="26"/>
      <c r="Y37" s="26"/>
    </row>
    <row r="38" spans="1:25" ht="13.2">
      <c r="A38" s="188">
        <v>1</v>
      </c>
      <c r="B38" s="22" t="s">
        <v>4063</v>
      </c>
      <c r="C38" s="22">
        <v>38</v>
      </c>
      <c r="D38" s="22">
        <v>3</v>
      </c>
      <c r="E38" s="222">
        <v>43803</v>
      </c>
      <c r="F38" s="121" t="str">
        <f>HYPERLINK("https://news.okezone.com/read/2019/04/12/18/2042536/ledakan-bom-di-pasar-pakistan-tewaskan-sedikitnya-16-orang","sumber")</f>
        <v>sumber</v>
      </c>
      <c r="G38" s="121" t="str">
        <f>HYPERLINK("https://drive.google.com/open?id=1yfHd8BqILTSCVCwB_Ot0BK6iF0DffjLF","lokasi")</f>
        <v>lokasi</v>
      </c>
      <c r="H38" s="22">
        <v>205</v>
      </c>
      <c r="I38" s="22">
        <v>1</v>
      </c>
      <c r="J38" s="22">
        <v>4</v>
      </c>
      <c r="K38" s="123" t="s">
        <v>4064</v>
      </c>
      <c r="L38" s="22">
        <v>-1</v>
      </c>
      <c r="M38" s="22">
        <v>-1</v>
      </c>
      <c r="N38" s="125">
        <v>0</v>
      </c>
      <c r="O38" s="22">
        <v>0</v>
      </c>
      <c r="P38" s="22">
        <v>0</v>
      </c>
      <c r="Q38" s="22">
        <v>0</v>
      </c>
      <c r="R38" s="22">
        <v>0</v>
      </c>
      <c r="S38" s="134"/>
      <c r="T38" s="22">
        <v>0</v>
      </c>
      <c r="U38" s="22">
        <v>0</v>
      </c>
      <c r="V38" s="22">
        <v>1</v>
      </c>
      <c r="W38" s="23"/>
      <c r="X38" s="23"/>
      <c r="Y38" s="23"/>
    </row>
    <row r="39" spans="1:25" ht="13.2">
      <c r="A39" s="21">
        <v>2</v>
      </c>
      <c r="B39" s="25" t="s">
        <v>4065</v>
      </c>
      <c r="C39" s="25">
        <v>39</v>
      </c>
      <c r="D39" s="25">
        <v>7</v>
      </c>
      <c r="E39" s="25" t="s">
        <v>165</v>
      </c>
      <c r="F39" s="115" t="str">
        <f>HYPERLINK("https://www.tribunnews.com/internasional/2019/04/24/pbb-desak-arab-saudi-menunda-semua-rencana-pelaksanaan-hukuman-mati?page=all","sumber")</f>
        <v>sumber</v>
      </c>
      <c r="G39" s="115" t="str">
        <f>HYPERLINK("https://drive.google.com/open?id=1XRjSQou-hllkmv6H5uYovWcms21wLIqm","lokasi")</f>
        <v>lokasi</v>
      </c>
      <c r="H39" s="25">
        <v>374</v>
      </c>
      <c r="I39" s="26"/>
      <c r="J39" s="26"/>
      <c r="K39" s="124"/>
      <c r="L39" s="26"/>
      <c r="M39" s="26"/>
      <c r="N39" s="26"/>
      <c r="O39" s="26"/>
      <c r="P39" s="26"/>
      <c r="Q39" s="26"/>
      <c r="R39" s="26"/>
      <c r="S39" s="124"/>
      <c r="T39" s="26"/>
      <c r="U39" s="26"/>
      <c r="V39" s="26"/>
      <c r="W39" s="26"/>
      <c r="X39" s="26"/>
      <c r="Y39" s="26"/>
    </row>
    <row r="40" spans="1:25" ht="13.2">
      <c r="A40" s="21">
        <v>2</v>
      </c>
      <c r="B40" s="25" t="s">
        <v>4066</v>
      </c>
      <c r="C40" s="25">
        <v>40</v>
      </c>
      <c r="D40" s="25">
        <v>5</v>
      </c>
      <c r="E40" s="25" t="s">
        <v>521</v>
      </c>
      <c r="F40" s="115" t="str">
        <f>HYPERLINK("https://tirto.id/pbb-kecam-arab-saudi-terkait-eksekusi-mati-37-warganya-dm5B","sumber")</f>
        <v>sumber</v>
      </c>
      <c r="G40" s="115" t="str">
        <f>HYPERLINK("https://drive.google.com/open?id=1s_cDNmBnjh_WxXecleQ22nDqA0crQ2j0","lokasi")</f>
        <v>lokasi</v>
      </c>
      <c r="H40" s="25">
        <v>479</v>
      </c>
      <c r="I40" s="26"/>
      <c r="J40" s="26"/>
      <c r="K40" s="124"/>
      <c r="L40" s="26"/>
      <c r="M40" s="26"/>
      <c r="N40" s="26"/>
      <c r="O40" s="26"/>
      <c r="P40" s="26"/>
      <c r="Q40" s="26"/>
      <c r="R40" s="26"/>
      <c r="S40" s="124"/>
      <c r="T40" s="26"/>
      <c r="U40" s="26"/>
      <c r="V40" s="26"/>
      <c r="W40" s="26"/>
      <c r="X40" s="26"/>
      <c r="Y40" s="26"/>
    </row>
    <row r="41" spans="1:25" ht="13.2">
      <c r="A41" s="21">
        <v>2</v>
      </c>
      <c r="B41" s="25" t="s">
        <v>2944</v>
      </c>
      <c r="C41" s="25">
        <v>41</v>
      </c>
      <c r="D41" s="25">
        <v>3</v>
      </c>
      <c r="E41" s="25" t="s">
        <v>354</v>
      </c>
      <c r="F41" s="115" t="str">
        <f>HYPERLINK("https://news.okezone.com/read/2019/04/29/18/2049437/pemuda-saudi-dihukum-pancung-karena-kirim-pesan-via-whatsapp ","sumber")</f>
        <v>sumber</v>
      </c>
      <c r="G41" s="115" t="str">
        <f>HYPERLINK("https://drive.google.com/open?id=1_HOgT6Nf3w9yLrKT48CNZldiabl0yRB7","lokasi")</f>
        <v>lokasi</v>
      </c>
      <c r="H41" s="25">
        <v>305</v>
      </c>
      <c r="I41" s="26"/>
      <c r="J41" s="26"/>
      <c r="K41" s="124"/>
      <c r="L41" s="26"/>
      <c r="M41" s="26"/>
      <c r="N41" s="26"/>
      <c r="O41" s="26"/>
      <c r="P41" s="26"/>
      <c r="Q41" s="26"/>
      <c r="R41" s="26"/>
      <c r="S41" s="124"/>
      <c r="T41" s="26"/>
      <c r="U41" s="26"/>
      <c r="V41" s="26"/>
      <c r="W41" s="26"/>
      <c r="X41" s="26"/>
      <c r="Y41" s="26"/>
    </row>
    <row r="42" spans="1:25" ht="13.2">
      <c r="A42" s="21">
        <v>2</v>
      </c>
      <c r="B42" s="25" t="s">
        <v>4067</v>
      </c>
      <c r="C42" s="25">
        <v>42</v>
      </c>
      <c r="D42" s="25">
        <v>1</v>
      </c>
      <c r="E42" s="234">
        <v>43590</v>
      </c>
      <c r="F42" s="115" t="str">
        <f>HYPERLINK("https://news.detik.com/berita/d-4536698/tenggelam-saat-penelitian-mahasiswa-unsyiah-aceh-ditemukan-tewas ","sumber")</f>
        <v>sumber</v>
      </c>
      <c r="G42" s="115" t="str">
        <f>HYPERLINK("https://drive.google.com/open?id=1gn3mqArBA1S--maIo9txHXwpn9BCX6dO","lokasi")</f>
        <v>lokasi</v>
      </c>
      <c r="H42" s="25">
        <v>217</v>
      </c>
      <c r="I42" s="26"/>
      <c r="J42" s="26"/>
      <c r="K42" s="124"/>
      <c r="L42" s="26"/>
      <c r="M42" s="26"/>
      <c r="N42" s="26"/>
      <c r="O42" s="26"/>
      <c r="P42" s="26"/>
      <c r="Q42" s="26"/>
      <c r="R42" s="26"/>
      <c r="S42" s="124"/>
      <c r="T42" s="26"/>
      <c r="U42" s="26"/>
      <c r="V42" s="26"/>
      <c r="W42" s="26"/>
      <c r="X42" s="26"/>
      <c r="Y42" s="26"/>
    </row>
    <row r="43" spans="1:25" ht="13.2">
      <c r="A43" s="21">
        <v>2</v>
      </c>
      <c r="B43" s="25" t="s">
        <v>4068</v>
      </c>
      <c r="C43" s="25">
        <v>43</v>
      </c>
      <c r="D43" s="25">
        <v>7</v>
      </c>
      <c r="E43" s="234">
        <v>43682</v>
      </c>
      <c r="F43" s="115" t="str">
        <f>HYPERLINK("http://www.tribunnews.com/internasional/2019/05/08/ledakan-di-luar-masjid-kaum-muslim-sufi-di-lahore-pakistan ","sumber")</f>
        <v>sumber</v>
      </c>
      <c r="G43" s="115" t="str">
        <f>HYPERLINK("https://drive.google.com/open?id=1MA7j7YWkRUQLje-2f0cr--GpMVtyfj9j","lokasi")</f>
        <v>lokasi</v>
      </c>
      <c r="H43" s="25">
        <v>147</v>
      </c>
      <c r="I43" s="25"/>
      <c r="J43" s="25"/>
      <c r="K43" s="124"/>
      <c r="L43" s="26"/>
      <c r="M43" s="26"/>
      <c r="N43" s="26"/>
      <c r="O43" s="26"/>
      <c r="P43" s="26"/>
      <c r="Q43" s="26"/>
      <c r="R43" s="26"/>
      <c r="S43" s="124"/>
      <c r="T43" s="26"/>
      <c r="U43" s="26"/>
      <c r="V43" s="26"/>
      <c r="W43" s="26"/>
      <c r="X43" s="26"/>
      <c r="Y43" s="26"/>
    </row>
    <row r="44" spans="1:25" ht="13.2">
      <c r="A44" s="21">
        <v>2</v>
      </c>
      <c r="B44" s="25" t="s">
        <v>4069</v>
      </c>
      <c r="C44" s="25">
        <v>44</v>
      </c>
      <c r="D44" s="25">
        <v>2</v>
      </c>
      <c r="E44" s="25" t="s">
        <v>761</v>
      </c>
      <c r="F44" s="115" t="str">
        <f>HYPERLINK("https://www.cnnindonesia.com/internasional/20190517115228-120-395691/komandan-militer-iran-disebut-minta-milisi-irak-siap-perang ","sumber")</f>
        <v>sumber</v>
      </c>
      <c r="G44" s="115" t="str">
        <f>HYPERLINK("https://drive.google.com/open?id=1Gapdf5e0HsJ30L1bHIgf0Pp1897B9cJp","lokasi")</f>
        <v>lokasi</v>
      </c>
      <c r="H44" s="25">
        <v>251</v>
      </c>
      <c r="I44" s="26"/>
      <c r="J44" s="26"/>
      <c r="K44" s="124"/>
      <c r="L44" s="26"/>
      <c r="M44" s="26"/>
      <c r="N44" s="26"/>
      <c r="O44" s="26"/>
      <c r="P44" s="26"/>
      <c r="Q44" s="26"/>
      <c r="R44" s="26"/>
      <c r="S44" s="124"/>
      <c r="T44" s="26"/>
      <c r="U44" s="26"/>
      <c r="V44" s="26"/>
      <c r="W44" s="26"/>
      <c r="X44" s="26"/>
      <c r="Y44" s="26"/>
    </row>
    <row r="45" spans="1:25" ht="13.2">
      <c r="A45" s="21">
        <v>2</v>
      </c>
      <c r="B45" s="25" t="s">
        <v>4070</v>
      </c>
      <c r="C45" s="25">
        <v>45</v>
      </c>
      <c r="D45" s="25">
        <v>5</v>
      </c>
      <c r="E45" s="25" t="s">
        <v>208</v>
      </c>
      <c r="F45" s="115" t="str">
        <f>HYPERLINK("https://tirto.id/suara-pilpres-jokowi-prabowo-politik-identitas-di-kedua-pihak-dYLD","sumber")</f>
        <v>sumber</v>
      </c>
      <c r="G45" s="115" t="str">
        <f>HYPERLINK("https://drive.google.com/open?id=1qU2u0zUoszqNJj5BTsVzvdf3EBeh8CX6","lokasi")</f>
        <v>lokasi</v>
      </c>
      <c r="H45" s="25">
        <v>1358</v>
      </c>
      <c r="I45" s="26"/>
      <c r="J45" s="26"/>
      <c r="K45" s="124"/>
      <c r="L45" s="26"/>
      <c r="M45" s="26"/>
      <c r="N45" s="26"/>
      <c r="O45" s="26"/>
      <c r="P45" s="26"/>
      <c r="Q45" s="26"/>
      <c r="R45" s="26"/>
      <c r="S45" s="124"/>
      <c r="T45" s="26"/>
      <c r="U45" s="26"/>
      <c r="V45" s="26"/>
      <c r="W45" s="26"/>
      <c r="X45" s="26"/>
      <c r="Y45" s="26"/>
    </row>
    <row r="46" spans="1:25" ht="13.2">
      <c r="A46" s="21">
        <v>2</v>
      </c>
      <c r="B46" s="25" t="s">
        <v>4071</v>
      </c>
      <c r="C46" s="25">
        <v>46</v>
      </c>
      <c r="D46" s="25">
        <v>9</v>
      </c>
      <c r="E46" s="25" t="s">
        <v>2177</v>
      </c>
      <c r="F46" s="115" t="str">
        <f>HYPERLINK("https://khazanah.republika.co.id/berita/dunia-islam/islam-digest/ps58xc313/mengenal-gelar-amirul-mukiminin ","sumber")</f>
        <v>sumber</v>
      </c>
      <c r="G46" s="115" t="str">
        <f>HYPERLINK("https://drive.google.com/open?id=1hWAk2hCuTImIE6hSCF8nggD5Hg__Sv-e","lokasi")</f>
        <v>lokasi</v>
      </c>
      <c r="H46" s="25">
        <v>480</v>
      </c>
      <c r="I46" s="26"/>
      <c r="J46" s="26"/>
      <c r="K46" s="124"/>
      <c r="L46" s="26"/>
      <c r="M46" s="26"/>
      <c r="N46" s="26"/>
      <c r="O46" s="26"/>
      <c r="P46" s="26"/>
      <c r="Q46" s="26"/>
      <c r="R46" s="26"/>
      <c r="S46" s="124"/>
      <c r="T46" s="26"/>
      <c r="U46" s="26"/>
      <c r="V46" s="26"/>
      <c r="W46" s="26"/>
      <c r="X46" s="26"/>
      <c r="Y46" s="26"/>
    </row>
    <row r="47" spans="1:25" ht="13.2">
      <c r="A47" s="188">
        <v>1</v>
      </c>
      <c r="B47" s="22" t="s">
        <v>2965</v>
      </c>
      <c r="C47" s="22">
        <v>47</v>
      </c>
      <c r="D47" s="22">
        <v>1</v>
      </c>
      <c r="E47" s="22" t="s">
        <v>2181</v>
      </c>
      <c r="F47" s="121" t="str">
        <f>HYPERLINK("https://news.detik.com/berita/d-4570176/jerry-d-gray-bantah-agen-asing-itu-fitnah-saya-juga-dituduh-syiah","sumber")</f>
        <v>sumber</v>
      </c>
      <c r="G47" s="121" t="str">
        <f>HYPERLINK("https://drive.google.com/open?id=1mSSMjSpyo3l_6w53gVTKsSCeH5yRoSdn","lokasi")</f>
        <v>lokasi</v>
      </c>
      <c r="H47" s="22">
        <v>385</v>
      </c>
      <c r="I47" s="22">
        <v>2</v>
      </c>
      <c r="J47" s="22">
        <v>4</v>
      </c>
      <c r="K47" s="123" t="s">
        <v>4072</v>
      </c>
      <c r="L47" s="22">
        <v>0</v>
      </c>
      <c r="M47" s="22">
        <v>0</v>
      </c>
      <c r="N47" s="22">
        <v>-1</v>
      </c>
      <c r="O47" s="22">
        <v>0</v>
      </c>
      <c r="P47" s="22">
        <v>0</v>
      </c>
      <c r="Q47" s="22">
        <v>2</v>
      </c>
      <c r="R47" s="22">
        <v>1</v>
      </c>
      <c r="S47" s="134"/>
      <c r="T47" s="22">
        <v>0</v>
      </c>
      <c r="U47" s="22">
        <v>-1</v>
      </c>
      <c r="V47" s="22">
        <v>0</v>
      </c>
      <c r="W47" s="23"/>
      <c r="X47" s="23"/>
      <c r="Y47" s="23"/>
    </row>
    <row r="48" spans="1:25" ht="13.2">
      <c r="A48" s="188">
        <v>1</v>
      </c>
      <c r="B48" s="22" t="s">
        <v>4073</v>
      </c>
      <c r="C48" s="22">
        <v>48</v>
      </c>
      <c r="D48" s="22">
        <v>1</v>
      </c>
      <c r="E48" s="222">
        <v>43744</v>
      </c>
      <c r="F48" s="121" t="str">
        <f>HYPERLINK("https://news.detik.com/abc-australia/d-4581413/protes-pemerintah-remaja-arab-saudi-hadapi-hukuman-mati","sumber")</f>
        <v>sumber</v>
      </c>
      <c r="G48" s="121" t="str">
        <f>HYPERLINK("https://drive.google.com/open?id=1vtygEsBtGZ_PFxYDHAMyKQJThwhMwUop","lokasi")</f>
        <v>lokasi</v>
      </c>
      <c r="H48" s="22">
        <v>581</v>
      </c>
      <c r="I48" s="22">
        <v>4</v>
      </c>
      <c r="J48" s="22">
        <v>4</v>
      </c>
      <c r="K48" s="123" t="s">
        <v>4074</v>
      </c>
      <c r="L48" s="22">
        <v>0</v>
      </c>
      <c r="M48" s="22">
        <v>0</v>
      </c>
      <c r="N48" s="125">
        <v>0</v>
      </c>
      <c r="O48" s="22">
        <v>0</v>
      </c>
      <c r="P48" s="22">
        <v>0</v>
      </c>
      <c r="Q48" s="22" t="s">
        <v>29</v>
      </c>
      <c r="R48" s="22" t="s">
        <v>160</v>
      </c>
      <c r="S48" s="134"/>
      <c r="T48" s="22">
        <v>0</v>
      </c>
      <c r="U48" s="22">
        <v>-1</v>
      </c>
      <c r="V48" s="22">
        <v>0</v>
      </c>
      <c r="W48" s="23"/>
      <c r="X48" s="23"/>
      <c r="Y48" s="23"/>
    </row>
    <row r="49" spans="1:25" ht="13.2">
      <c r="A49" s="21">
        <v>2</v>
      </c>
      <c r="B49" s="25" t="s">
        <v>4075</v>
      </c>
      <c r="C49" s="25">
        <v>49</v>
      </c>
      <c r="D49" s="25">
        <v>4</v>
      </c>
      <c r="E49" s="25" t="s">
        <v>4076</v>
      </c>
      <c r="F49" s="115" t="str">
        <f>HYPERLINK("https://www.liputan6.com/global/read/3989575/arab-saudi-cegat-5-drone-houthi-beberapa-serang-bandara-abha ","sumber")</f>
        <v>sumber</v>
      </c>
      <c r="G49" s="115" t="str">
        <f>HYPERLINK("https://drive.google.com/open?id=1EvQtMd93t3KofpywHzUN8eh_mgdNV01W","lokasi")</f>
        <v>lokasi</v>
      </c>
      <c r="H49" s="25">
        <v>519</v>
      </c>
      <c r="I49" s="26"/>
      <c r="J49" s="26"/>
      <c r="K49" s="124"/>
      <c r="L49" s="26"/>
      <c r="M49" s="26"/>
      <c r="N49" s="26"/>
      <c r="O49" s="26"/>
      <c r="P49" s="26"/>
      <c r="Q49" s="26"/>
      <c r="R49" s="26"/>
      <c r="S49" s="124"/>
      <c r="T49" s="26"/>
      <c r="U49" s="26"/>
      <c r="V49" s="26"/>
      <c r="W49" s="26"/>
      <c r="X49" s="26"/>
      <c r="Y49" s="26"/>
    </row>
    <row r="50" spans="1:25" ht="13.2">
      <c r="A50" s="21">
        <v>2</v>
      </c>
      <c r="B50" s="25" t="s">
        <v>4077</v>
      </c>
      <c r="C50" s="25">
        <v>50</v>
      </c>
      <c r="D50" s="25">
        <v>3</v>
      </c>
      <c r="E50" s="25" t="s">
        <v>2035</v>
      </c>
      <c r="F50" s="115" t="str">
        <f>HYPERLINK("https://news.okezone.com/read/2019/06/15/65/2066727/belajar-teknologi-45-mahasiswa-indonesia-dikirim-ke-china ","sumber")</f>
        <v>sumber</v>
      </c>
      <c r="G50" s="115" t="str">
        <f>HYPERLINK("https://drive.google.com/open?id=1cOFjLB4XrRE4LxwgqZO4eKKt55UII0XE","lokasi")</f>
        <v>lokasi</v>
      </c>
      <c r="H50" s="25">
        <v>707</v>
      </c>
      <c r="I50" s="26"/>
      <c r="J50" s="26"/>
      <c r="K50" s="124"/>
      <c r="L50" s="26"/>
      <c r="M50" s="26"/>
      <c r="N50" s="26"/>
      <c r="O50" s="26"/>
      <c r="P50" s="26"/>
      <c r="Q50" s="26"/>
      <c r="R50" s="26"/>
      <c r="S50" s="124"/>
      <c r="T50" s="26"/>
      <c r="U50" s="26"/>
      <c r="V50" s="26"/>
      <c r="W50" s="26"/>
      <c r="X50" s="26"/>
      <c r="Y50" s="26"/>
    </row>
    <row r="51" spans="1:25" ht="13.2">
      <c r="A51" s="21">
        <v>2</v>
      </c>
      <c r="B51" s="25" t="s">
        <v>387</v>
      </c>
      <c r="C51" s="25">
        <v>51</v>
      </c>
      <c r="D51" s="25">
        <v>10</v>
      </c>
      <c r="E51" s="25" t="s">
        <v>388</v>
      </c>
      <c r="F51" s="115" t="str">
        <f>HYPERLINK("https://dunia.tempo.co/read/1215458/tak-jadi-dieksekusi-mati-remaja-arab-saudi-divonis-12-tahun","sumber")</f>
        <v>sumber</v>
      </c>
      <c r="G51" s="115" t="str">
        <f>HYPERLINK("https://drive.google.com/open?id=1mjjEMTcX0dhAq7YByH1G7lqxR_TuZHhS","lokasi")</f>
        <v>lokasi</v>
      </c>
      <c r="H51" s="25">
        <v>470</v>
      </c>
      <c r="I51" s="25"/>
      <c r="J51" s="25"/>
      <c r="K51" s="116"/>
      <c r="L51" s="25"/>
      <c r="M51" s="25"/>
      <c r="N51" s="25"/>
      <c r="O51" s="25"/>
      <c r="P51" s="25"/>
      <c r="Q51" s="25"/>
      <c r="R51" s="25"/>
      <c r="S51" s="124"/>
      <c r="T51" s="25"/>
      <c r="U51" s="25"/>
      <c r="V51" s="25"/>
      <c r="W51" s="26"/>
      <c r="X51" s="26"/>
      <c r="Y51" s="26"/>
    </row>
    <row r="52" spans="1:25" ht="13.2">
      <c r="A52" s="21">
        <v>2</v>
      </c>
      <c r="B52" s="25" t="s">
        <v>4078</v>
      </c>
      <c r="C52" s="25">
        <v>52</v>
      </c>
      <c r="D52" s="25">
        <v>1</v>
      </c>
      <c r="E52" s="25" t="s">
        <v>241</v>
      </c>
      <c r="F52" s="115" t="str">
        <f>HYPERLINK("https://news.detik.com/berita/d-4604283/ini-identitas-8-pemuda-yang-tertangkap-bawa-4-kg-sabu-di-bandara-pekanbaru","sumber")</f>
        <v>sumber</v>
      </c>
      <c r="G52" s="115" t="str">
        <f>HYPERLINK("https://drive.google.com/open?id=1Z6RyVytf60c8z992jrLttvNQ6xS2whWo","lokasi")</f>
        <v>lokasi</v>
      </c>
      <c r="H52" s="25">
        <v>288</v>
      </c>
      <c r="I52" s="26"/>
      <c r="J52" s="26"/>
      <c r="K52" s="124"/>
      <c r="L52" s="26"/>
      <c r="M52" s="26"/>
      <c r="N52" s="26"/>
      <c r="O52" s="26"/>
      <c r="P52" s="26"/>
      <c r="Q52" s="26"/>
      <c r="R52" s="26"/>
      <c r="S52" s="124"/>
      <c r="T52" s="26"/>
      <c r="U52" s="26"/>
      <c r="V52" s="26"/>
      <c r="W52" s="26"/>
      <c r="X52" s="26"/>
      <c r="Y52" s="26"/>
    </row>
    <row r="53" spans="1:25" ht="13.8">
      <c r="A53" s="283">
        <v>1</v>
      </c>
      <c r="B53" s="284" t="s">
        <v>4079</v>
      </c>
      <c r="C53" s="22">
        <v>53</v>
      </c>
      <c r="D53" s="22">
        <v>10</v>
      </c>
      <c r="E53" s="22" t="s">
        <v>2411</v>
      </c>
      <c r="F53" s="121" t="str">
        <f>HYPERLINK("https://nasional.tempo.co/read/1225029/rapor-merah-penagakan-ham-di-era-pemerintahan-joko-widodo ","sumber")</f>
        <v>sumber</v>
      </c>
      <c r="G53" s="121" t="str">
        <f>HYPERLINK("https://drive.google.com/open?id=1-BiKFgORp1fzY-XpoSGGB0sWCjhGdy9e","lokasi")</f>
        <v>lokasi</v>
      </c>
      <c r="H53" s="22">
        <v>577</v>
      </c>
      <c r="I53" s="22">
        <v>4</v>
      </c>
      <c r="J53" s="22">
        <v>4</v>
      </c>
      <c r="K53" s="123" t="s">
        <v>4080</v>
      </c>
      <c r="L53" s="22">
        <v>0</v>
      </c>
      <c r="M53" s="22">
        <v>0</v>
      </c>
      <c r="N53" s="125">
        <v>0</v>
      </c>
      <c r="O53" s="22">
        <v>0</v>
      </c>
      <c r="P53" s="22">
        <v>0</v>
      </c>
      <c r="Q53" s="22" t="s">
        <v>21</v>
      </c>
      <c r="R53" s="22" t="s">
        <v>210</v>
      </c>
      <c r="S53" s="134"/>
      <c r="T53" s="22">
        <v>0</v>
      </c>
      <c r="U53" s="22">
        <v>0</v>
      </c>
      <c r="V53" s="22">
        <v>1</v>
      </c>
      <c r="W53" s="23"/>
      <c r="X53" s="23"/>
      <c r="Y53" s="23"/>
    </row>
    <row r="54" spans="1:25" ht="13.2">
      <c r="A54" s="21">
        <v>2</v>
      </c>
      <c r="B54" s="25" t="s">
        <v>4081</v>
      </c>
      <c r="C54" s="25">
        <v>54</v>
      </c>
      <c r="D54" s="25">
        <v>1</v>
      </c>
      <c r="E54" s="25" t="s">
        <v>2047</v>
      </c>
      <c r="F54" s="115" t="str">
        <f>HYPERLINK("https://news.detik.com/berita/d-4640336/ombudsman-kritik-polda-aceh-yang-tahan-kades-jual-bibit-tanpa-label ","sumber")</f>
        <v>sumber</v>
      </c>
      <c r="G54" s="115" t="str">
        <f>HYPERLINK("https://drive.google.com/open?id=1mu-0uTtZ8TKPImeQBB0BWLYRWvySdGm4","lokasi")</f>
        <v>lokasi</v>
      </c>
      <c r="H54" s="25">
        <v>466</v>
      </c>
      <c r="I54" s="26"/>
      <c r="J54" s="26"/>
      <c r="K54" s="124"/>
      <c r="L54" s="26"/>
      <c r="M54" s="26"/>
      <c r="N54" s="26"/>
      <c r="O54" s="26"/>
      <c r="P54" s="26"/>
      <c r="Q54" s="26"/>
      <c r="R54" s="26"/>
      <c r="S54" s="124"/>
      <c r="T54" s="26"/>
      <c r="U54" s="26"/>
      <c r="V54" s="26"/>
      <c r="W54" s="26"/>
      <c r="X54" s="26"/>
      <c r="Y54" s="26"/>
    </row>
    <row r="55" spans="1:25" ht="13.2">
      <c r="A55" s="21">
        <v>2</v>
      </c>
      <c r="B55" s="25" t="s">
        <v>4082</v>
      </c>
      <c r="C55" s="25">
        <v>55</v>
      </c>
      <c r="D55" s="25">
        <v>2</v>
      </c>
      <c r="E55" s="25" t="s">
        <v>4083</v>
      </c>
      <c r="F55" s="115" t="str">
        <f>HYPERLINK("https://www.cnnindonesia.com/internasional/20190727180136-120-416069/bahrain-eksekusi-mati-dua-aktivis-syiah ","sumber")</f>
        <v>sumber</v>
      </c>
      <c r="G55" s="115" t="str">
        <f>HYPERLINK("https://drive.google.com/open?id=1LbnhZ2eBUB3heY-dR7xZwmoZCa3V8t7D","lokasi")</f>
        <v>lokasi</v>
      </c>
      <c r="H55" s="25">
        <v>488</v>
      </c>
      <c r="I55" s="25"/>
      <c r="J55" s="25"/>
      <c r="K55" s="116"/>
      <c r="L55" s="25"/>
      <c r="M55" s="25"/>
      <c r="N55" s="25"/>
      <c r="O55" s="25"/>
      <c r="P55" s="25"/>
      <c r="Q55" s="25"/>
      <c r="R55" s="25"/>
      <c r="S55" s="124"/>
      <c r="T55" s="25"/>
      <c r="U55" s="25"/>
      <c r="V55" s="25"/>
      <c r="W55" s="26"/>
      <c r="X55" s="26"/>
      <c r="Y55" s="26"/>
    </row>
    <row r="56" spans="1:25" ht="13.2">
      <c r="A56" s="21">
        <v>2</v>
      </c>
      <c r="B56" s="25" t="s">
        <v>4084</v>
      </c>
      <c r="C56" s="25">
        <v>56</v>
      </c>
      <c r="D56" s="25">
        <v>1</v>
      </c>
      <c r="E56" s="25" t="s">
        <v>4083</v>
      </c>
      <c r="F56" s="115" t="str">
        <f>HYPERLINK("https://news.detik.com/internasional/d-4641944/bahrain-eksekusi-mati-2-warga-syiah-atas-dakwaan-terorisme ","sumber")</f>
        <v>sumber</v>
      </c>
      <c r="G56" s="115" t="str">
        <f>HYPERLINK("https://drive.google.com/open?id=1UWCUNXhdP9fZA_r1Z_25FrI7mmHlc4VQ","lokasi")</f>
        <v>lokasi</v>
      </c>
      <c r="H56" s="25">
        <v>244</v>
      </c>
      <c r="I56" s="25"/>
      <c r="J56" s="25"/>
      <c r="K56" s="116"/>
      <c r="L56" s="25"/>
      <c r="M56" s="25"/>
      <c r="N56" s="25"/>
      <c r="O56" s="25"/>
      <c r="P56" s="25"/>
      <c r="Q56" s="25"/>
      <c r="R56" s="25"/>
      <c r="S56" s="124"/>
      <c r="T56" s="25"/>
      <c r="U56" s="25"/>
      <c r="V56" s="25"/>
      <c r="W56" s="26"/>
      <c r="X56" s="26"/>
      <c r="Y56" s="26"/>
    </row>
    <row r="57" spans="1:25" ht="13.2">
      <c r="A57" s="21">
        <v>2</v>
      </c>
      <c r="B57" s="25" t="s">
        <v>4085</v>
      </c>
      <c r="C57" s="25">
        <v>57</v>
      </c>
      <c r="D57" s="25">
        <v>10</v>
      </c>
      <c r="E57" s="25" t="s">
        <v>4083</v>
      </c>
      <c r="F57" s="115" t="str">
        <f>HYPERLINK("https://dunia.tempo.co/read/1229180/sheikh-salman-al-awda-ulama-arab-saudi-yang-terancam-dieksekusi ","sumber")</f>
        <v>sumber</v>
      </c>
      <c r="G57" s="115" t="str">
        <f>HYPERLINK("https://drive.google.com/open?id=1zyymjHFUy0SX56MokYj6opeD7W1Od8pE","lokasi")</f>
        <v>lokasi</v>
      </c>
      <c r="H57" s="25">
        <v>666</v>
      </c>
      <c r="I57" s="25"/>
      <c r="J57" s="25"/>
      <c r="K57" s="116"/>
      <c r="L57" s="25"/>
      <c r="M57" s="25"/>
      <c r="N57" s="25"/>
      <c r="O57" s="25"/>
      <c r="P57" s="25"/>
      <c r="Q57" s="180"/>
      <c r="R57" s="25"/>
      <c r="S57" s="124"/>
      <c r="T57" s="26"/>
      <c r="U57" s="26"/>
      <c r="V57" s="26"/>
      <c r="W57" s="26"/>
      <c r="X57" s="26"/>
      <c r="Y57" s="26"/>
    </row>
    <row r="58" spans="1:25" ht="13.2">
      <c r="A58" s="21">
        <v>2</v>
      </c>
      <c r="B58" s="25" t="s">
        <v>3014</v>
      </c>
      <c r="C58" s="25">
        <v>58</v>
      </c>
      <c r="D58" s="25">
        <v>10</v>
      </c>
      <c r="E58" s="234">
        <v>43654</v>
      </c>
      <c r="F58" s="115" t="str">
        <f>HYPERLINK("https://dunia.tempo.co/read/1232942/hak-istimewa-kashmir-dicabut-pakistan-dan-india-terancam-perang ","sumber")</f>
        <v>sumber</v>
      </c>
      <c r="G58" s="115" t="str">
        <f>HYPERLINK("https://drive.google.com/open?id=18V5uShNVHsr8qLQxkEWXJCvOx8jeL4cP","lokasi")</f>
        <v>lokasi</v>
      </c>
      <c r="H58" s="25">
        <v>456</v>
      </c>
      <c r="I58" s="26"/>
      <c r="J58" s="25"/>
      <c r="K58" s="124"/>
      <c r="L58" s="26"/>
      <c r="M58" s="26"/>
      <c r="N58" s="26"/>
      <c r="O58" s="26"/>
      <c r="P58" s="26"/>
      <c r="Q58" s="26"/>
      <c r="R58" s="26"/>
      <c r="S58" s="124"/>
      <c r="T58" s="26"/>
      <c r="U58" s="26"/>
      <c r="V58" s="26"/>
      <c r="W58" s="26"/>
      <c r="X58" s="26"/>
      <c r="Y58" s="26"/>
    </row>
    <row r="59" spans="1:25" ht="13.2">
      <c r="A59" s="21">
        <v>2</v>
      </c>
      <c r="B59" s="25" t="s">
        <v>4086</v>
      </c>
      <c r="C59" s="25">
        <v>59</v>
      </c>
      <c r="D59" s="25">
        <v>4</v>
      </c>
      <c r="E59" s="25" t="s">
        <v>268</v>
      </c>
      <c r="F59" s="115" t="str">
        <f>HYPERLINK("https://www.liputan6.com/global/read/4040738/ledakan-bom-hantam-pesta-pernikahan-di-afghanistan-60-orang-tewas ","sumber")</f>
        <v>sumber</v>
      </c>
      <c r="G59" s="25" t="s">
        <v>1</v>
      </c>
      <c r="H59" s="25">
        <v>428</v>
      </c>
      <c r="I59" s="26"/>
      <c r="J59" s="25"/>
      <c r="K59" s="124"/>
      <c r="L59" s="26"/>
      <c r="M59" s="26"/>
      <c r="N59" s="26"/>
      <c r="O59" s="26"/>
      <c r="P59" s="26"/>
      <c r="Q59" s="26"/>
      <c r="R59" s="26"/>
      <c r="S59" s="124"/>
      <c r="T59" s="26"/>
      <c r="U59" s="26"/>
      <c r="V59" s="26"/>
      <c r="W59" s="26"/>
      <c r="X59" s="26"/>
      <c r="Y59" s="26"/>
    </row>
    <row r="60" spans="1:25" ht="13.2">
      <c r="A60" s="21">
        <v>2</v>
      </c>
      <c r="B60" s="25" t="s">
        <v>4087</v>
      </c>
      <c r="C60" s="25">
        <v>60</v>
      </c>
      <c r="D60" s="25">
        <v>8</v>
      </c>
      <c r="E60" s="25" t="s">
        <v>268</v>
      </c>
      <c r="F60" s="115" t="str">
        <f>HYPERLINK("https://www.suara.com/news/2019/08/18/134006/bom-bunuh-diri-meledak-di-acara-pesta-perkawinan-63-orang-tewas ","sumber")</f>
        <v>sumber</v>
      </c>
      <c r="G60" s="25" t="s">
        <v>1</v>
      </c>
      <c r="H60" s="25">
        <v>245</v>
      </c>
      <c r="I60" s="26"/>
      <c r="J60" s="25"/>
      <c r="K60" s="124"/>
      <c r="L60" s="26"/>
      <c r="M60" s="26"/>
      <c r="N60" s="26"/>
      <c r="O60" s="26"/>
      <c r="P60" s="26"/>
      <c r="Q60" s="26"/>
      <c r="R60" s="26"/>
      <c r="S60" s="124"/>
      <c r="T60" s="26"/>
      <c r="U60" s="26"/>
      <c r="V60" s="26"/>
      <c r="W60" s="26"/>
      <c r="X60" s="26"/>
      <c r="Y60" s="26"/>
    </row>
    <row r="61" spans="1:25" ht="13.2">
      <c r="A61" s="21">
        <v>2</v>
      </c>
      <c r="B61" s="25" t="s">
        <v>1172</v>
      </c>
      <c r="C61" s="25">
        <v>61</v>
      </c>
      <c r="D61" s="25">
        <v>1</v>
      </c>
      <c r="E61" s="25" t="s">
        <v>2437</v>
      </c>
      <c r="F61" s="115" t="str">
        <f>HYPERLINK("https://news.detik.com/bbc-world/d-4672349/pesta-pernikahan-disasar-bom-pengantin-pria-di-afganistan-hilang-harapan ","sumber")</f>
        <v>sumber</v>
      </c>
      <c r="G61" s="25" t="s">
        <v>1</v>
      </c>
      <c r="H61" s="25">
        <v>646</v>
      </c>
      <c r="I61" s="26"/>
      <c r="J61" s="25"/>
      <c r="K61" s="124"/>
      <c r="L61" s="26"/>
      <c r="M61" s="26"/>
      <c r="N61" s="26"/>
      <c r="O61" s="26"/>
      <c r="P61" s="26"/>
      <c r="Q61" s="26"/>
      <c r="R61" s="26"/>
      <c r="S61" s="124"/>
      <c r="T61" s="26"/>
      <c r="U61" s="26"/>
      <c r="V61" s="26"/>
      <c r="W61" s="26"/>
      <c r="X61" s="26"/>
      <c r="Y61" s="26"/>
    </row>
    <row r="62" spans="1:25" ht="13.2">
      <c r="A62" s="188">
        <v>1</v>
      </c>
      <c r="B62" s="22" t="s">
        <v>4088</v>
      </c>
      <c r="C62" s="22">
        <v>62</v>
      </c>
      <c r="D62" s="22">
        <v>4</v>
      </c>
      <c r="E62" s="22" t="s">
        <v>2437</v>
      </c>
      <c r="F62" s="121" t="str">
        <f>HYPERLINK("https://www.liputan6.com/global/read/4041215/isis-akui-dalang-bom-di-pesta-pernikahan-afghanistan-yang-tewaskan-63-orang ","sumber")</f>
        <v>sumber</v>
      </c>
      <c r="G62" s="22" t="s">
        <v>1</v>
      </c>
      <c r="H62" s="22">
        <v>487</v>
      </c>
      <c r="I62" s="22">
        <v>1</v>
      </c>
      <c r="J62" s="22">
        <v>4</v>
      </c>
      <c r="K62" s="123" t="s">
        <v>4089</v>
      </c>
      <c r="L62" s="22">
        <v>-1</v>
      </c>
      <c r="M62" s="22">
        <v>-1</v>
      </c>
      <c r="N62" s="125">
        <v>0</v>
      </c>
      <c r="O62" s="22">
        <v>0</v>
      </c>
      <c r="P62" s="22">
        <v>0</v>
      </c>
      <c r="Q62" s="22" t="s">
        <v>159</v>
      </c>
      <c r="R62" s="22" t="s">
        <v>160</v>
      </c>
      <c r="S62" s="134"/>
      <c r="T62" s="22">
        <v>0</v>
      </c>
      <c r="U62" s="22">
        <v>0</v>
      </c>
      <c r="V62" s="22">
        <v>1</v>
      </c>
      <c r="W62" s="23"/>
      <c r="X62" s="23"/>
      <c r="Y62" s="23"/>
    </row>
    <row r="63" spans="1:25" ht="13.2">
      <c r="A63" s="21">
        <v>2</v>
      </c>
      <c r="B63" s="25" t="s">
        <v>4090</v>
      </c>
      <c r="C63" s="25">
        <v>63</v>
      </c>
      <c r="D63" s="25">
        <v>6</v>
      </c>
      <c r="E63" s="25" t="s">
        <v>283</v>
      </c>
      <c r="F63" s="115" t="str">
        <f>HYPERLINK("https://internasional.kompas.com/read/2019/08/27/23070641/israel-peringatkan-hezbollah-hati-hati-dengan-kata-kata-dan-tindakan ","sumber")</f>
        <v>sumber</v>
      </c>
      <c r="G63" s="25" t="s">
        <v>1</v>
      </c>
      <c r="H63" s="25">
        <v>227</v>
      </c>
      <c r="I63" s="26"/>
      <c r="J63" s="25">
        <v>4</v>
      </c>
      <c r="K63" s="124"/>
      <c r="L63" s="26"/>
      <c r="M63" s="26"/>
      <c r="N63" s="26"/>
      <c r="O63" s="26"/>
      <c r="P63" s="26"/>
      <c r="Q63" s="26"/>
      <c r="R63" s="26"/>
      <c r="S63" s="124"/>
      <c r="T63" s="26"/>
      <c r="U63" s="26"/>
      <c r="V63" s="26"/>
      <c r="W63" s="26"/>
      <c r="X63" s="26"/>
      <c r="Y63" s="26"/>
    </row>
    <row r="64" spans="1:25" ht="13.2">
      <c r="A64" s="21">
        <v>2</v>
      </c>
      <c r="B64" s="25" t="s">
        <v>4091</v>
      </c>
      <c r="C64" s="25">
        <v>64</v>
      </c>
      <c r="D64" s="25">
        <v>7</v>
      </c>
      <c r="E64" s="25" t="s">
        <v>286</v>
      </c>
      <c r="F64" s="115" t="str">
        <f>HYPERLINK("https://www.tribunnews.com/kilas-kementerian/2019/08/29/universitas-sumatera-utara-juara-debat-konstitusi-mpr ","sumber")</f>
        <v>sumber</v>
      </c>
      <c r="G64" s="25" t="s">
        <v>1</v>
      </c>
      <c r="H64" s="25">
        <v>516</v>
      </c>
      <c r="I64" s="26"/>
      <c r="J64" s="25">
        <v>4</v>
      </c>
      <c r="K64" s="124"/>
      <c r="L64" s="26"/>
      <c r="M64" s="26"/>
      <c r="N64" s="26"/>
      <c r="O64" s="26"/>
      <c r="P64" s="26"/>
      <c r="Q64" s="26"/>
      <c r="R64" s="26"/>
      <c r="S64" s="124"/>
      <c r="T64" s="26"/>
      <c r="U64" s="26"/>
      <c r="V64" s="26"/>
      <c r="W64" s="26"/>
      <c r="X64" s="26"/>
      <c r="Y64" s="26"/>
    </row>
    <row r="65" spans="1:25" ht="13.2">
      <c r="A65" s="286">
        <v>2</v>
      </c>
      <c r="B65" s="287" t="s">
        <v>4092</v>
      </c>
      <c r="C65" s="25">
        <v>65</v>
      </c>
      <c r="D65" s="25">
        <v>6</v>
      </c>
      <c r="E65" s="25" t="s">
        <v>2630</v>
      </c>
      <c r="F65" s="115" t="str">
        <f>HYPERLINK("https://internasional.kompas.com/read/2019/08/30/22013471/israel-tuding-iran-dan-hezbollah-bekerja-sama-kembangkan-rudal-kendali ","sumber")</f>
        <v>sumber</v>
      </c>
      <c r="G65" s="25" t="s">
        <v>1</v>
      </c>
      <c r="H65" s="25">
        <v>265</v>
      </c>
      <c r="I65" s="26"/>
      <c r="J65" s="25">
        <v>4</v>
      </c>
      <c r="K65" s="124"/>
      <c r="L65" s="26"/>
      <c r="M65" s="26"/>
      <c r="N65" s="26"/>
      <c r="O65" s="26"/>
      <c r="P65" s="26"/>
      <c r="Q65" s="26"/>
      <c r="R65" s="26"/>
      <c r="S65" s="124"/>
      <c r="T65" s="26"/>
      <c r="U65" s="26"/>
      <c r="V65" s="26"/>
      <c r="W65" s="26"/>
      <c r="X65" s="26"/>
      <c r="Y65" s="26"/>
    </row>
    <row r="66" spans="1:25" ht="13.2">
      <c r="A66" s="21">
        <v>2</v>
      </c>
      <c r="B66" s="25" t="s">
        <v>4093</v>
      </c>
      <c r="C66" s="25">
        <v>66</v>
      </c>
      <c r="D66" s="25">
        <v>6</v>
      </c>
      <c r="E66" s="234">
        <v>43474</v>
      </c>
      <c r="F66" s="115" t="str">
        <f>HYPERLINK("https://nasional.okezone.com/read/2019/09/01/337/2099292/kritik-hasil-tes-cpns-dosen-unsyiah-dilaporkan-ke-polisi-oleh-dekan ","sumber")</f>
        <v>sumber</v>
      </c>
      <c r="G66" s="25" t="s">
        <v>1</v>
      </c>
      <c r="H66" s="25">
        <v>639</v>
      </c>
      <c r="I66" s="26"/>
      <c r="J66" s="25">
        <v>4</v>
      </c>
      <c r="K66" s="124"/>
      <c r="L66" s="26"/>
      <c r="M66" s="26"/>
      <c r="N66" s="26"/>
      <c r="O66" s="26"/>
      <c r="P66" s="26"/>
      <c r="Q66" s="26"/>
      <c r="R66" s="26"/>
      <c r="S66" s="124"/>
      <c r="T66" s="26"/>
      <c r="U66" s="26"/>
      <c r="V66" s="26"/>
      <c r="W66" s="26"/>
      <c r="X66" s="26"/>
      <c r="Y66" s="26"/>
    </row>
    <row r="67" spans="1:25" ht="13.2">
      <c r="A67" s="188">
        <v>1</v>
      </c>
      <c r="B67" s="22" t="s">
        <v>4094</v>
      </c>
      <c r="C67" s="22">
        <v>67</v>
      </c>
      <c r="D67" s="22">
        <v>10</v>
      </c>
      <c r="E67" s="222">
        <v>43474</v>
      </c>
      <c r="F67" s="121" t="str">
        <f>HYPERLINK("https://travel.tempo.co/read/1242655/destinasi-wisata-ini-ramai-saat-malam-1-suro-dan-hari-biasa ","sumber")</f>
        <v>sumber</v>
      </c>
      <c r="G67" s="121" t="str">
        <f>HYPERLINK("https://drive.google.com/open?id=1cWgTERx_3bjsDKNcySDbLr2mx0O0-PPW","lokasi")</f>
        <v>lokasi</v>
      </c>
      <c r="H67" s="22">
        <v>501</v>
      </c>
      <c r="I67" s="22">
        <v>3</v>
      </c>
      <c r="J67" s="22">
        <v>4</v>
      </c>
      <c r="K67" s="123"/>
      <c r="L67" s="22">
        <v>-1</v>
      </c>
      <c r="M67" s="22">
        <v>0</v>
      </c>
      <c r="N67" s="125">
        <v>0</v>
      </c>
      <c r="O67" s="22">
        <v>0</v>
      </c>
      <c r="P67" s="22">
        <v>-1</v>
      </c>
      <c r="Q67" s="22"/>
      <c r="R67" s="22"/>
      <c r="S67" s="134"/>
      <c r="T67" s="22">
        <v>0</v>
      </c>
      <c r="U67" s="22">
        <v>0</v>
      </c>
      <c r="V67" s="22">
        <v>1</v>
      </c>
      <c r="W67" s="23"/>
      <c r="X67" s="23"/>
      <c r="Y67" s="23"/>
    </row>
    <row r="68" spans="1:25" ht="13.2">
      <c r="A68" s="21">
        <v>2</v>
      </c>
      <c r="B68" s="25" t="s">
        <v>4095</v>
      </c>
      <c r="C68" s="25">
        <v>68</v>
      </c>
      <c r="D68" s="25">
        <v>4</v>
      </c>
      <c r="E68" s="234">
        <v>43505</v>
      </c>
      <c r="F68" s="115" t="str">
        <f>HYPERLINK("https://www.liputan6.com/global/read/4052614/ketegangan-meningkat-hizbulah-dan-israel-saling-balas-serangan-roket ","sumber")</f>
        <v>sumber</v>
      </c>
      <c r="G68" s="115" t="str">
        <f>HYPERLINK("https://drive.google.com/open?id=1KDJqXfRzHvTgUCFd11R5dPuJqp3ziQsZ","lokasi")</f>
        <v>lokasi</v>
      </c>
      <c r="H68" s="25">
        <v>414</v>
      </c>
      <c r="I68" s="26"/>
      <c r="J68" s="25">
        <v>4</v>
      </c>
      <c r="K68" s="124"/>
      <c r="L68" s="26"/>
      <c r="M68" s="26"/>
      <c r="N68" s="26"/>
      <c r="O68" s="26"/>
      <c r="P68" s="26"/>
      <c r="Q68" s="26"/>
      <c r="R68" s="26"/>
      <c r="S68" s="124"/>
      <c r="T68" s="26"/>
      <c r="U68" s="26"/>
      <c r="V68" s="26"/>
      <c r="W68" s="26"/>
      <c r="X68" s="26"/>
      <c r="Y68" s="26"/>
    </row>
    <row r="69" spans="1:25" ht="13.2">
      <c r="A69" s="21">
        <v>2</v>
      </c>
      <c r="B69" s="25" t="s">
        <v>4096</v>
      </c>
      <c r="C69" s="25">
        <v>69</v>
      </c>
      <c r="D69" s="25">
        <v>3</v>
      </c>
      <c r="E69" s="234">
        <v>43505</v>
      </c>
      <c r="F69" s="115" t="str">
        <f>HYPERLINK("https://nasional.okezone.com/read/2019/09/02/337/2099429/wapres-jk-bertolak-ke-aceh-hadiri-milad-ke-58-unsyiah ","sumber")</f>
        <v>sumber</v>
      </c>
      <c r="G69" s="25" t="s">
        <v>1</v>
      </c>
      <c r="H69" s="25">
        <v>311</v>
      </c>
      <c r="I69" s="26"/>
      <c r="J69" s="25">
        <v>4</v>
      </c>
      <c r="K69" s="124"/>
      <c r="L69" s="26"/>
      <c r="M69" s="26"/>
      <c r="N69" s="26"/>
      <c r="O69" s="26"/>
      <c r="P69" s="26"/>
      <c r="Q69" s="26"/>
      <c r="R69" s="26"/>
      <c r="S69" s="124"/>
      <c r="T69" s="26"/>
      <c r="U69" s="26"/>
      <c r="V69" s="26"/>
      <c r="W69" s="26"/>
      <c r="X69" s="26"/>
      <c r="Y69" s="26"/>
    </row>
    <row r="70" spans="1:25" ht="13.2">
      <c r="A70" s="188">
        <v>1</v>
      </c>
      <c r="B70" s="22" t="s">
        <v>4097</v>
      </c>
      <c r="C70" s="22">
        <v>70</v>
      </c>
      <c r="D70" s="22">
        <v>9</v>
      </c>
      <c r="E70" s="222">
        <v>43564</v>
      </c>
      <c r="F70" s="121" t="str">
        <f>HYPERLINK("https://khazanah.republika.co.id/berita/pxajkk366/alquran-tertua-dari-indonesia-tersimpan-di-thailand ","sumber")</f>
        <v>sumber</v>
      </c>
      <c r="G70" s="22" t="s">
        <v>1</v>
      </c>
      <c r="H70" s="22">
        <v>69</v>
      </c>
      <c r="I70" s="22">
        <v>5</v>
      </c>
      <c r="J70" s="22">
        <v>4</v>
      </c>
      <c r="K70" s="123" t="s">
        <v>4098</v>
      </c>
      <c r="L70" s="22">
        <v>0</v>
      </c>
      <c r="M70" s="22">
        <v>0</v>
      </c>
      <c r="N70" s="125">
        <v>0</v>
      </c>
      <c r="O70" s="22">
        <v>0</v>
      </c>
      <c r="P70" s="22">
        <v>0</v>
      </c>
      <c r="Q70" s="22">
        <v>1</v>
      </c>
      <c r="R70" s="22">
        <v>1</v>
      </c>
      <c r="S70" s="134"/>
      <c r="T70" s="22">
        <v>0</v>
      </c>
      <c r="U70" s="22">
        <v>0</v>
      </c>
      <c r="V70" s="22">
        <v>0</v>
      </c>
      <c r="W70" s="23"/>
      <c r="X70" s="23"/>
      <c r="Y70" s="23"/>
    </row>
    <row r="71" spans="1:25" ht="13.2">
      <c r="A71" s="21">
        <v>2</v>
      </c>
      <c r="B71" s="25" t="s">
        <v>3026</v>
      </c>
      <c r="C71" s="25">
        <v>71</v>
      </c>
      <c r="D71" s="25">
        <v>4</v>
      </c>
      <c r="E71" s="234">
        <v>43466</v>
      </c>
      <c r="F71" s="115" t="str">
        <f>HYPERLINK("https://www.liputan6.com/news/read/3861102/di-pengujung-tahun-asrorun-niam-sabet-youth-achievement-award-2018 ","sumber")</f>
        <v>sumber</v>
      </c>
      <c r="G71" s="25" t="s">
        <v>1</v>
      </c>
      <c r="H71" s="25">
        <v>295</v>
      </c>
      <c r="I71" s="26"/>
      <c r="J71" s="25">
        <v>2</v>
      </c>
      <c r="K71" s="124"/>
      <c r="L71" s="26"/>
      <c r="M71" s="26"/>
      <c r="N71" s="26"/>
      <c r="O71" s="26"/>
      <c r="P71" s="26"/>
      <c r="Q71" s="26"/>
      <c r="R71" s="26"/>
      <c r="S71" s="124"/>
      <c r="T71" s="26"/>
      <c r="U71" s="26"/>
      <c r="V71" s="26"/>
      <c r="W71" s="26"/>
      <c r="X71" s="26"/>
      <c r="Y71" s="26"/>
    </row>
    <row r="72" spans="1:25" ht="13.2">
      <c r="A72" s="188">
        <v>1</v>
      </c>
      <c r="B72" s="22" t="s">
        <v>4099</v>
      </c>
      <c r="C72" s="22">
        <v>72</v>
      </c>
      <c r="D72" s="22">
        <v>10</v>
      </c>
      <c r="E72" s="222">
        <v>43497</v>
      </c>
      <c r="F72" s="121" t="str">
        <f>HYPERLINK("https://difabel.tempo.co/read/1160743/tips-bagi-musikus-difabel-bersaing-di-industri-musik ","sumber")</f>
        <v>sumber</v>
      </c>
      <c r="G72" s="121" t="str">
        <f>HYPERLINK("https://drive.google.com/open?id=1heHhN99YrfcdLodpxB8MtO2WvloCjrIt","lokasi")</f>
        <v>lokasi</v>
      </c>
      <c r="H72" s="22">
        <v>285</v>
      </c>
      <c r="I72" s="22">
        <v>2</v>
      </c>
      <c r="J72" s="22">
        <v>2</v>
      </c>
      <c r="K72" s="123" t="s">
        <v>4100</v>
      </c>
      <c r="L72" s="22">
        <v>0</v>
      </c>
      <c r="M72" s="22">
        <v>0</v>
      </c>
      <c r="N72" s="125">
        <v>0</v>
      </c>
      <c r="O72" s="22">
        <v>0</v>
      </c>
      <c r="P72" s="22">
        <v>0</v>
      </c>
      <c r="Q72" s="22">
        <v>0</v>
      </c>
      <c r="R72" s="22">
        <v>1</v>
      </c>
      <c r="S72" s="134"/>
      <c r="T72" s="22">
        <v>0</v>
      </c>
      <c r="U72" s="22">
        <v>0</v>
      </c>
      <c r="V72" s="22">
        <v>1</v>
      </c>
      <c r="W72" s="23"/>
      <c r="X72" s="23"/>
      <c r="Y72" s="23"/>
    </row>
    <row r="73" spans="1:25" ht="13.2">
      <c r="A73" s="209">
        <v>1</v>
      </c>
      <c r="B73" s="132" t="s">
        <v>4101</v>
      </c>
      <c r="C73" s="33">
        <v>73</v>
      </c>
      <c r="D73" s="33">
        <v>10</v>
      </c>
      <c r="E73" s="33" t="s">
        <v>657</v>
      </c>
      <c r="F73" s="130" t="str">
        <f>HYPERLINK("https://pilpres.tempo.co/read/1164817/pernyataan-prabowo-akan-mundur-timses-jokowi-upaya-delegitimasi ","sumber")</f>
        <v>sumber</v>
      </c>
      <c r="G73" s="130" t="str">
        <f>HYPERLINK("https://drive.google.com/open?id=1ft3Yrro6-RRzhEDbin0cZhsQzADr1dxA","lokasi")</f>
        <v>lokasi</v>
      </c>
      <c r="H73" s="33">
        <v>311</v>
      </c>
      <c r="I73" s="33">
        <v>1</v>
      </c>
      <c r="J73" s="33">
        <v>2</v>
      </c>
      <c r="K73" s="131" t="s">
        <v>4102</v>
      </c>
      <c r="L73" s="33">
        <v>0</v>
      </c>
      <c r="M73" s="147">
        <v>0</v>
      </c>
      <c r="N73" s="132">
        <v>0</v>
      </c>
      <c r="O73" s="33">
        <v>0</v>
      </c>
      <c r="P73" s="33">
        <v>0</v>
      </c>
      <c r="Q73" s="33" t="s">
        <v>29</v>
      </c>
      <c r="R73" s="33" t="s">
        <v>53</v>
      </c>
      <c r="S73" s="133"/>
      <c r="T73" s="33">
        <v>0</v>
      </c>
      <c r="U73" s="33">
        <v>0</v>
      </c>
      <c r="V73" s="33">
        <v>1</v>
      </c>
      <c r="W73" s="24"/>
      <c r="X73" s="24"/>
      <c r="Y73" s="24"/>
    </row>
    <row r="74" spans="1:25" ht="13.2">
      <c r="A74" s="21">
        <v>2</v>
      </c>
      <c r="B74" s="25" t="s">
        <v>4103</v>
      </c>
      <c r="C74" s="25">
        <v>74</v>
      </c>
      <c r="D74" s="25">
        <v>6</v>
      </c>
      <c r="E74" s="25" t="s">
        <v>425</v>
      </c>
      <c r="F74" s="115" t="str">
        <f>HYPERLINK("https://biz.kompas.com/read/2019/01/16/114502328/tingkatkan-manfaat-bagi-pmi-bpjs-ketenagakerjaan-persembahan-awal-tahun-bagi-pmi ","sumber")</f>
        <v>sumber</v>
      </c>
      <c r="G74" s="115" t="str">
        <f>HYPERLINK("https://drive.google.com/open?id=1DVm1UdLt1pxx7tDIShd8neiRDuObbRv8","lokasi")</f>
        <v>lokasi</v>
      </c>
      <c r="H74" s="25">
        <v>493</v>
      </c>
      <c r="I74" s="26"/>
      <c r="J74" s="25">
        <v>2</v>
      </c>
      <c r="K74" s="124"/>
      <c r="L74" s="26"/>
      <c r="M74" s="26"/>
      <c r="N74" s="26"/>
      <c r="O74" s="26"/>
      <c r="P74" s="26"/>
      <c r="Q74" s="26"/>
      <c r="R74" s="26"/>
      <c r="S74" s="124"/>
      <c r="T74" s="26"/>
      <c r="U74" s="26"/>
      <c r="V74" s="26"/>
      <c r="W74" s="26"/>
      <c r="X74" s="26"/>
      <c r="Y74" s="26"/>
    </row>
    <row r="75" spans="1:25" ht="13.2">
      <c r="A75" s="188">
        <v>1</v>
      </c>
      <c r="B75" s="22" t="s">
        <v>4104</v>
      </c>
      <c r="C75" s="22">
        <v>75</v>
      </c>
      <c r="D75" s="22">
        <v>1</v>
      </c>
      <c r="E75" s="22" t="s">
        <v>2857</v>
      </c>
      <c r="F75" s="121" t="str">
        <f>HYPERLINK("https://news.detik.com/berita/d-4392785/pasutri-diduga-gangguan-jiwa-terjun-ke-laut-naik-motor-di-sulsel ","sumber")</f>
        <v>sumber</v>
      </c>
      <c r="G75" s="121" t="str">
        <f>HYPERLINK("https://drive.google.com/open?id=1N5ozm5FMjKJAmzRnjm8n4UmfzC9gNoT-","lokasi")</f>
        <v>lokasi</v>
      </c>
      <c r="H75" s="22">
        <v>290</v>
      </c>
      <c r="I75" s="22">
        <v>2</v>
      </c>
      <c r="J75" s="22">
        <v>2</v>
      </c>
      <c r="K75" s="123" t="s">
        <v>4105</v>
      </c>
      <c r="L75" s="22">
        <v>0</v>
      </c>
      <c r="M75" s="22">
        <v>0</v>
      </c>
      <c r="N75" s="125">
        <v>0</v>
      </c>
      <c r="O75" s="22">
        <v>0</v>
      </c>
      <c r="P75" s="22">
        <v>0</v>
      </c>
      <c r="Q75" s="22" t="s">
        <v>29</v>
      </c>
      <c r="R75" s="22" t="s">
        <v>30</v>
      </c>
      <c r="S75" s="123" t="s">
        <v>4106</v>
      </c>
      <c r="T75" s="22">
        <v>1</v>
      </c>
      <c r="U75" s="22">
        <v>0</v>
      </c>
      <c r="V75" s="22">
        <v>1</v>
      </c>
      <c r="W75" s="23"/>
      <c r="X75" s="23"/>
      <c r="Y75" s="23"/>
    </row>
    <row r="76" spans="1:25" ht="13.2">
      <c r="A76" s="21">
        <v>2</v>
      </c>
      <c r="B76" s="25" t="s">
        <v>4107</v>
      </c>
      <c r="C76" s="25">
        <v>76</v>
      </c>
      <c r="D76" s="25">
        <v>4</v>
      </c>
      <c r="E76" s="25" t="s">
        <v>2857</v>
      </c>
      <c r="F76" s="115" t="str">
        <f>HYPERLINK("https://www.liputan6.com/pilpres/read/3875082/5-catatan-debat-perdana-pilpres-2019 ","sumber")</f>
        <v>sumber</v>
      </c>
      <c r="G76" s="115" t="str">
        <f>HYPERLINK("https://drive.google.com/open?id=1bovKPH59uJRqwRo8rDzNO28pDeVZ18JF","lokasi")</f>
        <v>lokasi</v>
      </c>
      <c r="H76" s="25">
        <v>915</v>
      </c>
      <c r="I76" s="26"/>
      <c r="J76" s="26"/>
      <c r="K76" s="124"/>
      <c r="L76" s="26"/>
      <c r="M76" s="26"/>
      <c r="N76" s="26"/>
      <c r="O76" s="26"/>
      <c r="P76" s="26"/>
      <c r="Q76" s="26"/>
      <c r="R76" s="26"/>
      <c r="S76" s="124"/>
      <c r="T76" s="26"/>
      <c r="U76" s="26"/>
      <c r="V76" s="26"/>
      <c r="W76" s="26"/>
      <c r="X76" s="26"/>
      <c r="Y76" s="26"/>
    </row>
    <row r="77" spans="1:25" ht="13.2">
      <c r="A77" s="21">
        <v>2</v>
      </c>
      <c r="B77" s="25" t="s">
        <v>4108</v>
      </c>
      <c r="C77" s="25">
        <v>77</v>
      </c>
      <c r="D77" s="25">
        <v>5</v>
      </c>
      <c r="E77" s="25" t="s">
        <v>4109</v>
      </c>
      <c r="F77" s="115" t="str">
        <f>HYPERLINK("https://tirto.id/penelitian-hubungan-inses-dengan-saudara-bisa-lahirkan-anak-cacat-deYN ","sumber")</f>
        <v>sumber</v>
      </c>
      <c r="G77" s="115" t="str">
        <f>HYPERLINK("https://drive.google.com/open?id=1paxWekP68mQ13KWszw54Ru8mppoTVX--","lokasi")</f>
        <v>lokasi</v>
      </c>
      <c r="H77" s="25">
        <v>532</v>
      </c>
      <c r="I77" s="25"/>
      <c r="J77" s="25"/>
      <c r="K77" s="116"/>
      <c r="L77" s="25"/>
      <c r="M77" s="25"/>
      <c r="N77" s="151"/>
      <c r="O77" s="25"/>
      <c r="P77" s="25"/>
      <c r="Q77" s="180"/>
      <c r="R77" s="25"/>
      <c r="S77" s="116"/>
      <c r="T77" s="25"/>
      <c r="U77" s="26"/>
      <c r="V77" s="26"/>
      <c r="W77" s="26"/>
      <c r="X77" s="26"/>
      <c r="Y77" s="26"/>
    </row>
    <row r="78" spans="1:25" ht="13.2">
      <c r="A78" s="21">
        <v>2</v>
      </c>
      <c r="B78" s="25" t="s">
        <v>4110</v>
      </c>
      <c r="C78" s="25">
        <v>78</v>
      </c>
      <c r="D78" s="25">
        <v>8</v>
      </c>
      <c r="E78" s="25" t="s">
        <v>66</v>
      </c>
      <c r="F78" s="115" t="str">
        <f>HYPERLINK("https://www.suara.com/entertainment/2019/01/31/082951/detik-detik-vanessa-angel-pingsan-hingga-dilarikan-ke-rumah-sakit ","sumber")</f>
        <v>sumber</v>
      </c>
      <c r="G78" s="115" t="str">
        <f>HYPERLINK("https://drive.google.com/open?id=104FexvpNdoTU9ZpRQLnMjo6zDUJS7BL7","lokasi")</f>
        <v>lokasi</v>
      </c>
      <c r="H78" s="25">
        <v>178</v>
      </c>
      <c r="I78" s="26"/>
      <c r="J78" s="26"/>
      <c r="K78" s="124"/>
      <c r="L78" s="26"/>
      <c r="M78" s="26"/>
      <c r="N78" s="26"/>
      <c r="O78" s="26"/>
      <c r="P78" s="26"/>
      <c r="Q78" s="26"/>
      <c r="R78" s="26"/>
      <c r="S78" s="124"/>
      <c r="T78" s="26"/>
      <c r="U78" s="26"/>
      <c r="V78" s="26"/>
      <c r="W78" s="26"/>
      <c r="X78" s="26"/>
      <c r="Y78" s="26"/>
    </row>
    <row r="79" spans="1:25" ht="13.2">
      <c r="A79" s="21">
        <v>2</v>
      </c>
      <c r="B79" s="25" t="s">
        <v>4111</v>
      </c>
      <c r="C79" s="25">
        <v>79</v>
      </c>
      <c r="D79" s="25">
        <v>4</v>
      </c>
      <c r="E79" s="234">
        <v>43467</v>
      </c>
      <c r="F79" s="115" t="str">
        <f>HYPERLINK("https://www.liputan6.com/citizen6/read/3885291/wanita-ini-adopsi-2-anak-secara-terpisah-tak-disangka-ternyata-saudara-kandung ","sumber")</f>
        <v>sumber</v>
      </c>
      <c r="G79" s="115" t="str">
        <f>HYPERLINK("https://drive.google.com/open?id=1cZ3qtGFaNIBIscx7SAoFJqtQEYVHFUJQ","lokasi")</f>
        <v>lokasi</v>
      </c>
      <c r="H79" s="25">
        <v>382</v>
      </c>
      <c r="I79" s="26"/>
      <c r="J79" s="26"/>
      <c r="K79" s="124"/>
      <c r="L79" s="26"/>
      <c r="M79" s="26"/>
      <c r="N79" s="26"/>
      <c r="O79" s="26"/>
      <c r="P79" s="26"/>
      <c r="Q79" s="26"/>
      <c r="R79" s="26"/>
      <c r="S79" s="124"/>
      <c r="T79" s="26"/>
      <c r="U79" s="26"/>
      <c r="V79" s="26"/>
      <c r="W79" s="26"/>
      <c r="X79" s="26"/>
      <c r="Y79" s="26"/>
    </row>
    <row r="80" spans="1:25" ht="13.2">
      <c r="A80" s="209">
        <v>1</v>
      </c>
      <c r="B80" s="132" t="s">
        <v>4112</v>
      </c>
      <c r="C80" s="33">
        <v>80</v>
      </c>
      <c r="D80" s="33">
        <v>4</v>
      </c>
      <c r="E80" s="33" t="s">
        <v>437</v>
      </c>
      <c r="F80" s="130" t="str">
        <f>HYPERLINK("https://www.liputan6.com/regional/read/3902680/heboh-wanita-telanjang-bermotor-keliling-kediri ","sumber")</f>
        <v>sumber</v>
      </c>
      <c r="G80" s="130" t="str">
        <f>HYPERLINK("https://drive.google.com/open?id=1ZRVKPT1EqN5m7Qxn6gb8uL2fYZmoxmDU","lokasi")</f>
        <v>lokasi</v>
      </c>
      <c r="H80" s="33">
        <v>304</v>
      </c>
      <c r="I80" s="33">
        <v>1</v>
      </c>
      <c r="J80" s="33">
        <v>2</v>
      </c>
      <c r="K80" s="131" t="s">
        <v>4113</v>
      </c>
      <c r="L80" s="33">
        <v>0</v>
      </c>
      <c r="M80" s="33">
        <v>-1</v>
      </c>
      <c r="N80" s="132">
        <v>0</v>
      </c>
      <c r="O80" s="33">
        <v>0</v>
      </c>
      <c r="P80" s="33">
        <v>0</v>
      </c>
      <c r="Q80" s="33">
        <v>0</v>
      </c>
      <c r="R80" s="33">
        <v>0</v>
      </c>
      <c r="S80" s="131" t="s">
        <v>4114</v>
      </c>
      <c r="T80" s="33">
        <v>1</v>
      </c>
      <c r="U80" s="33">
        <v>-1</v>
      </c>
      <c r="V80" s="33">
        <v>0</v>
      </c>
      <c r="W80" s="24"/>
      <c r="X80" s="24"/>
      <c r="Y80" s="24"/>
    </row>
    <row r="81" spans="1:25" ht="13.2">
      <c r="A81" s="21">
        <v>2</v>
      </c>
      <c r="B81" s="25" t="s">
        <v>4115</v>
      </c>
      <c r="C81" s="25">
        <v>81</v>
      </c>
      <c r="D81" s="25">
        <v>7</v>
      </c>
      <c r="E81" s="234">
        <v>43557</v>
      </c>
      <c r="F81" s="115" t="str">
        <f>HYPERLINK("http://www.tribunnews.com/metropolitan/2019/02/04/kepada-polisi-pemilik-rumah-mengaku-tersinggung-sehingga-aniaya-3-petugas-jumantik-di-jagakarsa ","sumber")</f>
        <v>sumber</v>
      </c>
      <c r="G81" s="115" t="str">
        <f>HYPERLINK("https://drive.google.com/open?id=1E36vSaZCoZ5RRp3xlz0gNKGUYTkImumG","lokasi")</f>
        <v>lokasi</v>
      </c>
      <c r="H81" s="25">
        <v>233</v>
      </c>
      <c r="I81" s="26"/>
      <c r="J81" s="26"/>
      <c r="K81" s="124"/>
      <c r="L81" s="26"/>
      <c r="M81" s="26"/>
      <c r="N81" s="26"/>
      <c r="O81" s="26"/>
      <c r="P81" s="26"/>
      <c r="Q81" s="26"/>
      <c r="R81" s="26"/>
      <c r="S81" s="124"/>
      <c r="T81" s="26"/>
      <c r="U81" s="26"/>
      <c r="V81" s="26"/>
      <c r="W81" s="26"/>
      <c r="X81" s="26"/>
      <c r="Y81" s="26"/>
    </row>
    <row r="82" spans="1:25" ht="13.2">
      <c r="A82" s="21">
        <v>2</v>
      </c>
      <c r="B82" s="25" t="s">
        <v>4116</v>
      </c>
      <c r="C82" s="25">
        <v>82</v>
      </c>
      <c r="D82" s="25">
        <v>10</v>
      </c>
      <c r="E82" s="234">
        <v>43618</v>
      </c>
      <c r="F82" s="115" t="str">
        <f>HYPERLINK("https://pilpres.tempo.co/read/1172643/9-februari-aji-surabaya-akan-protes-remisi-pembunuh-jurnalis ","sumber")</f>
        <v>sumber</v>
      </c>
      <c r="G82" s="115" t="str">
        <f>HYPERLINK("https://drive.google.com/open?id=10ndEglW4BiGrr0zFR1uQTRcjuo5i9LcA","lokasi")</f>
        <v>lokasi</v>
      </c>
      <c r="H82" s="25">
        <v>344</v>
      </c>
      <c r="I82" s="26"/>
      <c r="J82" s="26"/>
      <c r="K82" s="124"/>
      <c r="L82" s="26"/>
      <c r="M82" s="26"/>
      <c r="N82" s="26"/>
      <c r="O82" s="26"/>
      <c r="P82" s="26"/>
      <c r="Q82" s="26"/>
      <c r="R82" s="26"/>
      <c r="S82" s="124"/>
      <c r="T82" s="26"/>
      <c r="U82" s="26"/>
      <c r="V82" s="26"/>
      <c r="W82" s="26"/>
      <c r="X82" s="26"/>
      <c r="Y82" s="26"/>
    </row>
    <row r="83" spans="1:25" ht="13.2">
      <c r="A83" s="209">
        <v>1</v>
      </c>
      <c r="B83" s="132" t="s">
        <v>4117</v>
      </c>
      <c r="C83" s="33">
        <v>83</v>
      </c>
      <c r="D83" s="33">
        <v>5</v>
      </c>
      <c r="E83" s="288">
        <v>43467</v>
      </c>
      <c r="F83" s="130" t="str">
        <f>HYPERLINK("https://tirto.id/malaikat-itu-bernama-oma-ros-dfFq ","sumber")</f>
        <v>sumber</v>
      </c>
      <c r="G83" s="130" t="str">
        <f>HYPERLINK("https://drive.google.com/open?id=1kt-7rnT1bvXo2CzlI-T-G8-EExEMIS14","lokasi")</f>
        <v>lokasi</v>
      </c>
      <c r="H83" s="33">
        <v>1382</v>
      </c>
      <c r="I83" s="33">
        <v>2</v>
      </c>
      <c r="J83" s="33">
        <v>2</v>
      </c>
      <c r="K83" s="131" t="s">
        <v>4118</v>
      </c>
      <c r="L83" s="33">
        <v>0</v>
      </c>
      <c r="M83" s="33">
        <v>0</v>
      </c>
      <c r="N83" s="132">
        <v>0</v>
      </c>
      <c r="O83" s="33">
        <v>0</v>
      </c>
      <c r="P83" s="33">
        <v>0</v>
      </c>
      <c r="Q83" s="33" t="s">
        <v>4119</v>
      </c>
      <c r="R83" s="33" t="s">
        <v>664</v>
      </c>
      <c r="S83" s="133"/>
      <c r="T83" s="33">
        <v>0</v>
      </c>
      <c r="U83" s="33">
        <v>0</v>
      </c>
      <c r="V83" s="33">
        <v>1</v>
      </c>
      <c r="W83" s="24"/>
      <c r="X83" s="24"/>
      <c r="Y83" s="24"/>
    </row>
    <row r="84" spans="1:25" ht="13.2">
      <c r="A84" s="188">
        <v>1</v>
      </c>
      <c r="B84" s="22" t="s">
        <v>448</v>
      </c>
      <c r="C84" s="22">
        <v>84</v>
      </c>
      <c r="D84" s="22">
        <v>4</v>
      </c>
      <c r="E84" s="22" t="s">
        <v>76</v>
      </c>
      <c r="F84" s="121" t="str">
        <f>HYPERLINK("https://www.liputan6.com/regional/read/3893905/balada-lanjar-13-tahun-bersama-hydrocephalus ","sumber")</f>
        <v>sumber</v>
      </c>
      <c r="G84" s="121" t="str">
        <f>HYPERLINK("https://drive.google.com/open?id=1nCDy0ZnYpVLkizoAJMmkNqPAXS8IkHPZ","lokasi")</f>
        <v>lokasi</v>
      </c>
      <c r="H84" s="22">
        <v>567</v>
      </c>
      <c r="I84" s="22">
        <v>2</v>
      </c>
      <c r="J84" s="22">
        <v>2</v>
      </c>
      <c r="K84" s="123" t="s">
        <v>4120</v>
      </c>
      <c r="L84" s="22">
        <v>0</v>
      </c>
      <c r="M84" s="22">
        <v>0</v>
      </c>
      <c r="N84" s="22">
        <v>-1</v>
      </c>
      <c r="O84" s="22">
        <v>0</v>
      </c>
      <c r="P84" s="22">
        <v>-1</v>
      </c>
      <c r="Q84" s="22" t="s">
        <v>68</v>
      </c>
      <c r="R84" s="22" t="s">
        <v>182</v>
      </c>
      <c r="S84" s="134"/>
      <c r="T84" s="22">
        <v>0</v>
      </c>
      <c r="U84" s="22">
        <v>0</v>
      </c>
      <c r="V84" s="22">
        <v>0</v>
      </c>
      <c r="W84" s="23"/>
      <c r="X84" s="23"/>
      <c r="Y84" s="23"/>
    </row>
    <row r="85" spans="1:25" ht="13.2">
      <c r="A85" s="21">
        <v>2</v>
      </c>
      <c r="B85" s="25" t="s">
        <v>4121</v>
      </c>
      <c r="C85" s="25">
        <v>85</v>
      </c>
      <c r="D85" s="25">
        <v>3</v>
      </c>
      <c r="E85" s="25" t="s">
        <v>85</v>
      </c>
      <c r="F85" s="115" t="str">
        <f>HYPERLINK("https://lifestyle.okezone.com/read/2019/02/17/196/2019049/apakah-mimpi-pria-dan-wanita-berbeda ","sumber")</f>
        <v>sumber</v>
      </c>
      <c r="G85" s="115" t="str">
        <f>HYPERLINK("https://drive.google.com/open?id=1DJV1v39Q-q6RWREaqRnqJQE89QTKaBO1","lokasi")</f>
        <v>lokasi</v>
      </c>
      <c r="H85" s="25">
        <v>390</v>
      </c>
      <c r="I85" s="26"/>
      <c r="J85" s="26"/>
      <c r="K85" s="124"/>
      <c r="L85" s="26"/>
      <c r="M85" s="26"/>
      <c r="N85" s="26"/>
      <c r="O85" s="26"/>
      <c r="P85" s="26"/>
      <c r="Q85" s="26"/>
      <c r="R85" s="26"/>
      <c r="S85" s="124"/>
      <c r="T85" s="26"/>
      <c r="U85" s="26"/>
      <c r="V85" s="26"/>
      <c r="W85" s="26"/>
      <c r="X85" s="26"/>
      <c r="Y85" s="26"/>
    </row>
    <row r="86" spans="1:25" ht="13.2">
      <c r="A86" s="209">
        <v>1</v>
      </c>
      <c r="B86" s="33" t="s">
        <v>461</v>
      </c>
      <c r="C86" s="33">
        <v>86</v>
      </c>
      <c r="D86" s="33">
        <v>6</v>
      </c>
      <c r="E86" s="288">
        <v>43679</v>
      </c>
      <c r="F86" s="130" t="str">
        <f>HYPERLINK("https://megapolitan.kompas.com/read/2019/02/08/20393731/dki-akan-buat-trotoar-di-gatot-subroto-ramah-penyandang-disabilitas","sumber")</f>
        <v>sumber</v>
      </c>
      <c r="G86" s="130" t="str">
        <f>HYPERLINK("https://drive.google.com/open?id=1mBZvzmzCc-w1DDm_j7g8pPGm_s_BqQK6","lokasi")</f>
        <v>lokasi</v>
      </c>
      <c r="H86" s="33">
        <v>197</v>
      </c>
      <c r="I86" s="33">
        <v>4</v>
      </c>
      <c r="J86" s="33">
        <v>2</v>
      </c>
      <c r="K86" s="131" t="s">
        <v>4122</v>
      </c>
      <c r="L86" s="33">
        <v>0</v>
      </c>
      <c r="M86" s="33">
        <v>0</v>
      </c>
      <c r="N86" s="132">
        <v>0</v>
      </c>
      <c r="O86" s="33">
        <v>0</v>
      </c>
      <c r="P86" s="33">
        <v>0</v>
      </c>
      <c r="Q86" s="33" t="s">
        <v>182</v>
      </c>
      <c r="R86" s="33" t="s">
        <v>160</v>
      </c>
      <c r="S86" s="133"/>
      <c r="T86" s="33">
        <v>0</v>
      </c>
      <c r="U86" s="33">
        <v>0</v>
      </c>
      <c r="V86" s="33">
        <v>1</v>
      </c>
      <c r="W86" s="24"/>
      <c r="X86" s="24"/>
      <c r="Y86" s="24"/>
    </row>
    <row r="87" spans="1:25" ht="13.2">
      <c r="A87" s="188">
        <v>1</v>
      </c>
      <c r="B87" s="22" t="s">
        <v>4123</v>
      </c>
      <c r="C87" s="22">
        <v>87</v>
      </c>
      <c r="D87" s="22">
        <v>1</v>
      </c>
      <c r="E87" s="22" t="s">
        <v>437</v>
      </c>
      <c r="F87" s="121" t="str">
        <f>HYPERLINK("https://news.detik.com/berita/d-4441239/polisi-pastikan-pelaku-incest-anak-diadili-cepat ","sumber")</f>
        <v>sumber</v>
      </c>
      <c r="G87" s="121" t="str">
        <f>HYPERLINK("https://drive.google.com/open?id=1EjCeK0hV8JKJ8bYZaXh8T_Ye1MYJzk57","lokasi")</f>
        <v>lokasi</v>
      </c>
      <c r="H87" s="22">
        <v>458</v>
      </c>
      <c r="I87" s="22">
        <v>1</v>
      </c>
      <c r="J87" s="22">
        <v>2</v>
      </c>
      <c r="K87" s="123" t="s">
        <v>4124</v>
      </c>
      <c r="L87" s="22">
        <v>0</v>
      </c>
      <c r="M87" s="22">
        <v>-1</v>
      </c>
      <c r="N87" s="125">
        <v>0</v>
      </c>
      <c r="O87" s="22">
        <v>0</v>
      </c>
      <c r="P87" s="22">
        <v>0</v>
      </c>
      <c r="Q87" s="22" t="s">
        <v>29</v>
      </c>
      <c r="R87" s="22" t="s">
        <v>30</v>
      </c>
      <c r="S87" s="123" t="s">
        <v>4125</v>
      </c>
      <c r="T87" s="22">
        <v>2</v>
      </c>
      <c r="U87" s="22">
        <v>0</v>
      </c>
      <c r="V87" s="22">
        <v>0</v>
      </c>
      <c r="W87" s="23"/>
      <c r="X87" s="23"/>
      <c r="Y87" s="23"/>
    </row>
    <row r="88" spans="1:25" ht="13.2">
      <c r="A88" s="188">
        <v>1</v>
      </c>
      <c r="B88" s="22" t="s">
        <v>469</v>
      </c>
      <c r="C88" s="22">
        <v>88</v>
      </c>
      <c r="D88" s="22">
        <v>2</v>
      </c>
      <c r="E88" s="22" t="s">
        <v>328</v>
      </c>
      <c r="F88" s="121" t="str">
        <f>HYPERLINK("https://www.cnnindonesia.com/nasional/20190227034736-12-372939/pria-bunuh-ibu-kandung-setelah-pulang-dari-rumah-sakit-jiwa ","sumber")</f>
        <v>sumber</v>
      </c>
      <c r="G88" s="121" t="str">
        <f>HYPERLINK("https://drive.google.com/open?id=1J9nb4p4K3j1bkpLyliaARKJFGgh6Wxjq","lokasi")</f>
        <v>lokasi</v>
      </c>
      <c r="H88" s="22">
        <v>320</v>
      </c>
      <c r="I88" s="22">
        <v>1</v>
      </c>
      <c r="J88" s="22">
        <v>2</v>
      </c>
      <c r="K88" s="123" t="s">
        <v>4126</v>
      </c>
      <c r="L88" s="22">
        <v>0</v>
      </c>
      <c r="M88" s="22">
        <v>-1</v>
      </c>
      <c r="N88" s="22">
        <v>-1</v>
      </c>
      <c r="O88" s="22">
        <v>0</v>
      </c>
      <c r="P88" s="22">
        <v>0</v>
      </c>
      <c r="Q88" s="22">
        <v>0</v>
      </c>
      <c r="R88" s="22">
        <v>-1</v>
      </c>
      <c r="S88" s="134"/>
      <c r="T88" s="22">
        <v>0</v>
      </c>
      <c r="U88" s="22">
        <v>0</v>
      </c>
      <c r="V88" s="22">
        <v>0</v>
      </c>
      <c r="W88" s="23"/>
      <c r="X88" s="23"/>
      <c r="Y88" s="23"/>
    </row>
    <row r="89" spans="1:25" ht="13.2">
      <c r="A89" s="188">
        <v>1</v>
      </c>
      <c r="B89" s="22" t="s">
        <v>2122</v>
      </c>
      <c r="C89" s="22">
        <v>89</v>
      </c>
      <c r="D89" s="22">
        <v>9</v>
      </c>
      <c r="E89" s="222">
        <v>43468</v>
      </c>
      <c r="F89" s="121" t="str">
        <f>HYPERLINK("https://khazanah.republika.co.id/berita/dunia-islam/islam-nusantara/pnol8z313/asupan-literasi-keagamaan-untuk-disabilitas-sangat-penting ","sumber")</f>
        <v>sumber</v>
      </c>
      <c r="G89" s="121" t="str">
        <f>HYPERLINK("https://drive.google.com/open?id=1Hq2DpBRSoq6dp1dOW3oLK7NIM8WfrDwY","lokasi")</f>
        <v>lokasi</v>
      </c>
      <c r="H89" s="22">
        <v>316</v>
      </c>
      <c r="I89" s="22">
        <v>5</v>
      </c>
      <c r="J89" s="22">
        <v>2</v>
      </c>
      <c r="K89" s="123" t="s">
        <v>4127</v>
      </c>
      <c r="L89" s="22">
        <v>0</v>
      </c>
      <c r="M89" s="22">
        <v>0</v>
      </c>
      <c r="N89" s="125">
        <v>0</v>
      </c>
      <c r="O89" s="22">
        <v>0</v>
      </c>
      <c r="P89" s="22">
        <v>0</v>
      </c>
      <c r="Q89" s="22" t="s">
        <v>29</v>
      </c>
      <c r="R89" s="22" t="s">
        <v>160</v>
      </c>
      <c r="S89" s="134"/>
      <c r="T89" s="22">
        <v>0</v>
      </c>
      <c r="U89" s="22">
        <v>0</v>
      </c>
      <c r="V89" s="22">
        <v>1</v>
      </c>
      <c r="W89" s="23"/>
      <c r="X89" s="23"/>
      <c r="Y89" s="23"/>
    </row>
    <row r="90" spans="1:25" ht="13.2">
      <c r="A90" s="21">
        <v>2</v>
      </c>
      <c r="B90" s="25" t="s">
        <v>479</v>
      </c>
      <c r="C90" s="25">
        <v>90</v>
      </c>
      <c r="D90" s="25">
        <v>4</v>
      </c>
      <c r="E90" s="234">
        <v>43680</v>
      </c>
      <c r="F90" s="115" t="str">
        <f>HYPERLINK("https://www.liputan6.com/bola/read/3911944/atlet-one-championship-stefer-dan-engelen-turut-rayakan-nyepi-di-bali ","sumber")</f>
        <v>sumber</v>
      </c>
      <c r="G90" s="115" t="str">
        <f>HYPERLINK("https://drive.google.com/open?id=1P7GcDHAuYxeO7H0Dt9IRAAwiv7WcHsub","lokasi")</f>
        <v>lokasi</v>
      </c>
      <c r="H90" s="25">
        <v>377</v>
      </c>
      <c r="I90" s="26"/>
      <c r="J90" s="26"/>
      <c r="K90" s="124"/>
      <c r="L90" s="26"/>
      <c r="M90" s="26"/>
      <c r="N90" s="26"/>
      <c r="O90" s="26"/>
      <c r="P90" s="26"/>
      <c r="Q90" s="26"/>
      <c r="R90" s="26"/>
      <c r="S90" s="124"/>
      <c r="T90" s="26"/>
      <c r="U90" s="26"/>
      <c r="V90" s="26"/>
      <c r="W90" s="26"/>
      <c r="X90" s="26"/>
      <c r="Y90" s="26"/>
    </row>
    <row r="91" spans="1:25" ht="13.2">
      <c r="A91" s="209">
        <v>1</v>
      </c>
      <c r="B91" s="33" t="s">
        <v>4128</v>
      </c>
      <c r="C91" s="33">
        <v>91</v>
      </c>
      <c r="D91" s="33">
        <v>5</v>
      </c>
      <c r="E91" s="288">
        <v>43680</v>
      </c>
      <c r="F91" s="130" t="str">
        <f>HYPERLINK("https://tirto.id/komisi-viii-diminta-masukkan-kebutuhan-disabilitas-dalam-ruu-pks-diT3 ","sumber")</f>
        <v>sumber</v>
      </c>
      <c r="G91" s="130" t="str">
        <f>HYPERLINK("https://drive.google.com/open?id=1XCmAnbi5Nyz559re4OsvxupkiPRmxg74","lokasi")</f>
        <v>lokasi</v>
      </c>
      <c r="H91" s="33">
        <v>270</v>
      </c>
      <c r="I91" s="33">
        <v>4</v>
      </c>
      <c r="J91" s="33">
        <v>2</v>
      </c>
      <c r="K91" s="131" t="s">
        <v>4129</v>
      </c>
      <c r="L91" s="33">
        <v>0</v>
      </c>
      <c r="M91" s="33">
        <v>0</v>
      </c>
      <c r="N91" s="132">
        <v>0</v>
      </c>
      <c r="O91" s="33">
        <v>0</v>
      </c>
      <c r="P91" s="33">
        <v>0</v>
      </c>
      <c r="Q91" s="33">
        <v>1</v>
      </c>
      <c r="R91" s="33">
        <v>1</v>
      </c>
      <c r="S91" s="133"/>
      <c r="T91" s="33">
        <v>0</v>
      </c>
      <c r="U91" s="33">
        <v>0</v>
      </c>
      <c r="V91" s="33">
        <v>1</v>
      </c>
      <c r="W91" s="24"/>
      <c r="X91" s="24"/>
      <c r="Y91" s="24"/>
    </row>
    <row r="92" spans="1:25" ht="13.2">
      <c r="A92" s="21">
        <v>2</v>
      </c>
      <c r="B92" s="25" t="s">
        <v>4130</v>
      </c>
      <c r="C92" s="25">
        <v>92</v>
      </c>
      <c r="D92" s="25">
        <v>5</v>
      </c>
      <c r="E92" s="234">
        <v>43711</v>
      </c>
      <c r="F92" s="115" t="str">
        <f>HYPERLINK("https://tirto.id/menteri-rini-11000-lowongan-bumn-untuk-lulusan-sma-s1-dan-s2-diVA ","sumber")</f>
        <v>sumber</v>
      </c>
      <c r="G92" s="115" t="str">
        <f>HYPERLINK("https://drive.google.com/open?id=1q05L5KsSdWJI8e9swOpSJpMb9Qom1Ez-","lokasi")</f>
        <v>lokasi</v>
      </c>
      <c r="H92" s="25">
        <v>339</v>
      </c>
      <c r="I92" s="26"/>
      <c r="J92" s="26"/>
      <c r="K92" s="124"/>
      <c r="L92" s="26"/>
      <c r="M92" s="26"/>
      <c r="N92" s="26"/>
      <c r="O92" s="26"/>
      <c r="P92" s="26"/>
      <c r="Q92" s="26"/>
      <c r="R92" s="26"/>
      <c r="S92" s="124"/>
      <c r="T92" s="26"/>
      <c r="U92" s="26"/>
      <c r="V92" s="26"/>
      <c r="W92" s="26"/>
      <c r="X92" s="26"/>
      <c r="Y92" s="26"/>
    </row>
    <row r="93" spans="1:25" ht="13.2">
      <c r="A93" s="209">
        <v>1</v>
      </c>
      <c r="B93" s="132" t="s">
        <v>4131</v>
      </c>
      <c r="C93" s="33">
        <v>93</v>
      </c>
      <c r="D93" s="33">
        <v>7</v>
      </c>
      <c r="E93" s="289">
        <v>43711</v>
      </c>
      <c r="F93" s="130" t="str">
        <f>HYPERLINK("http://www.tribunnews.com/nasional/2019/03/09/sambil-memangku-cucunya-seorang-ibu-menangis-di-ruang-rapat-komisi-viii-dpr-ri ","sumber")</f>
        <v>sumber</v>
      </c>
      <c r="G93" s="130" t="str">
        <f>HYPERLINK("https://drive.google.com/open?id=1LHrfqBFshPZPyfBZqqrMQhDAHBq-IEmN","lokasi")</f>
        <v>lokasi</v>
      </c>
      <c r="H93" s="33">
        <v>223</v>
      </c>
      <c r="I93" s="33">
        <v>4</v>
      </c>
      <c r="J93" s="33">
        <v>2</v>
      </c>
      <c r="K93" s="131" t="s">
        <v>4132</v>
      </c>
      <c r="L93" s="33">
        <v>0</v>
      </c>
      <c r="M93" s="33">
        <v>0</v>
      </c>
      <c r="N93" s="132">
        <v>0</v>
      </c>
      <c r="O93" s="33">
        <v>0</v>
      </c>
      <c r="P93" s="33">
        <v>0</v>
      </c>
      <c r="Q93" s="33" t="s">
        <v>182</v>
      </c>
      <c r="R93" s="33" t="s">
        <v>160</v>
      </c>
      <c r="S93" s="133"/>
      <c r="T93" s="33">
        <v>0</v>
      </c>
      <c r="U93" s="33">
        <v>0</v>
      </c>
      <c r="V93" s="33">
        <v>1</v>
      </c>
      <c r="W93" s="24"/>
      <c r="X93" s="24"/>
      <c r="Y93" s="24"/>
    </row>
    <row r="94" spans="1:25" ht="13.2">
      <c r="A94" s="21">
        <v>2</v>
      </c>
      <c r="B94" s="25" t="s">
        <v>480</v>
      </c>
      <c r="C94" s="25">
        <v>94</v>
      </c>
      <c r="D94" s="25">
        <v>5</v>
      </c>
      <c r="E94" s="234">
        <v>43772</v>
      </c>
      <c r="F94" s="115" t="str">
        <f>HYPERLINK("https://tirto.id/respons-lion-air-garuda-usai-boeing-737-max-8-dilarang-terbang-djbX ","sumber")</f>
        <v>sumber</v>
      </c>
      <c r="G94" s="115" t="str">
        <f>HYPERLINK("https://drive.google.com/open?id=1yT0K8xGhY0x5fNV4msOAABUMX-43cF3u","lokasi")</f>
        <v>lokasi</v>
      </c>
      <c r="H94" s="25">
        <v>619</v>
      </c>
      <c r="I94" s="26"/>
      <c r="J94" s="26"/>
      <c r="K94" s="124"/>
      <c r="L94" s="26"/>
      <c r="M94" s="26"/>
      <c r="N94" s="26"/>
      <c r="O94" s="26"/>
      <c r="P94" s="26"/>
      <c r="Q94" s="26"/>
      <c r="R94" s="26"/>
      <c r="S94" s="124"/>
      <c r="T94" s="26"/>
      <c r="U94" s="26"/>
      <c r="V94" s="26"/>
      <c r="W94" s="26"/>
      <c r="X94" s="26"/>
      <c r="Y94" s="26"/>
    </row>
    <row r="95" spans="1:25" ht="13.2">
      <c r="A95" s="21">
        <v>2</v>
      </c>
      <c r="B95" s="151" t="s">
        <v>2134</v>
      </c>
      <c r="C95" s="25">
        <v>95</v>
      </c>
      <c r="D95" s="25">
        <v>9</v>
      </c>
      <c r="E95" s="234">
        <v>43802</v>
      </c>
      <c r="F95" s="115" t="str">
        <f>HYPERLINK("https://republika.co.id/berita/inpicture/nasional-inpicture/po99ek283/ujian-praktik-musik-disabilitas-netra 
","sumber")</f>
        <v>sumber</v>
      </c>
      <c r="G95" s="115" t="str">
        <f>HYPERLINK("https://drive.google.com/open?id=15SWMegKTV98HOAgZFRJfdCfzP6LWUVej","lokasi")</f>
        <v>lokasi</v>
      </c>
      <c r="H95" s="25">
        <v>266</v>
      </c>
      <c r="I95" s="26"/>
      <c r="J95" s="26"/>
      <c r="K95" s="124"/>
      <c r="L95" s="26"/>
      <c r="M95" s="26"/>
      <c r="N95" s="26"/>
      <c r="O95" s="26"/>
      <c r="P95" s="26"/>
      <c r="Q95" s="26"/>
      <c r="R95" s="26"/>
      <c r="S95" s="124"/>
      <c r="T95" s="26"/>
      <c r="U95" s="26"/>
      <c r="V95" s="26"/>
      <c r="W95" s="26"/>
      <c r="X95" s="26"/>
      <c r="Y95" s="26"/>
    </row>
    <row r="96" spans="1:25" ht="13.2">
      <c r="A96" s="209">
        <v>1</v>
      </c>
      <c r="B96" s="132" t="s">
        <v>4133</v>
      </c>
      <c r="C96" s="33">
        <v>96</v>
      </c>
      <c r="D96" s="33">
        <v>9</v>
      </c>
      <c r="E96" s="33" t="s">
        <v>110</v>
      </c>
      <c r="F96" s="130" t="str">
        <f>HYPERLINK("https://nasional.republika.co.id/berita/nasional/daerah/pocxae354/160-atlet-disabilitas-di-bandung-ikuti-seleksi-pepapernas ","sumber")</f>
        <v>sumber</v>
      </c>
      <c r="G96" s="130" t="str">
        <f>HYPERLINK("https://drive.google.com/open?id=11shaIKI9fahF2KW1R6-VKx7W96dJCPlJ","lokasi")</f>
        <v>lokasi</v>
      </c>
      <c r="H96" s="33">
        <v>226</v>
      </c>
      <c r="I96" s="33">
        <v>3</v>
      </c>
      <c r="J96" s="33">
        <v>2</v>
      </c>
      <c r="K96" s="131" t="s">
        <v>4134</v>
      </c>
      <c r="L96" s="33">
        <v>0</v>
      </c>
      <c r="M96" s="33">
        <v>0</v>
      </c>
      <c r="N96" s="132">
        <v>0</v>
      </c>
      <c r="O96" s="33">
        <v>0</v>
      </c>
      <c r="P96" s="33">
        <v>0</v>
      </c>
      <c r="Q96" s="33" t="s">
        <v>29</v>
      </c>
      <c r="R96" s="33" t="s">
        <v>160</v>
      </c>
      <c r="S96" s="133"/>
      <c r="T96" s="33">
        <v>0</v>
      </c>
      <c r="U96" s="33">
        <v>0</v>
      </c>
      <c r="V96" s="33">
        <v>1</v>
      </c>
      <c r="W96" s="24"/>
      <c r="X96" s="24"/>
      <c r="Y96" s="24"/>
    </row>
    <row r="97" spans="1:25" ht="13.2">
      <c r="A97" s="188">
        <v>1</v>
      </c>
      <c r="B97" s="22" t="s">
        <v>4135</v>
      </c>
      <c r="C97" s="22">
        <v>97</v>
      </c>
      <c r="D97" s="22">
        <v>2</v>
      </c>
      <c r="E97" s="22" t="s">
        <v>493</v>
      </c>
      <c r="F97" s="121" t="str">
        <f>HYPERLINK("https://www.cnnindonesia.com/nasional/20190322131016-20-379715/dmi-nilai-insiden-masjid-banyumas-bukti-sentimen-kian-parah ","sumber")</f>
        <v>sumber</v>
      </c>
      <c r="G97" s="121" t="str">
        <f>HYPERLINK("https://drive.google.com/open?id=1ZgaJTU8jiGBaySUxkV6OCGC3_2tEbpQT","lokasi")</f>
        <v>lokasi</v>
      </c>
      <c r="H97" s="22">
        <v>416</v>
      </c>
      <c r="I97" s="22">
        <v>1</v>
      </c>
      <c r="J97" s="22">
        <v>2</v>
      </c>
      <c r="K97" s="123" t="s">
        <v>4136</v>
      </c>
      <c r="L97" s="22">
        <v>0</v>
      </c>
      <c r="M97" s="22">
        <v>-1</v>
      </c>
      <c r="N97" s="125">
        <v>0</v>
      </c>
      <c r="O97" s="22">
        <v>0</v>
      </c>
      <c r="P97" s="22">
        <v>0</v>
      </c>
      <c r="Q97" s="22" t="s">
        <v>29</v>
      </c>
      <c r="R97" s="22" t="s">
        <v>30</v>
      </c>
      <c r="S97" s="134"/>
      <c r="T97" s="22">
        <v>0</v>
      </c>
      <c r="U97" s="22">
        <v>0</v>
      </c>
      <c r="V97" s="22">
        <v>0</v>
      </c>
      <c r="W97" s="23"/>
      <c r="X97" s="23"/>
      <c r="Y97" s="23"/>
    </row>
    <row r="98" spans="1:25" ht="13.2">
      <c r="A98" s="188">
        <v>1</v>
      </c>
      <c r="B98" s="22" t="s">
        <v>4137</v>
      </c>
      <c r="C98" s="22">
        <v>98</v>
      </c>
      <c r="D98" s="22">
        <v>4</v>
      </c>
      <c r="E98" s="22" t="s">
        <v>127</v>
      </c>
      <c r="F98" s="121" t="str">
        <f>HYPERLINK("https://www.liputan6.com/health/read/3925559/ayah-dan-bunda-ini-cara-sederhana-cek-pendengaran-bayi-baru-lahir ","sumber")</f>
        <v>sumber</v>
      </c>
      <c r="G98" s="121" t="str">
        <f>HYPERLINK("https://drive.google.com/open?id=1LZF5WDwLJG0Gj9r00fLvcyUw2Ft9i5jZ","lokasi")</f>
        <v>lokasi</v>
      </c>
      <c r="H98" s="22">
        <v>219</v>
      </c>
      <c r="I98" s="22">
        <v>5</v>
      </c>
      <c r="J98" s="22">
        <v>2</v>
      </c>
      <c r="K98" s="123" t="s">
        <v>4138</v>
      </c>
      <c r="L98" s="22">
        <v>0</v>
      </c>
      <c r="M98" s="22">
        <v>0</v>
      </c>
      <c r="N98" s="22">
        <v>0</v>
      </c>
      <c r="O98" s="22">
        <v>0</v>
      </c>
      <c r="P98" s="22">
        <v>0</v>
      </c>
      <c r="Q98" s="22">
        <v>0</v>
      </c>
      <c r="R98" s="22">
        <v>0</v>
      </c>
      <c r="S98" s="134"/>
      <c r="T98" s="22">
        <v>0</v>
      </c>
      <c r="U98" s="22">
        <v>0</v>
      </c>
      <c r="V98" s="22">
        <v>0</v>
      </c>
      <c r="W98" s="23"/>
      <c r="X98" s="23"/>
      <c r="Y98" s="23"/>
    </row>
    <row r="99" spans="1:25" ht="13.2">
      <c r="A99" s="188">
        <v>1</v>
      </c>
      <c r="B99" s="22" t="s">
        <v>4139</v>
      </c>
      <c r="C99" s="22">
        <v>99</v>
      </c>
      <c r="D99" s="22">
        <v>1</v>
      </c>
      <c r="E99" s="22" t="s">
        <v>139</v>
      </c>
      <c r="F99" s="121" t="str">
        <f>HYPERLINK("https://news.detik.com/berita-jawa-tengah/d-4491218/kpu-kudus-yakin-pemilih-hanya-butuh-45-detik-untuk-nyoblos-5-kartu ","sumber")</f>
        <v>sumber</v>
      </c>
      <c r="G99" s="121" t="str">
        <f>HYPERLINK("https://drive.google.com/open?id=1HI4C1jQYh6euJgmXVv-P0UFwNvoC5-3l","lokasi")</f>
        <v>lokasi</v>
      </c>
      <c r="H99" s="22">
        <v>296</v>
      </c>
      <c r="I99" s="22">
        <v>3</v>
      </c>
      <c r="J99" s="22">
        <v>2</v>
      </c>
      <c r="K99" s="123" t="s">
        <v>4140</v>
      </c>
      <c r="L99" s="22">
        <v>0</v>
      </c>
      <c r="M99" s="22">
        <v>0</v>
      </c>
      <c r="N99" s="125">
        <v>0</v>
      </c>
      <c r="O99" s="22">
        <v>0</v>
      </c>
      <c r="P99" s="22">
        <v>0</v>
      </c>
      <c r="Q99" s="22" t="s">
        <v>1655</v>
      </c>
      <c r="R99" s="22" t="s">
        <v>106</v>
      </c>
      <c r="S99" s="134"/>
      <c r="T99" s="22">
        <v>0</v>
      </c>
      <c r="U99" s="22">
        <v>0</v>
      </c>
      <c r="V99" s="22">
        <v>0</v>
      </c>
      <c r="W99" s="23"/>
      <c r="X99" s="23"/>
      <c r="Y99" s="23"/>
    </row>
    <row r="100" spans="1:25" ht="13.2">
      <c r="A100" s="188">
        <v>1</v>
      </c>
      <c r="B100" s="22" t="s">
        <v>4141</v>
      </c>
      <c r="C100" s="22">
        <v>100</v>
      </c>
      <c r="D100" s="22">
        <v>1</v>
      </c>
      <c r="E100" s="222">
        <v>43469</v>
      </c>
      <c r="F100" s="121" t="str">
        <f>HYPERLINK("https://news.detik.com/berita-jawa-barat/d-4492899/penganiaya-pemuda-disabilitas-di-sukabumi-berjumlah-1-orang ","sumber")</f>
        <v>sumber</v>
      </c>
      <c r="G100" s="121" t="str">
        <f>HYPERLINK("https://drive.google.com/open?id=1LJyqxZ8jVNEkMAbYVmTMJiBbEqeqBWyO","lokasi")</f>
        <v>lokasi</v>
      </c>
      <c r="H100" s="22">
        <v>385</v>
      </c>
      <c r="I100" s="22">
        <v>1</v>
      </c>
      <c r="J100" s="22">
        <v>2</v>
      </c>
      <c r="K100" s="123" t="s">
        <v>4142</v>
      </c>
      <c r="L100" s="22">
        <v>0</v>
      </c>
      <c r="M100" s="22">
        <v>-1</v>
      </c>
      <c r="N100" s="125">
        <v>0</v>
      </c>
      <c r="O100" s="22">
        <v>0</v>
      </c>
      <c r="P100" s="22">
        <v>0</v>
      </c>
      <c r="Q100" s="22" t="s">
        <v>29</v>
      </c>
      <c r="R100" s="22" t="s">
        <v>182</v>
      </c>
      <c r="S100" s="123" t="s">
        <v>4143</v>
      </c>
      <c r="T100" s="22">
        <v>1</v>
      </c>
      <c r="U100" s="22">
        <v>0</v>
      </c>
      <c r="V100" s="22">
        <v>0</v>
      </c>
      <c r="W100" s="23"/>
      <c r="X100" s="23"/>
      <c r="Y100" s="23"/>
    </row>
    <row r="101" spans="1:25" ht="13.2">
      <c r="A101" s="21">
        <v>2</v>
      </c>
      <c r="B101" s="25" t="s">
        <v>4144</v>
      </c>
      <c r="C101" s="25">
        <v>101</v>
      </c>
      <c r="D101" s="25">
        <v>3</v>
      </c>
      <c r="E101" s="234">
        <v>43559</v>
      </c>
      <c r="F101" s="115" t="str">
        <f>HYPERLINK("https://techno.okezone.com/read/2019/04/04/207/2038985/peretasan-akun-twitter-dan-whatsapp-ramai-jelang-pemilu ","sumber")</f>
        <v>sumber</v>
      </c>
      <c r="G101" s="115" t="str">
        <f>HYPERLINK("https://drive.google.com/open?id=1Dndx_YYfLnWItwUqDZf4gs-NS6vXrg1X","lokasi")</f>
        <v>lokasi</v>
      </c>
      <c r="H101" s="25">
        <v>329</v>
      </c>
      <c r="I101" s="26"/>
      <c r="J101" s="26"/>
      <c r="K101" s="124"/>
      <c r="L101" s="26"/>
      <c r="M101" s="26"/>
      <c r="N101" s="26"/>
      <c r="O101" s="26"/>
      <c r="P101" s="26"/>
      <c r="Q101" s="26"/>
      <c r="R101" s="26"/>
      <c r="S101" s="124"/>
      <c r="T101" s="26"/>
      <c r="U101" s="26"/>
      <c r="V101" s="26"/>
      <c r="W101" s="26"/>
      <c r="X101" s="26"/>
      <c r="Y101" s="26"/>
    </row>
    <row r="102" spans="1:25" ht="13.2">
      <c r="A102" s="21">
        <v>2</v>
      </c>
      <c r="B102" s="25" t="s">
        <v>4145</v>
      </c>
      <c r="C102" s="25">
        <v>102</v>
      </c>
      <c r="D102" s="25">
        <v>3</v>
      </c>
      <c r="E102" s="234">
        <v>43620</v>
      </c>
      <c r="F102" s="115" t="str">
        <f>HYPERLINK("https://lifestyle.okezone.com/read/2019/04/06/196/2039857/pasangan-ini-dipertemukan-semesta-karena-suka-vampire-gigitan-jadi-cinta-pertama ","sumber")</f>
        <v>sumber</v>
      </c>
      <c r="G102" s="115" t="str">
        <f>HYPERLINK("https://drive.google.com/open?id=1Xr6OMRRUnl7be_F_7UvwJxMDG1PloJKx","lokasi")</f>
        <v>lokasi</v>
      </c>
      <c r="H102" s="25">
        <v>647</v>
      </c>
      <c r="I102" s="26"/>
      <c r="J102" s="26"/>
      <c r="K102" s="124"/>
      <c r="L102" s="26"/>
      <c r="M102" s="26"/>
      <c r="N102" s="26"/>
      <c r="O102" s="26"/>
      <c r="P102" s="26"/>
      <c r="Q102" s="26"/>
      <c r="R102" s="26"/>
      <c r="S102" s="124"/>
      <c r="T102" s="26"/>
      <c r="U102" s="26"/>
      <c r="V102" s="26"/>
      <c r="W102" s="26"/>
      <c r="X102" s="26"/>
      <c r="Y102" s="26"/>
    </row>
    <row r="103" spans="1:25" ht="13.2">
      <c r="A103" s="21">
        <v>2</v>
      </c>
      <c r="B103" s="25" t="s">
        <v>4146</v>
      </c>
      <c r="C103" s="25">
        <v>103</v>
      </c>
      <c r="D103" s="25">
        <v>3</v>
      </c>
      <c r="E103" s="234">
        <v>43803</v>
      </c>
      <c r="F103" s="115" t="str">
        <f>HYPERLINK("https://index.okezone.com/read/2019/04/12/612/2042575/cantik-cantik-tatoan-itu-preman-apa-seni ","sumber")</f>
        <v>sumber</v>
      </c>
      <c r="G103" s="115" t="str">
        <f>HYPERLINK("https://drive.google.com/open?id=1CzGUmr6hFiYupzyzuPeeeUabSHTY3y64","lokasi")</f>
        <v>lokasi</v>
      </c>
      <c r="H103" s="25">
        <v>401</v>
      </c>
      <c r="I103" s="26"/>
      <c r="J103" s="26"/>
      <c r="K103" s="124"/>
      <c r="L103" s="26"/>
      <c r="M103" s="26"/>
      <c r="N103" s="26"/>
      <c r="O103" s="26"/>
      <c r="P103" s="26"/>
      <c r="Q103" s="26"/>
      <c r="R103" s="26"/>
      <c r="S103" s="124"/>
      <c r="T103" s="26"/>
      <c r="U103" s="26"/>
      <c r="V103" s="26"/>
      <c r="W103" s="26"/>
      <c r="X103" s="26"/>
      <c r="Y103" s="26"/>
    </row>
    <row r="104" spans="1:25" ht="13.2">
      <c r="A104" s="188">
        <v>1</v>
      </c>
      <c r="B104" s="22" t="s">
        <v>4147</v>
      </c>
      <c r="C104" s="22">
        <v>104</v>
      </c>
      <c r="D104" s="22">
        <v>5</v>
      </c>
      <c r="E104" s="222">
        <v>43803</v>
      </c>
      <c r="F104" s="121" t="str">
        <f>HYPERLINK("https://tirto.id/suara-anak-disabilitas-diakomodir-kemenpppa-ajak-menulis-pendapat-dlVT ","sumber")</f>
        <v>sumber</v>
      </c>
      <c r="G104" s="121" t="str">
        <f>HYPERLINK("https://drive.google.com/open?id=1khtaVcY6lN4XtJFYi4a4-CEXnNHYFySK","lokasi")</f>
        <v>lokasi</v>
      </c>
      <c r="H104" s="22">
        <v>296</v>
      </c>
      <c r="I104" s="22">
        <v>4</v>
      </c>
      <c r="J104" s="22">
        <v>2</v>
      </c>
      <c r="K104" s="123" t="s">
        <v>4148</v>
      </c>
      <c r="L104" s="22">
        <v>0</v>
      </c>
      <c r="M104" s="22">
        <v>0</v>
      </c>
      <c r="N104" s="125">
        <v>0</v>
      </c>
      <c r="O104" s="22">
        <v>0</v>
      </c>
      <c r="P104" s="22">
        <v>0</v>
      </c>
      <c r="Q104" s="22">
        <v>0</v>
      </c>
      <c r="R104" s="22">
        <v>1</v>
      </c>
      <c r="S104" s="134"/>
      <c r="T104" s="22">
        <v>0</v>
      </c>
      <c r="U104" s="22">
        <v>0</v>
      </c>
      <c r="V104" s="22">
        <v>1</v>
      </c>
      <c r="W104" s="23"/>
      <c r="X104" s="23"/>
      <c r="Y104" s="23"/>
    </row>
    <row r="105" spans="1:25" ht="13.2">
      <c r="A105" s="21">
        <v>2</v>
      </c>
      <c r="B105" s="151" t="s">
        <v>4149</v>
      </c>
      <c r="C105" s="25">
        <v>105</v>
      </c>
      <c r="D105" s="25">
        <v>1</v>
      </c>
      <c r="E105" s="25" t="s">
        <v>734</v>
      </c>
      <c r="F105" s="115" t="str">
        <f>HYPERLINK("https://health.detik.com/berita-detikhealth/d-4509168/3-kelainan-genetik-yang-paling-bikin-cemas-para-ortu ","sumber")</f>
        <v>sumber</v>
      </c>
      <c r="G105" s="115" t="str">
        <f>HYPERLINK("https://drive.google.com/open?id=1LOKACe5TWLHoogl_OGk-3yh0CrEfvo2O","lokasi")</f>
        <v>lokasi</v>
      </c>
      <c r="H105" s="25">
        <v>258</v>
      </c>
      <c r="I105" s="26"/>
      <c r="J105" s="26"/>
      <c r="K105" s="124"/>
      <c r="L105" s="26"/>
      <c r="M105" s="26"/>
      <c r="N105" s="26"/>
      <c r="O105" s="26"/>
      <c r="P105" s="26"/>
      <c r="Q105" s="26"/>
      <c r="R105" s="26"/>
      <c r="S105" s="124"/>
      <c r="T105" s="26"/>
      <c r="U105" s="26"/>
      <c r="V105" s="26"/>
      <c r="W105" s="26"/>
      <c r="X105" s="26"/>
      <c r="Y105" s="26"/>
    </row>
    <row r="106" spans="1:25" ht="13.2">
      <c r="A106" s="21">
        <v>2</v>
      </c>
      <c r="B106" s="25" t="s">
        <v>4150</v>
      </c>
      <c r="C106" s="25">
        <v>106</v>
      </c>
      <c r="D106" s="25">
        <v>3</v>
      </c>
      <c r="E106" s="25" t="s">
        <v>516</v>
      </c>
      <c r="F106" s="115" t="str">
        <f>HYPERLINK("https://lifestyle.okezone.com/read/2019/04/14/611/2043468/kenang-game-of-thrones-para-fans-buat-tato-para-karakter ","sumber")</f>
        <v>sumber</v>
      </c>
      <c r="G106" s="115" t="str">
        <f>HYPERLINK("https://drive.google.com/open?id=1tMDFqr_PUaaVciJCuyowMCwe4oNeO8vb","lokasi")</f>
        <v>lokasi</v>
      </c>
      <c r="H106" s="25">
        <v>373</v>
      </c>
      <c r="I106" s="26"/>
      <c r="J106" s="26"/>
      <c r="K106" s="124"/>
      <c r="L106" s="26"/>
      <c r="M106" s="26"/>
      <c r="N106" s="26"/>
      <c r="O106" s="26"/>
      <c r="P106" s="26"/>
      <c r="Q106" s="26"/>
      <c r="R106" s="26"/>
      <c r="S106" s="124"/>
      <c r="T106" s="26"/>
      <c r="U106" s="26"/>
      <c r="V106" s="26"/>
      <c r="W106" s="26"/>
      <c r="X106" s="26"/>
      <c r="Y106" s="26"/>
    </row>
    <row r="107" spans="1:25" ht="13.2">
      <c r="A107" s="188">
        <v>1</v>
      </c>
      <c r="B107" s="22" t="s">
        <v>4151</v>
      </c>
      <c r="C107" s="22">
        <v>107</v>
      </c>
      <c r="D107" s="22">
        <v>2</v>
      </c>
      <c r="E107" s="22" t="s">
        <v>2538</v>
      </c>
      <c r="F107" s="121" t="str">
        <f>HYPERLINK("https://news.okezone.com/read/2019/04/15/519/2043927/terpengaruh-film-porno-bocah-sd-dan-smp-perkosa-siswi-sma-berkali-kali ","sumber")</f>
        <v>sumber</v>
      </c>
      <c r="G107" s="121" t="str">
        <f>HYPERLINK("https://drive.google.com/open?id=1oTqLpT7gd736TMzccID7M0HvojCKTNzn","lokasi")</f>
        <v>lokasi</v>
      </c>
      <c r="H107" s="22">
        <v>372</v>
      </c>
      <c r="I107" s="22">
        <v>1</v>
      </c>
      <c r="J107" s="22">
        <v>1</v>
      </c>
      <c r="K107" s="123" t="s">
        <v>4152</v>
      </c>
      <c r="L107" s="22">
        <v>0</v>
      </c>
      <c r="M107" s="22">
        <v>-1</v>
      </c>
      <c r="N107" s="125">
        <v>0</v>
      </c>
      <c r="O107" s="22">
        <v>-1</v>
      </c>
      <c r="P107" s="22">
        <v>-1</v>
      </c>
      <c r="Q107" s="22">
        <v>0</v>
      </c>
      <c r="R107" s="22">
        <v>0</v>
      </c>
      <c r="S107" s="134"/>
      <c r="T107" s="22">
        <v>0</v>
      </c>
      <c r="U107" s="22">
        <v>0</v>
      </c>
      <c r="V107" s="22">
        <v>0</v>
      </c>
      <c r="W107" s="23"/>
      <c r="X107" s="23"/>
      <c r="Y107" s="23"/>
    </row>
    <row r="108" spans="1:25" ht="13.2">
      <c r="A108" s="188">
        <v>1</v>
      </c>
      <c r="B108" s="22" t="s">
        <v>4153</v>
      </c>
      <c r="C108" s="22">
        <v>108</v>
      </c>
      <c r="D108" s="22">
        <v>2</v>
      </c>
      <c r="E108" s="22" t="s">
        <v>537</v>
      </c>
      <c r="F108" s="121" t="str">
        <f>HYPERLINK("https://www.cnnindonesia.com/nasional/20190417220635-32-387446/pemilu-2019-bawaslu-sebut-2366-tps-tak-ramah-disabilitas ","sumber")</f>
        <v>sumber</v>
      </c>
      <c r="G108" s="121" t="str">
        <f t="shared" ref="G108:G109" si="0">HYPERLINK("https://drive.google.com/open?id=1O3Z0AQrhbRPxwIMbvqNEUZ9J_KU7Frih","lokasi")</f>
        <v>lokasi</v>
      </c>
      <c r="H108" s="22">
        <v>229</v>
      </c>
      <c r="I108" s="22">
        <v>4</v>
      </c>
      <c r="J108" s="22">
        <v>2</v>
      </c>
      <c r="K108" s="123" t="s">
        <v>4154</v>
      </c>
      <c r="L108" s="22">
        <v>0</v>
      </c>
      <c r="M108" s="22">
        <v>0</v>
      </c>
      <c r="N108" s="125">
        <v>0</v>
      </c>
      <c r="O108" s="22">
        <v>0</v>
      </c>
      <c r="P108" s="22">
        <v>0</v>
      </c>
      <c r="Q108" s="22">
        <v>0</v>
      </c>
      <c r="R108" s="22">
        <v>1</v>
      </c>
      <c r="S108" s="134"/>
      <c r="T108" s="22">
        <v>0</v>
      </c>
      <c r="U108" s="22">
        <v>0</v>
      </c>
      <c r="V108" s="22">
        <v>0</v>
      </c>
      <c r="W108" s="23"/>
      <c r="X108" s="23"/>
      <c r="Y108" s="23"/>
    </row>
    <row r="109" spans="1:25" ht="13.2">
      <c r="A109" s="209">
        <v>1</v>
      </c>
      <c r="B109" s="132" t="s">
        <v>4155</v>
      </c>
      <c r="C109" s="33">
        <v>109</v>
      </c>
      <c r="D109" s="33">
        <v>6</v>
      </c>
      <c r="E109" s="33" t="s">
        <v>4156</v>
      </c>
      <c r="F109" s="130" t="str">
        <f>HYPERLINK("https://regional.kompas.com/read/2019/04/20/15004311/seorang-anak-diduga-bunuh-ayah-kandung-di-kebumen ","sumber")</f>
        <v>sumber</v>
      </c>
      <c r="G109" s="130" t="str">
        <f t="shared" si="0"/>
        <v>lokasi</v>
      </c>
      <c r="H109" s="33">
        <v>223</v>
      </c>
      <c r="I109" s="33">
        <v>1</v>
      </c>
      <c r="J109" s="33">
        <v>2</v>
      </c>
      <c r="K109" s="131" t="s">
        <v>4157</v>
      </c>
      <c r="L109" s="33">
        <v>0</v>
      </c>
      <c r="M109" s="33">
        <v>-1</v>
      </c>
      <c r="N109" s="132">
        <v>0</v>
      </c>
      <c r="O109" s="33">
        <v>0</v>
      </c>
      <c r="P109" s="33">
        <v>0</v>
      </c>
      <c r="Q109" s="33">
        <v>0</v>
      </c>
      <c r="R109" s="33">
        <v>-1</v>
      </c>
      <c r="S109" s="133"/>
      <c r="T109" s="33">
        <v>0</v>
      </c>
      <c r="U109" s="33">
        <v>0</v>
      </c>
      <c r="V109" s="33">
        <v>0</v>
      </c>
      <c r="W109" s="24"/>
      <c r="X109" s="24"/>
      <c r="Y109" s="24"/>
    </row>
    <row r="110" spans="1:25" ht="13.2">
      <c r="A110" s="21">
        <v>2</v>
      </c>
      <c r="B110" s="25" t="s">
        <v>4158</v>
      </c>
      <c r="C110" s="25">
        <v>110</v>
      </c>
      <c r="D110" s="25">
        <v>9</v>
      </c>
      <c r="E110" s="25" t="s">
        <v>165</v>
      </c>
      <c r="F110" s="115" t="str">
        <f>HYPERLINK("https://nasional.republika.co.id/berita/nasional/politik/pqfr3a428/peneliti-lipi-petugas-meninggal-dipicu-banyak-faktor ","sumber")</f>
        <v>sumber</v>
      </c>
      <c r="G110" s="115" t="str">
        <f>HYPERLINK("https://drive.google.com/open?id=1x70qUKCx6jBwXwNzrC-NfZHDqBSqP5Pp","lokasi")</f>
        <v>lokasi</v>
      </c>
      <c r="H110" s="25">
        <v>257</v>
      </c>
      <c r="I110" s="26"/>
      <c r="J110" s="26"/>
      <c r="K110" s="124"/>
      <c r="L110" s="26"/>
      <c r="M110" s="26"/>
      <c r="N110" s="26"/>
      <c r="O110" s="26"/>
      <c r="P110" s="26"/>
      <c r="Q110" s="26"/>
      <c r="R110" s="26"/>
      <c r="S110" s="124"/>
      <c r="T110" s="26"/>
      <c r="U110" s="26"/>
      <c r="V110" s="26"/>
      <c r="W110" s="26"/>
      <c r="X110" s="26"/>
      <c r="Y110" s="26"/>
    </row>
    <row r="111" spans="1:25" ht="13.2">
      <c r="A111" s="209">
        <v>1</v>
      </c>
      <c r="B111" s="132" t="s">
        <v>4159</v>
      </c>
      <c r="C111" s="33">
        <v>111</v>
      </c>
      <c r="D111" s="33">
        <v>7</v>
      </c>
      <c r="E111" s="288">
        <v>43712</v>
      </c>
      <c r="F111" s="130" t="str">
        <f>HYPERLINK("http://www.tribunnews.com/nasional/2019/04/30/kpu-siapkan-juknis-santunan-untuk-keluarga-kpps-meninggal ","sumber")</f>
        <v>sumber</v>
      </c>
      <c r="G111" s="130" t="str">
        <f>HYPERLINK("https://drive.google.com/open?id=1GwArWJtMId9lV-x5m-FHfHr_M3IhbYXk","lokasi")</f>
        <v>lokasi</v>
      </c>
      <c r="H111" s="33">
        <v>261</v>
      </c>
      <c r="I111" s="33">
        <v>4</v>
      </c>
      <c r="J111" s="33">
        <v>2</v>
      </c>
      <c r="K111" s="131" t="s">
        <v>4160</v>
      </c>
      <c r="L111" s="33">
        <v>0</v>
      </c>
      <c r="M111" s="33">
        <v>0</v>
      </c>
      <c r="N111" s="132">
        <v>0</v>
      </c>
      <c r="O111" s="33">
        <v>0</v>
      </c>
      <c r="P111" s="33">
        <v>0</v>
      </c>
      <c r="Q111" s="33">
        <v>0</v>
      </c>
      <c r="R111" s="33">
        <v>1</v>
      </c>
      <c r="S111" s="133"/>
      <c r="T111" s="33">
        <v>0</v>
      </c>
      <c r="U111" s="33">
        <v>0</v>
      </c>
      <c r="V111" s="33">
        <v>1</v>
      </c>
      <c r="W111" s="24"/>
      <c r="X111" s="24"/>
      <c r="Y111" s="24"/>
    </row>
    <row r="112" spans="1:25" ht="13.2">
      <c r="A112" s="188">
        <v>1</v>
      </c>
      <c r="B112" s="22" t="s">
        <v>4161</v>
      </c>
      <c r="C112" s="22">
        <v>112</v>
      </c>
      <c r="D112" s="22">
        <v>6</v>
      </c>
      <c r="E112" s="222">
        <v>43501</v>
      </c>
      <c r="F112" s="121" t="str">
        <f>HYPERLINK("https://regional.kompas.com/read/2019/05/02/15131411/pasca-aksi-kelompok-baju-hitam-siswa-penyandang-disabilitas-takut-ke-sekolah ","sumber")</f>
        <v>sumber</v>
      </c>
      <c r="G112" s="121" t="str">
        <f>HYPERLINK("https://drive.google.com/open?id=1pM8i8RqVwAJwdym8ef_W7Jj-MzDqwk_o","lokasi")</f>
        <v>lokasi</v>
      </c>
      <c r="H112" s="22">
        <v>420</v>
      </c>
      <c r="I112" s="22">
        <v>1</v>
      </c>
      <c r="J112" s="22">
        <v>2</v>
      </c>
      <c r="K112" s="123" t="s">
        <v>4162</v>
      </c>
      <c r="L112" s="22">
        <v>-1</v>
      </c>
      <c r="M112" s="22">
        <v>-1</v>
      </c>
      <c r="N112" s="125">
        <v>0</v>
      </c>
      <c r="O112" s="22">
        <v>0</v>
      </c>
      <c r="P112" s="22">
        <v>0</v>
      </c>
      <c r="Q112" s="22" t="s">
        <v>29</v>
      </c>
      <c r="R112" s="22" t="s">
        <v>29</v>
      </c>
      <c r="S112" s="134"/>
      <c r="T112" s="22">
        <v>0</v>
      </c>
      <c r="U112" s="22">
        <v>0</v>
      </c>
      <c r="V112" s="22">
        <v>0</v>
      </c>
      <c r="W112" s="23"/>
      <c r="X112" s="23"/>
      <c r="Y112" s="23"/>
    </row>
    <row r="113" spans="1:25" ht="13.2">
      <c r="A113" s="209">
        <v>1</v>
      </c>
      <c r="B113" s="132" t="s">
        <v>4163</v>
      </c>
      <c r="C113" s="33">
        <v>113</v>
      </c>
      <c r="D113" s="33">
        <v>5</v>
      </c>
      <c r="E113" s="33" t="s">
        <v>2173</v>
      </c>
      <c r="F113" s="130" t="str">
        <f>HYPERLINK("https://tirto.id/live-transcribe-aplikasi-komunikasi-bagi-para-tuli-dF81 ","sumber")</f>
        <v>sumber</v>
      </c>
      <c r="G113" s="130" t="str">
        <f>HYPERLINK("https://drive.google.com/open?id=1RJUsJ8RZmH3K9JqWEXmhEyT5mQnkl5Wg","lokasi")</f>
        <v>lokasi</v>
      </c>
      <c r="H113" s="33">
        <v>859</v>
      </c>
      <c r="I113" s="33">
        <v>4</v>
      </c>
      <c r="J113" s="33">
        <v>2</v>
      </c>
      <c r="K113" s="131" t="s">
        <v>4164</v>
      </c>
      <c r="L113" s="33">
        <v>0</v>
      </c>
      <c r="M113" s="33">
        <v>0</v>
      </c>
      <c r="N113" s="132">
        <v>0</v>
      </c>
      <c r="O113" s="33">
        <v>0</v>
      </c>
      <c r="P113" s="33">
        <v>0</v>
      </c>
      <c r="Q113" s="33">
        <v>0</v>
      </c>
      <c r="R113" s="33">
        <v>1</v>
      </c>
      <c r="S113" s="133"/>
      <c r="T113" s="33">
        <v>0</v>
      </c>
      <c r="U113" s="33">
        <v>0</v>
      </c>
      <c r="V113" s="33">
        <v>0</v>
      </c>
      <c r="W113" s="24"/>
      <c r="X113" s="24"/>
      <c r="Y113" s="24"/>
    </row>
    <row r="114" spans="1:25" ht="13.2">
      <c r="A114" s="188">
        <v>1</v>
      </c>
      <c r="B114" s="22" t="s">
        <v>4165</v>
      </c>
      <c r="C114" s="22">
        <v>114</v>
      </c>
      <c r="D114" s="22">
        <v>1</v>
      </c>
      <c r="E114" s="222">
        <v>43529</v>
      </c>
      <c r="F114" s="121" t="str">
        <f>HYPERLINK("https://news.detik.com/berita/d-4534698/selain-ajb-sulit-pelaku-bakar-kantor-desa-karena-bantuan-tak-cair ","sumber")</f>
        <v>sumber</v>
      </c>
      <c r="G114" s="121" t="str">
        <f>HYPERLINK("https://drive.google.com/open?id=1tOZR3vOSPqiNQTxvTxIR2GScZ7WFnmH0","lokasi")</f>
        <v>lokasi</v>
      </c>
      <c r="H114" s="22">
        <v>230</v>
      </c>
      <c r="I114" s="22">
        <v>1</v>
      </c>
      <c r="J114" s="22">
        <v>2</v>
      </c>
      <c r="K114" s="123" t="s">
        <v>4166</v>
      </c>
      <c r="L114" s="22">
        <v>-1</v>
      </c>
      <c r="M114" s="22">
        <v>-1</v>
      </c>
      <c r="N114" s="125">
        <v>0</v>
      </c>
      <c r="O114" s="22">
        <v>0</v>
      </c>
      <c r="P114" s="22">
        <v>0</v>
      </c>
      <c r="Q114" s="22">
        <v>1</v>
      </c>
      <c r="R114" s="22">
        <v>1</v>
      </c>
      <c r="S114" s="134"/>
      <c r="T114" s="22">
        <v>0</v>
      </c>
      <c r="U114" s="22">
        <v>-1</v>
      </c>
      <c r="V114" s="22">
        <v>0</v>
      </c>
      <c r="W114" s="23"/>
      <c r="X114" s="23"/>
      <c r="Y114" s="23"/>
    </row>
    <row r="115" spans="1:25" ht="13.2">
      <c r="A115" s="21">
        <v>2</v>
      </c>
      <c r="B115" s="25" t="s">
        <v>4167</v>
      </c>
      <c r="C115" s="25">
        <v>115</v>
      </c>
      <c r="D115" s="25">
        <v>10</v>
      </c>
      <c r="E115" s="234">
        <v>43560</v>
      </c>
      <c r="F115" s="115" t="str">
        <f>HYPERLINK("https://gaya.tempo.co/read/1201887/berhati-lembut-4-zodiak-ini-dikenal-sebagai-penyayang-hewan ","sumber")</f>
        <v>sumber</v>
      </c>
      <c r="G115" s="115" t="str">
        <f>HYPERLINK("https://drive.google.com/open?id=1TCA_RGHM8gz8KmUA7ExO1u9aJb0WfdOj","lokasi")</f>
        <v>lokasi</v>
      </c>
      <c r="H115" s="25">
        <v>301</v>
      </c>
      <c r="I115" s="26"/>
      <c r="J115" s="26"/>
      <c r="K115" s="124"/>
      <c r="L115" s="26"/>
      <c r="M115" s="26"/>
      <c r="N115" s="26"/>
      <c r="O115" s="26"/>
      <c r="P115" s="26"/>
      <c r="Q115" s="26"/>
      <c r="R115" s="26"/>
      <c r="S115" s="124"/>
      <c r="T115" s="26"/>
      <c r="U115" s="26"/>
      <c r="V115" s="26"/>
      <c r="W115" s="26"/>
      <c r="X115" s="26"/>
      <c r="Y115" s="26"/>
    </row>
    <row r="116" spans="1:25" ht="13.2">
      <c r="A116" s="209">
        <v>1</v>
      </c>
      <c r="B116" s="132" t="s">
        <v>4168</v>
      </c>
      <c r="C116" s="33">
        <v>116</v>
      </c>
      <c r="D116" s="33">
        <v>4</v>
      </c>
      <c r="E116" s="33" t="s">
        <v>2030</v>
      </c>
      <c r="F116" s="130" t="str">
        <f>HYPERLINK("https://www.liputan6.com/lifestyle/read/3978055/masjid-ramah-disabilitas-kesetaraan-beribadah-di-bulan-ramadan ","sumber")</f>
        <v>sumber</v>
      </c>
      <c r="G116" s="130" t="str">
        <f>HYPERLINK("https://drive.google.com/open?id=1YKNTN0EH1SpbMTAICSKJniQsWqcBCJM7","lokasi")</f>
        <v>lokasi</v>
      </c>
      <c r="H116" s="33">
        <v>350</v>
      </c>
      <c r="I116" s="33">
        <v>3</v>
      </c>
      <c r="J116" s="33">
        <v>2</v>
      </c>
      <c r="K116" s="131" t="s">
        <v>4169</v>
      </c>
      <c r="L116" s="33">
        <v>0</v>
      </c>
      <c r="M116" s="33">
        <v>0</v>
      </c>
      <c r="N116" s="33">
        <v>0</v>
      </c>
      <c r="O116" s="33">
        <v>0</v>
      </c>
      <c r="P116" s="33">
        <v>0</v>
      </c>
      <c r="Q116" s="33" t="s">
        <v>29</v>
      </c>
      <c r="R116" s="33" t="s">
        <v>160</v>
      </c>
      <c r="S116" s="133"/>
      <c r="T116" s="33">
        <v>0</v>
      </c>
      <c r="U116" s="33">
        <v>0</v>
      </c>
      <c r="V116" s="33">
        <v>0</v>
      </c>
      <c r="W116" s="24"/>
      <c r="X116" s="24"/>
      <c r="Y116" s="24"/>
    </row>
    <row r="117" spans="1:25" ht="13.2">
      <c r="A117" s="209">
        <v>1</v>
      </c>
      <c r="B117" s="132" t="s">
        <v>4170</v>
      </c>
      <c r="C117" s="33">
        <v>117</v>
      </c>
      <c r="D117" s="33">
        <v>3</v>
      </c>
      <c r="E117" s="33" t="s">
        <v>2173</v>
      </c>
      <c r="F117" s="130" t="str">
        <f>HYPERLINK("https://celebrity.okezone.com/read/2019/05/17/33/2057203/berkenalan-dengan-teman-tuli-natasha-rizki-petik-pelajaran-berharga ","sumber")</f>
        <v>sumber</v>
      </c>
      <c r="G117" s="130" t="str">
        <f>HYPERLINK("https://drive.google.com/open?id=1YRAhp1-UBRs9zQqlC02JkPG07ycyDpVM","lokasi")</f>
        <v>lokasi</v>
      </c>
      <c r="H117" s="33">
        <v>621</v>
      </c>
      <c r="I117" s="33">
        <v>2</v>
      </c>
      <c r="J117" s="33">
        <v>2</v>
      </c>
      <c r="K117" s="131" t="s">
        <v>4171</v>
      </c>
      <c r="L117" s="33">
        <v>0</v>
      </c>
      <c r="M117" s="33">
        <v>0</v>
      </c>
      <c r="N117" s="33">
        <v>0</v>
      </c>
      <c r="O117" s="33">
        <v>0</v>
      </c>
      <c r="P117" s="33">
        <v>0</v>
      </c>
      <c r="Q117" s="33">
        <v>0</v>
      </c>
      <c r="R117" s="33">
        <v>1</v>
      </c>
      <c r="S117" s="133"/>
      <c r="T117" s="33">
        <v>0</v>
      </c>
      <c r="U117" s="33">
        <v>0</v>
      </c>
      <c r="V117" s="33">
        <v>1</v>
      </c>
      <c r="W117" s="24"/>
      <c r="X117" s="24"/>
      <c r="Y117" s="24"/>
    </row>
    <row r="118" spans="1:25" ht="13.2">
      <c r="A118" s="188">
        <v>1</v>
      </c>
      <c r="B118" s="22" t="s">
        <v>4172</v>
      </c>
      <c r="C118" s="22">
        <v>118</v>
      </c>
      <c r="D118" s="22">
        <v>7</v>
      </c>
      <c r="E118" s="222">
        <v>43774</v>
      </c>
      <c r="F118" s="121" t="str">
        <f>HYPERLINK("http://www.tribunnews.com/regional/2019/05/11/sempat-hilang-kontak-selama-15-tahun-cinta-pasangan-penyandang-tunanetra-berujung-ke-pelaminan ","sumber")</f>
        <v>sumber</v>
      </c>
      <c r="G118" s="121" t="str">
        <f>HYPERLINK("https://drive.google.com/open?id=1m2qVMnSAVvrJEez6zQLOlB_Ly3-m9VnI","lokasi")</f>
        <v>lokasi</v>
      </c>
      <c r="H118" s="22">
        <v>126</v>
      </c>
      <c r="I118" s="22">
        <v>2</v>
      </c>
      <c r="J118" s="22">
        <v>2</v>
      </c>
      <c r="K118" s="123" t="s">
        <v>4173</v>
      </c>
      <c r="L118" s="22">
        <v>-1</v>
      </c>
      <c r="M118" s="22">
        <v>0</v>
      </c>
      <c r="N118" s="22">
        <v>-1</v>
      </c>
      <c r="O118" s="22">
        <v>0</v>
      </c>
      <c r="P118" s="22">
        <v>0</v>
      </c>
      <c r="Q118" s="22" t="s">
        <v>159</v>
      </c>
      <c r="R118" s="22" t="s">
        <v>29</v>
      </c>
      <c r="S118" s="123" t="s">
        <v>4174</v>
      </c>
      <c r="T118" s="22">
        <v>1</v>
      </c>
      <c r="U118" s="22">
        <v>0</v>
      </c>
      <c r="V118" s="22">
        <v>0</v>
      </c>
      <c r="W118" s="23"/>
      <c r="X118" s="23"/>
      <c r="Y118" s="23"/>
    </row>
    <row r="119" spans="1:25" ht="13.2">
      <c r="A119" s="188">
        <v>1</v>
      </c>
      <c r="B119" s="22" t="s">
        <v>4175</v>
      </c>
      <c r="C119" s="22">
        <v>119</v>
      </c>
      <c r="D119" s="22">
        <v>10</v>
      </c>
      <c r="E119" s="22" t="s">
        <v>200</v>
      </c>
      <c r="F119" s="121" t="str">
        <f>HYPERLINK("https://difabel.tempo.co/read/1205155/pentingnya-orang-tua-anak-berkebutuhan-khusus-masuk-komunitas ","sumber")</f>
        <v>sumber</v>
      </c>
      <c r="G119" s="121" t="str">
        <f>HYPERLINK("https://drive.google.com/open?id=1Q2lw2SS_zer7stMCkhMaj8lzoWI_qpsP","lokasi")</f>
        <v>lokasi</v>
      </c>
      <c r="H119" s="22">
        <v>292</v>
      </c>
      <c r="I119" s="22">
        <v>5</v>
      </c>
      <c r="J119" s="22">
        <v>2</v>
      </c>
      <c r="K119" s="123" t="s">
        <v>4176</v>
      </c>
      <c r="L119" s="22">
        <v>0</v>
      </c>
      <c r="M119" s="22">
        <v>0</v>
      </c>
      <c r="N119" s="125">
        <v>0</v>
      </c>
      <c r="O119" s="22">
        <v>0</v>
      </c>
      <c r="P119" s="22">
        <v>0</v>
      </c>
      <c r="Q119" s="22" t="s">
        <v>182</v>
      </c>
      <c r="R119" s="22" t="s">
        <v>160</v>
      </c>
      <c r="S119" s="123" t="s">
        <v>4177</v>
      </c>
      <c r="T119" s="22">
        <v>2</v>
      </c>
      <c r="U119" s="22">
        <v>0</v>
      </c>
      <c r="V119" s="22">
        <v>0</v>
      </c>
      <c r="W119" s="23"/>
      <c r="X119" s="23"/>
      <c r="Y119" s="23"/>
    </row>
    <row r="120" spans="1:25" ht="13.2">
      <c r="A120" s="21">
        <v>2</v>
      </c>
      <c r="B120" s="25" t="s">
        <v>4178</v>
      </c>
      <c r="C120" s="25">
        <v>120</v>
      </c>
      <c r="D120" s="25">
        <v>8</v>
      </c>
      <c r="E120" s="25" t="s">
        <v>761</v>
      </c>
      <c r="F120" s="115" t="str">
        <f>HYPERLINK("https://www.suara.com/bisnis/2019/05/17/144923/info-mudik-2019-fasilitas-rest-area-tol-kanci-pejagaan-km-228a ","sumber")</f>
        <v>sumber</v>
      </c>
      <c r="G120" s="115" t="str">
        <f>HYPERLINK("https://drive.google.com/open?id=1zZu238wjhvyg5Z8t6hk7295JUGCR356s","lokasi")</f>
        <v>lokasi</v>
      </c>
      <c r="H120" s="25">
        <v>504</v>
      </c>
      <c r="I120" s="26"/>
      <c r="J120" s="26"/>
      <c r="K120" s="124"/>
      <c r="L120" s="26"/>
      <c r="M120" s="26"/>
      <c r="N120" s="26"/>
      <c r="O120" s="26"/>
      <c r="P120" s="26"/>
      <c r="Q120" s="26"/>
      <c r="R120" s="26"/>
      <c r="S120" s="124"/>
      <c r="T120" s="26"/>
      <c r="U120" s="26"/>
      <c r="V120" s="26"/>
      <c r="W120" s="26"/>
      <c r="X120" s="26"/>
      <c r="Y120" s="26"/>
    </row>
    <row r="121" spans="1:25" ht="13.2">
      <c r="A121" s="21">
        <v>2</v>
      </c>
      <c r="B121" s="25" t="s">
        <v>4179</v>
      </c>
      <c r="C121" s="25">
        <v>121</v>
      </c>
      <c r="D121" s="25">
        <v>8</v>
      </c>
      <c r="E121" s="25" t="s">
        <v>205</v>
      </c>
      <c r="F121" s="115" t="str">
        <f>HYPERLINK("https://www.suara.com/news/2019/05/21/123555/setara-institute-nilai-aksi-people-power-ke-jalan-cacat-prosedural ","sumber")</f>
        <v>sumber</v>
      </c>
      <c r="G121" s="115" t="str">
        <f>HYPERLINK("https://drive.google.com/open?id=1mxxPyJ4OrXdKMQQ-bRc8R4XjgVx1Jbtu","lokasi")</f>
        <v>lokasi</v>
      </c>
      <c r="H121" s="25">
        <v>514</v>
      </c>
      <c r="I121" s="26"/>
      <c r="J121" s="26"/>
      <c r="K121" s="124"/>
      <c r="L121" s="26"/>
      <c r="M121" s="26"/>
      <c r="N121" s="26"/>
      <c r="O121" s="26"/>
      <c r="P121" s="26"/>
      <c r="Q121" s="26"/>
      <c r="R121" s="26"/>
      <c r="S121" s="124"/>
      <c r="T121" s="26"/>
      <c r="U121" s="26"/>
      <c r="V121" s="26"/>
      <c r="W121" s="26"/>
      <c r="X121" s="26"/>
      <c r="Y121" s="26"/>
    </row>
    <row r="122" spans="1:25" ht="13.2">
      <c r="A122" s="188">
        <v>1</v>
      </c>
      <c r="B122" s="22" t="s">
        <v>4180</v>
      </c>
      <c r="C122" s="22">
        <v>122</v>
      </c>
      <c r="D122" s="22">
        <v>8</v>
      </c>
      <c r="E122" s="22" t="s">
        <v>2181</v>
      </c>
      <c r="F122" s="121" t="str">
        <f>HYPERLINK("https://www.suara.com/entertainment/2019/05/29/200000/ledek-titiek-soeharto-nikita-mirzani-kan-sama-sama-janda ","sumber")</f>
        <v>sumber</v>
      </c>
      <c r="G122" s="121" t="str">
        <f>HYPERLINK("https://drive.google.com/open?id=15IbYbLXknihSMqUVDO9qIq1Jtenj2VNN","lokasi")</f>
        <v>lokasi</v>
      </c>
      <c r="H122" s="22">
        <v>306</v>
      </c>
      <c r="I122" s="22">
        <v>1</v>
      </c>
      <c r="J122" s="22">
        <v>1</v>
      </c>
      <c r="K122" s="123" t="s">
        <v>4181</v>
      </c>
      <c r="L122" s="22">
        <v>0</v>
      </c>
      <c r="M122" s="22">
        <v>-1</v>
      </c>
      <c r="N122" s="125">
        <v>0</v>
      </c>
      <c r="O122" s="22">
        <v>0</v>
      </c>
      <c r="P122" s="22">
        <v>0</v>
      </c>
      <c r="Q122" s="22">
        <v>0</v>
      </c>
      <c r="R122" s="22">
        <v>-1</v>
      </c>
      <c r="S122" s="134"/>
      <c r="T122" s="22">
        <v>0</v>
      </c>
      <c r="U122" s="22">
        <v>-1</v>
      </c>
      <c r="V122" s="22">
        <v>0</v>
      </c>
      <c r="W122" s="23"/>
      <c r="X122" s="23"/>
      <c r="Y122" s="23"/>
    </row>
    <row r="123" spans="1:25" ht="13.2">
      <c r="A123" s="21">
        <v>2</v>
      </c>
      <c r="B123" s="25" t="s">
        <v>4182</v>
      </c>
      <c r="C123" s="25">
        <v>123</v>
      </c>
      <c r="D123" s="25">
        <v>4</v>
      </c>
      <c r="E123" s="25" t="s">
        <v>180</v>
      </c>
      <c r="F123" s="115" t="str">
        <f>HYPERLINK("https://www.liputan6.com/news/read/3980458/utbk-2019-selesai-pengumuman-hasil-dapat-dilihat-di-laman-ini ","sumber")</f>
        <v>sumber</v>
      </c>
      <c r="G123" s="115" t="str">
        <f>HYPERLINK("https://drive.google.com/open?id=1bo65Q19xQTgxb0Knm394l6Cd-RdY7Tvn","lokasi")</f>
        <v>lokasi</v>
      </c>
      <c r="H123" s="25">
        <v>369</v>
      </c>
      <c r="I123" s="26"/>
      <c r="J123" s="26"/>
      <c r="K123" s="124"/>
      <c r="L123" s="26"/>
      <c r="M123" s="26"/>
      <c r="N123" s="26"/>
      <c r="O123" s="26"/>
      <c r="P123" s="26"/>
      <c r="Q123" s="26"/>
      <c r="R123" s="26"/>
      <c r="S123" s="124"/>
      <c r="T123" s="26"/>
      <c r="U123" s="26"/>
      <c r="V123" s="26"/>
      <c r="W123" s="26"/>
      <c r="X123" s="26"/>
      <c r="Y123" s="26"/>
    </row>
    <row r="124" spans="1:25" ht="13.2">
      <c r="A124" s="21">
        <v>2</v>
      </c>
      <c r="B124" s="25" t="s">
        <v>4183</v>
      </c>
      <c r="C124" s="25">
        <v>124</v>
      </c>
      <c r="D124" s="25">
        <v>8</v>
      </c>
      <c r="E124" s="234">
        <v>43471</v>
      </c>
      <c r="F124" s="115" t="str">
        <f>HYPERLINK("https://www.suara.com/tekno/2019/06/01/202057/kemenhub-siapkan-aturan-recall-kendaraan ","sumber")</f>
        <v>sumber</v>
      </c>
      <c r="G124" s="115" t="str">
        <f>HYPERLINK("https://drive.google.com/open?id=1alPYWxep2E2A0AgD9RZ1UmdRm3ceDlx_","lokasi")</f>
        <v>lokasi</v>
      </c>
      <c r="H124" s="25">
        <v>372</v>
      </c>
      <c r="I124" s="26"/>
      <c r="J124" s="26"/>
      <c r="K124" s="124"/>
      <c r="L124" s="26"/>
      <c r="M124" s="26"/>
      <c r="N124" s="26"/>
      <c r="O124" s="26"/>
      <c r="P124" s="26"/>
      <c r="Q124" s="26"/>
      <c r="R124" s="26"/>
      <c r="S124" s="124"/>
      <c r="T124" s="26"/>
      <c r="U124" s="26"/>
      <c r="V124" s="26"/>
      <c r="W124" s="26"/>
      <c r="X124" s="26"/>
      <c r="Y124" s="26"/>
    </row>
    <row r="125" spans="1:25" ht="13.2">
      <c r="A125" s="188">
        <v>1</v>
      </c>
      <c r="B125" s="22" t="s">
        <v>3140</v>
      </c>
      <c r="C125" s="22">
        <v>125</v>
      </c>
      <c r="D125" s="22">
        <v>6</v>
      </c>
      <c r="E125" s="222">
        <v>43714</v>
      </c>
      <c r="F125" s="121" t="str">
        <f>HYPERLINK("https://entertainment.kompas.com/read/2019/06/09/125736510/melompat-dari-panggung-jungkook-bts-temui-penonton-berkursi-roda ","sumber")</f>
        <v>sumber</v>
      </c>
      <c r="G125" s="121" t="str">
        <f>HYPERLINK("https://drive.google.com/open?id=1ormCfn8wqZEH-d0wtDIcNucVLW-gY-_E","lokasi")</f>
        <v>lokasi</v>
      </c>
      <c r="H125" s="22">
        <v>445</v>
      </c>
      <c r="I125" s="22">
        <v>2</v>
      </c>
      <c r="J125" s="22">
        <v>2</v>
      </c>
      <c r="K125" s="123" t="s">
        <v>4184</v>
      </c>
      <c r="L125" s="22">
        <v>-1</v>
      </c>
      <c r="M125" s="22">
        <v>0</v>
      </c>
      <c r="N125" s="125">
        <v>0</v>
      </c>
      <c r="O125" s="22">
        <v>0</v>
      </c>
      <c r="P125" s="22">
        <v>0</v>
      </c>
      <c r="Q125" s="22">
        <v>0</v>
      </c>
      <c r="R125" s="22">
        <v>1</v>
      </c>
      <c r="S125" s="134"/>
      <c r="T125" s="22">
        <v>0</v>
      </c>
      <c r="U125" s="22">
        <v>0</v>
      </c>
      <c r="V125" s="22">
        <v>0</v>
      </c>
      <c r="W125" s="23"/>
      <c r="X125" s="23"/>
      <c r="Y125" s="23"/>
    </row>
    <row r="126" spans="1:25" ht="13.2">
      <c r="A126" s="21">
        <v>2</v>
      </c>
      <c r="B126" s="25" t="s">
        <v>4185</v>
      </c>
      <c r="C126" s="25">
        <v>126</v>
      </c>
      <c r="D126" s="25">
        <v>5</v>
      </c>
      <c r="E126" s="234">
        <v>43805</v>
      </c>
      <c r="F126" s="115" t="str">
        <f>HYPERLINK("https://tirto.id/jppi-ptn-seharusnya-tak-do-mahasiswa-yang-terpapar-radikalisme-ecgk ","sumber")</f>
        <v>sumber</v>
      </c>
      <c r="G126" s="115" t="str">
        <f>HYPERLINK("https://drive.google.com/open?id=1IAX4eBqtjgHDf4SM1__FOxha1OIp3pbQ","lokasi")</f>
        <v>lokasi</v>
      </c>
      <c r="H126" s="25">
        <v>389</v>
      </c>
      <c r="I126" s="26"/>
      <c r="J126" s="26"/>
      <c r="K126" s="124"/>
      <c r="L126" s="26"/>
      <c r="M126" s="26"/>
      <c r="N126" s="26"/>
      <c r="O126" s="26"/>
      <c r="P126" s="26"/>
      <c r="Q126" s="26"/>
      <c r="R126" s="26"/>
      <c r="S126" s="124"/>
      <c r="T126" s="26"/>
      <c r="U126" s="26"/>
      <c r="V126" s="26"/>
      <c r="W126" s="26"/>
      <c r="X126" s="26"/>
      <c r="Y126" s="26"/>
    </row>
    <row r="127" spans="1:25" ht="13.2">
      <c r="A127" s="188">
        <v>1</v>
      </c>
      <c r="B127" s="22" t="s">
        <v>4186</v>
      </c>
      <c r="C127" s="22">
        <v>127</v>
      </c>
      <c r="D127" s="22">
        <v>10</v>
      </c>
      <c r="E127" s="22" t="s">
        <v>227</v>
      </c>
      <c r="F127" s="121" t="str">
        <f t="shared" ref="F127:F128" si="1">HYPERLINK("https://nasional.republika.co.id/berita/nasional/daerah/pt6w7g409/akui-sensen-sebagai-rasul-warga-garut-diamankan ","sumber")</f>
        <v>sumber</v>
      </c>
      <c r="G127" s="121" t="str">
        <f>HYPERLINK("https://drive.google.com/open?id=1SZO9vormTddLg2nljVHcGWv8oCiUufkg","lokasi")</f>
        <v>lokasi</v>
      </c>
      <c r="H127" s="22">
        <v>234</v>
      </c>
      <c r="I127" s="22">
        <v>2</v>
      </c>
      <c r="J127" s="22">
        <v>2</v>
      </c>
      <c r="K127" s="123" t="s">
        <v>4187</v>
      </c>
      <c r="L127" s="22">
        <v>-1</v>
      </c>
      <c r="M127" s="22">
        <v>0</v>
      </c>
      <c r="N127" s="22">
        <v>-1</v>
      </c>
      <c r="O127" s="22">
        <v>0</v>
      </c>
      <c r="P127" s="22">
        <v>-1</v>
      </c>
      <c r="Q127" s="22">
        <v>0</v>
      </c>
      <c r="R127" s="22">
        <v>1</v>
      </c>
      <c r="S127" s="134"/>
      <c r="T127" s="22">
        <v>0</v>
      </c>
      <c r="U127" s="22">
        <v>0</v>
      </c>
      <c r="V127" s="22">
        <v>0</v>
      </c>
      <c r="W127" s="23"/>
      <c r="X127" s="23"/>
      <c r="Y127" s="23"/>
    </row>
    <row r="128" spans="1:25" ht="13.2">
      <c r="A128" s="209">
        <v>1</v>
      </c>
      <c r="B128" s="132" t="s">
        <v>3150</v>
      </c>
      <c r="C128" s="33">
        <v>128</v>
      </c>
      <c r="D128" s="33">
        <v>9</v>
      </c>
      <c r="E128" s="33" t="s">
        <v>2370</v>
      </c>
      <c r="F128" s="130" t="str">
        <f t="shared" si="1"/>
        <v>sumber</v>
      </c>
      <c r="G128" s="130" t="str">
        <f>HYPERLINK("https://drive.google.com/open?id=1bmjuhjWTJOR-BGVO6v7zSSMaw-booru1","lokasi")</f>
        <v>lokasi</v>
      </c>
      <c r="H128" s="33">
        <v>371</v>
      </c>
      <c r="I128" s="33">
        <v>1</v>
      </c>
      <c r="J128" s="33">
        <v>2</v>
      </c>
      <c r="K128" s="131" t="s">
        <v>4188</v>
      </c>
      <c r="L128" s="33">
        <v>0</v>
      </c>
      <c r="M128" s="33">
        <v>-1</v>
      </c>
      <c r="N128" s="33">
        <v>0</v>
      </c>
      <c r="O128" s="33">
        <v>0</v>
      </c>
      <c r="P128" s="33">
        <v>0</v>
      </c>
      <c r="Q128" s="33">
        <v>0</v>
      </c>
      <c r="R128" s="33">
        <v>1</v>
      </c>
      <c r="S128" s="133"/>
      <c r="T128" s="33">
        <v>0</v>
      </c>
      <c r="U128" s="33">
        <v>0</v>
      </c>
      <c r="V128" s="33">
        <v>0</v>
      </c>
      <c r="W128" s="24"/>
      <c r="X128" s="24"/>
      <c r="Y128" s="24"/>
    </row>
    <row r="129" spans="1:25" ht="13.2">
      <c r="A129" s="209">
        <v>1</v>
      </c>
      <c r="B129" s="132" t="s">
        <v>4189</v>
      </c>
      <c r="C129" s="33">
        <v>129</v>
      </c>
      <c r="D129" s="33">
        <v>7</v>
      </c>
      <c r="E129" s="33" t="s">
        <v>2035</v>
      </c>
      <c r="F129" s="130" t="str">
        <f>HYPERLINK("http://www.tribunnews.com/regional/2019/06/24/kabar-terbaru-kecelakaan-tol-cipali-pria-yang-sebabkan-tabrakan-positif-gangguan-jiwa ","sumber")</f>
        <v>sumber</v>
      </c>
      <c r="G129" s="130" t="str">
        <f>HYPERLINK("https://drive.google.com/open?id=1OWsDbYvPve-JKBBxWG_6Vl3OmRLMKJVw","lokasi")</f>
        <v>lokasi</v>
      </c>
      <c r="H129" s="33">
        <v>235</v>
      </c>
      <c r="I129" s="33">
        <v>1</v>
      </c>
      <c r="J129" s="33">
        <v>2</v>
      </c>
      <c r="K129" s="131" t="s">
        <v>4190</v>
      </c>
      <c r="L129" s="33">
        <v>0</v>
      </c>
      <c r="M129" s="33">
        <v>-1</v>
      </c>
      <c r="N129" s="33">
        <v>-1</v>
      </c>
      <c r="O129" s="33">
        <v>0</v>
      </c>
      <c r="P129" s="33">
        <v>0</v>
      </c>
      <c r="Q129" s="33">
        <v>0</v>
      </c>
      <c r="R129" s="33">
        <v>-1</v>
      </c>
      <c r="S129" s="133"/>
      <c r="T129" s="33">
        <v>0</v>
      </c>
      <c r="U129" s="33">
        <v>0</v>
      </c>
      <c r="V129" s="33">
        <v>0</v>
      </c>
      <c r="W129" s="24"/>
      <c r="X129" s="24"/>
      <c r="Y129" s="24"/>
    </row>
    <row r="130" spans="1:25" ht="13.2">
      <c r="A130" s="21">
        <v>2</v>
      </c>
      <c r="B130" s="25" t="s">
        <v>2198</v>
      </c>
      <c r="C130" s="25">
        <v>130</v>
      </c>
      <c r="D130" s="25">
        <v>7</v>
      </c>
      <c r="E130" s="25" t="s">
        <v>382</v>
      </c>
      <c r="F130" s="115" t="str">
        <f>HYPERLINK("http://www.tribunnews.com/seleb/2019/06/18/cium-putrinya-di-tempat-umum-david-beckham-kembali-tuai-kontroversi ","sumber")</f>
        <v>sumber</v>
      </c>
      <c r="G130" s="115" t="str">
        <f>HYPERLINK("https://drive.google.com/open?id=1aGMQ8KLF1Pt0TaSQHtmhTwye4QvT1wgM","lokasi")</f>
        <v>lokasi</v>
      </c>
      <c r="H130" s="25">
        <v>112</v>
      </c>
      <c r="I130" s="26"/>
      <c r="J130" s="26"/>
      <c r="K130" s="124"/>
      <c r="L130" s="26"/>
      <c r="M130" s="26"/>
      <c r="N130" s="26"/>
      <c r="O130" s="26"/>
      <c r="P130" s="26"/>
      <c r="Q130" s="26"/>
      <c r="R130" s="26"/>
      <c r="S130" s="124"/>
      <c r="T130" s="26"/>
      <c r="U130" s="26"/>
      <c r="V130" s="26"/>
      <c r="W130" s="26"/>
      <c r="X130" s="26"/>
      <c r="Y130" s="26"/>
    </row>
    <row r="131" spans="1:25" ht="13.2">
      <c r="A131" s="188">
        <v>1</v>
      </c>
      <c r="B131" s="22" t="s">
        <v>4191</v>
      </c>
      <c r="C131" s="22">
        <v>131</v>
      </c>
      <c r="D131" s="22">
        <v>7</v>
      </c>
      <c r="E131" s="22" t="s">
        <v>575</v>
      </c>
      <c r="F131" s="121" t="str">
        <f>HYPERLINK("http://www.tribunnews.com/regional/2019/06/19/demi-nafkahi-keluarganya-pak-setu-rela-merangkak-dengan-tangan-sambil-berjualan-balon-sejauh-45-km ","sumber")</f>
        <v>sumber</v>
      </c>
      <c r="G131" s="121" t="str">
        <f>HYPERLINK("https://drive.google.com/open?id=192WJiLIqgDF2ql8B_V92tbBg2ll04teT","lokasi")</f>
        <v>lokasi</v>
      </c>
      <c r="H131" s="22">
        <v>157</v>
      </c>
      <c r="I131" s="22">
        <v>2</v>
      </c>
      <c r="J131" s="22">
        <v>2</v>
      </c>
      <c r="K131" s="123"/>
      <c r="L131" s="22">
        <v>-1</v>
      </c>
      <c r="M131" s="22">
        <v>0</v>
      </c>
      <c r="N131" s="22">
        <v>-1</v>
      </c>
      <c r="O131" s="22">
        <v>0</v>
      </c>
      <c r="P131" s="22">
        <v>-1</v>
      </c>
      <c r="Q131" s="22"/>
      <c r="R131" s="22"/>
      <c r="S131" s="134"/>
      <c r="T131" s="22">
        <v>0</v>
      </c>
      <c r="U131" s="22">
        <v>0</v>
      </c>
      <c r="V131" s="22">
        <v>0</v>
      </c>
      <c r="W131" s="23"/>
      <c r="X131" s="23"/>
      <c r="Y131" s="23"/>
    </row>
    <row r="132" spans="1:25" ht="13.2">
      <c r="A132" s="21">
        <v>2</v>
      </c>
      <c r="B132" s="25" t="s">
        <v>577</v>
      </c>
      <c r="C132" s="25">
        <v>132</v>
      </c>
      <c r="D132" s="25">
        <v>9</v>
      </c>
      <c r="E132" s="25" t="s">
        <v>220</v>
      </c>
      <c r="F132" s="115" t="str">
        <f>HYPERLINK("https://senggang.republika.co.id/berita/senggang/film/ptf73x459/ltemgttoy-story-4ltemgt-perjalanan-woody-dan-teman-baru ","sumber")</f>
        <v>sumber</v>
      </c>
      <c r="G132" s="115" t="str">
        <f>HYPERLINK("https://drive.google.com/open?id=1sNxTSVH0suoMSItuSiphMOqTvI13CP0U","lokasi")</f>
        <v>lokasi</v>
      </c>
      <c r="H132" s="25">
        <v>260</v>
      </c>
      <c r="I132" s="26"/>
      <c r="J132" s="26"/>
      <c r="K132" s="124"/>
      <c r="L132" s="26"/>
      <c r="M132" s="26"/>
      <c r="N132" s="26"/>
      <c r="O132" s="26"/>
      <c r="P132" s="26"/>
      <c r="Q132" s="26"/>
      <c r="R132" s="26"/>
      <c r="S132" s="124"/>
      <c r="T132" s="26"/>
      <c r="U132" s="26"/>
      <c r="V132" s="26"/>
      <c r="W132" s="26"/>
      <c r="X132" s="26"/>
      <c r="Y132" s="26"/>
    </row>
    <row r="133" spans="1:25" ht="13.2">
      <c r="A133" s="21">
        <v>2</v>
      </c>
      <c r="B133" s="25" t="s">
        <v>4192</v>
      </c>
      <c r="C133" s="25">
        <v>133</v>
      </c>
      <c r="D133" s="25">
        <v>6</v>
      </c>
      <c r="E133" s="25" t="s">
        <v>2035</v>
      </c>
      <c r="F133" s="115" t="str">
        <f>HYPERLINK("https://entertainment.kompas.com/read/2019/06/24/185516710/pandji-pragiwaksono-tak-khawatir-bawakan-materi-stand-up-tentang ","sumber")</f>
        <v>sumber</v>
      </c>
      <c r="G133" s="115" t="str">
        <f>HYPERLINK("https://drive.google.com/open?id=1d42CHtwNyDQjZN1vj5ph36PVAN60vFNO","lokasi")</f>
        <v>lokasi</v>
      </c>
      <c r="H133" s="25">
        <v>242</v>
      </c>
      <c r="I133" s="26"/>
      <c r="J133" s="26"/>
      <c r="K133" s="124"/>
      <c r="L133" s="26"/>
      <c r="M133" s="26"/>
      <c r="N133" s="26"/>
      <c r="O133" s="26"/>
      <c r="P133" s="26"/>
      <c r="Q133" s="26"/>
      <c r="R133" s="26"/>
      <c r="S133" s="124"/>
      <c r="T133" s="26"/>
      <c r="U133" s="26"/>
      <c r="V133" s="26"/>
      <c r="W133" s="26"/>
      <c r="X133" s="26"/>
      <c r="Y133" s="26"/>
    </row>
    <row r="134" spans="1:25" ht="13.2">
      <c r="A134" s="209">
        <v>1</v>
      </c>
      <c r="B134" s="132" t="s">
        <v>4193</v>
      </c>
      <c r="C134" s="33">
        <v>134</v>
      </c>
      <c r="D134" s="33">
        <v>3</v>
      </c>
      <c r="E134" s="288">
        <v>43744</v>
      </c>
      <c r="F134" s="130" t="str">
        <f>HYPERLINK("https://news.okezone.com/read/2019/06/10/338/2065040/pedagang-sayuran-tewas-ditusuk-orang-gila ","sumber")</f>
        <v>sumber</v>
      </c>
      <c r="G134" s="130" t="str">
        <f>HYPERLINK("https://drive.google.com/open?id=1n-wzTrGZJV3e71ynz_i8EYqbgcOc4mE-","lokasi")</f>
        <v>lokasi</v>
      </c>
      <c r="H134" s="33">
        <v>432</v>
      </c>
      <c r="I134" s="33">
        <v>1</v>
      </c>
      <c r="J134" s="33">
        <v>2</v>
      </c>
      <c r="K134" s="131" t="s">
        <v>4194</v>
      </c>
      <c r="L134" s="33">
        <v>0</v>
      </c>
      <c r="M134" s="33">
        <v>-1</v>
      </c>
      <c r="N134" s="33">
        <v>-1</v>
      </c>
      <c r="O134" s="33">
        <v>0</v>
      </c>
      <c r="P134" s="33">
        <v>-1</v>
      </c>
      <c r="Q134" s="33" t="s">
        <v>29</v>
      </c>
      <c r="R134" s="33" t="s">
        <v>29</v>
      </c>
      <c r="S134" s="133"/>
      <c r="T134" s="33">
        <v>0</v>
      </c>
      <c r="U134" s="33">
        <v>0</v>
      </c>
      <c r="V134" s="33">
        <v>0</v>
      </c>
      <c r="W134" s="24"/>
      <c r="X134" s="24"/>
      <c r="Y134" s="24"/>
    </row>
    <row r="135" spans="1:25" ht="13.2">
      <c r="A135" s="209">
        <v>1</v>
      </c>
      <c r="B135" s="33" t="s">
        <v>4195</v>
      </c>
      <c r="C135" s="33">
        <v>135</v>
      </c>
      <c r="D135" s="33">
        <v>4</v>
      </c>
      <c r="E135" s="288">
        <v>43561</v>
      </c>
      <c r="F135" s="130" t="str">
        <f>HYPERLINK("https://www.liputan6.com/health/read/3983076/mudik-naik-kapal-motor-penyandang-disabilitas-ini-kesulitan-ke-toilet ","sumber")</f>
        <v>sumber</v>
      </c>
      <c r="G135" s="130" t="str">
        <f>HYPERLINK("https://drive.google.com/open?id=14XBotNmgaqG2PWyY3Ou1SDvC5vTFshfa","lokasi")</f>
        <v>lokasi</v>
      </c>
      <c r="H135" s="33">
        <v>305</v>
      </c>
      <c r="I135" s="33">
        <v>2</v>
      </c>
      <c r="J135" s="33">
        <v>2</v>
      </c>
      <c r="K135" s="131" t="s">
        <v>4196</v>
      </c>
      <c r="L135" s="33">
        <v>0</v>
      </c>
      <c r="M135" s="33">
        <v>0</v>
      </c>
      <c r="N135" s="132">
        <v>0</v>
      </c>
      <c r="O135" s="33">
        <v>0</v>
      </c>
      <c r="P135" s="33">
        <v>0</v>
      </c>
      <c r="Q135" s="33">
        <v>2</v>
      </c>
      <c r="R135" s="33">
        <v>1</v>
      </c>
      <c r="S135" s="133"/>
      <c r="T135" s="33">
        <v>0</v>
      </c>
      <c r="U135" s="33">
        <v>0</v>
      </c>
      <c r="V135" s="33">
        <v>0</v>
      </c>
      <c r="W135" s="24"/>
      <c r="X135" s="24"/>
      <c r="Y135" s="24"/>
    </row>
    <row r="136" spans="1:25" ht="13.2">
      <c r="A136" s="209">
        <v>1</v>
      </c>
      <c r="B136" s="132" t="s">
        <v>4197</v>
      </c>
      <c r="C136" s="33">
        <v>136</v>
      </c>
      <c r="D136" s="33">
        <v>8</v>
      </c>
      <c r="E136" s="33" t="s">
        <v>799</v>
      </c>
      <c r="F136" s="130" t="str">
        <f>HYPERLINK("https://www.suara.com/health/2019/06/20/094837/zonasi-sekolah-disambut-baik-difabel-ini-syarat-siswa-berkebutuhan-khusus ","sumber")</f>
        <v>sumber</v>
      </c>
      <c r="G136" s="130" t="str">
        <f>HYPERLINK("https://drive.google.com/open?id=15UhOyFyM0NkS0_Klx00mF-8ubGj1qHME","lokasi")</f>
        <v>lokasi</v>
      </c>
      <c r="H136" s="33">
        <v>255</v>
      </c>
      <c r="I136" s="33">
        <v>4</v>
      </c>
      <c r="J136" s="33">
        <v>2</v>
      </c>
      <c r="K136" s="131" t="s">
        <v>4198</v>
      </c>
      <c r="L136" s="33">
        <v>0</v>
      </c>
      <c r="M136" s="33">
        <v>0</v>
      </c>
      <c r="N136" s="132">
        <v>0</v>
      </c>
      <c r="O136" s="33">
        <v>0</v>
      </c>
      <c r="P136" s="33">
        <v>-1</v>
      </c>
      <c r="Q136" s="33" t="s">
        <v>210</v>
      </c>
      <c r="R136" s="33" t="s">
        <v>360</v>
      </c>
      <c r="S136" s="133"/>
      <c r="T136" s="33">
        <v>0</v>
      </c>
      <c r="U136" s="33">
        <v>0</v>
      </c>
      <c r="V136" s="33">
        <v>1</v>
      </c>
      <c r="W136" s="24"/>
      <c r="X136" s="24"/>
      <c r="Y136" s="24"/>
    </row>
    <row r="137" spans="1:25" ht="13.2">
      <c r="A137" s="21">
        <v>2</v>
      </c>
      <c r="B137" s="25" t="s">
        <v>588</v>
      </c>
      <c r="C137" s="25">
        <v>137</v>
      </c>
      <c r="D137" s="25">
        <v>10</v>
      </c>
      <c r="E137" s="25" t="s">
        <v>589</v>
      </c>
      <c r="F137" s="115" t="str">
        <f>HYPERLINK("https://dunia.tempo.co/read/1219790/festival-yulin-di-cina-saat-jutaan-anjing-dikonsumsi ","sumber")</f>
        <v>sumber</v>
      </c>
      <c r="G137" s="115" t="str">
        <f>HYPERLINK("https://drive.google.com/open?id=1QzrFIGBTcAMD0YsY_cfJN8v1n6El_CIO","lokasi")</f>
        <v>lokasi</v>
      </c>
      <c r="H137" s="25">
        <v>378</v>
      </c>
      <c r="I137" s="26"/>
      <c r="J137" s="26"/>
      <c r="K137" s="124"/>
      <c r="L137" s="26"/>
      <c r="M137" s="26"/>
      <c r="N137" s="26"/>
      <c r="O137" s="26"/>
      <c r="P137" s="26"/>
      <c r="Q137" s="26"/>
      <c r="R137" s="26"/>
      <c r="S137" s="124"/>
      <c r="T137" s="26"/>
      <c r="U137" s="26"/>
      <c r="V137" s="26"/>
      <c r="W137" s="26"/>
      <c r="X137" s="26"/>
      <c r="Y137" s="26"/>
    </row>
    <row r="138" spans="1:25" ht="13.2">
      <c r="A138" s="209">
        <v>1</v>
      </c>
      <c r="B138" s="132" t="s">
        <v>4199</v>
      </c>
      <c r="C138" s="33">
        <v>138</v>
      </c>
      <c r="D138" s="33">
        <v>3</v>
      </c>
      <c r="E138" s="33" t="s">
        <v>610</v>
      </c>
      <c r="F138" s="130" t="str">
        <f>HYPERLINK("https://news.okezone.com/read/2019/07/22/340/2082045/lbh-padang-bawa-kasus-dokter-gigi-ditolak-jadi-pns-karena-disabilitas-ke-ptun ","sumber")</f>
        <v>sumber</v>
      </c>
      <c r="G138" s="130" t="str">
        <f>HYPERLINK("https://drive.google.com/open?id=1acf-V8lOsLztLAfcMMltTT9LxBsFxVZV","lokasi")</f>
        <v>lokasi</v>
      </c>
      <c r="H138" s="33">
        <v>549</v>
      </c>
      <c r="I138" s="33">
        <v>1</v>
      </c>
      <c r="J138" s="33">
        <v>2</v>
      </c>
      <c r="K138" s="131" t="s">
        <v>4200</v>
      </c>
      <c r="L138" s="33">
        <v>0</v>
      </c>
      <c r="M138" s="33">
        <v>-1</v>
      </c>
      <c r="N138" s="132">
        <v>0</v>
      </c>
      <c r="O138" s="33">
        <v>0</v>
      </c>
      <c r="P138" s="33">
        <v>0</v>
      </c>
      <c r="Q138" s="33">
        <v>0</v>
      </c>
      <c r="R138" s="33">
        <v>1</v>
      </c>
      <c r="S138" s="133"/>
      <c r="T138" s="33">
        <v>0</v>
      </c>
      <c r="U138" s="33">
        <v>0</v>
      </c>
      <c r="V138" s="33">
        <v>0</v>
      </c>
      <c r="W138" s="24"/>
      <c r="X138" s="24"/>
      <c r="Y138" s="24"/>
    </row>
    <row r="139" spans="1:25" ht="13.2">
      <c r="A139" s="209">
        <v>1</v>
      </c>
      <c r="B139" s="132" t="s">
        <v>1317</v>
      </c>
      <c r="C139" s="33">
        <v>139</v>
      </c>
      <c r="D139" s="33">
        <v>8</v>
      </c>
      <c r="E139" s="288">
        <v>43472</v>
      </c>
      <c r="F139" s="130" t="str">
        <f>HYPERLINK("https://www.suara.com/health/2019/07/01/180000/pentingnya-ikut-kelas-zumba-bagi-anak-dengan-gangguan-spektrum-autisme ","sumber")</f>
        <v>sumber</v>
      </c>
      <c r="G139" s="130" t="str">
        <f>HYPERLINK("https://drive.google.com/open?id=1GSqFo6YqsIcMdUS048WKOP2eMJ5WdQsa","lokasi")</f>
        <v>lokasi</v>
      </c>
      <c r="H139" s="33">
        <v>427</v>
      </c>
      <c r="I139" s="33">
        <v>2</v>
      </c>
      <c r="J139" s="33">
        <v>2</v>
      </c>
      <c r="K139" s="131" t="s">
        <v>4201</v>
      </c>
      <c r="L139" s="33">
        <v>0</v>
      </c>
      <c r="M139" s="33">
        <v>0</v>
      </c>
      <c r="N139" s="132">
        <v>0</v>
      </c>
      <c r="O139" s="33">
        <v>0</v>
      </c>
      <c r="P139" s="33">
        <v>0</v>
      </c>
      <c r="Q139" s="33" t="s">
        <v>29</v>
      </c>
      <c r="R139" s="33" t="s">
        <v>160</v>
      </c>
      <c r="S139" s="133"/>
      <c r="T139" s="33">
        <v>0</v>
      </c>
      <c r="U139" s="33">
        <v>0</v>
      </c>
      <c r="V139" s="33">
        <v>0</v>
      </c>
      <c r="W139" s="24"/>
      <c r="X139" s="24"/>
      <c r="Y139" s="24"/>
    </row>
    <row r="140" spans="1:25" ht="13.2">
      <c r="A140" s="209">
        <v>1</v>
      </c>
      <c r="B140" s="132" t="s">
        <v>4202</v>
      </c>
      <c r="C140" s="33">
        <v>140</v>
      </c>
      <c r="D140" s="33">
        <v>6</v>
      </c>
      <c r="E140" s="288">
        <v>43806</v>
      </c>
      <c r="F140" s="130" t="str">
        <f>HYPERLINK("https://regional.kompas.com/read/2019/07/12/07000081/berbagi-nasi-bungkus-untuk-orang-gangguan-jiwa-tiap-jumat-tak-mundur-walau ","sumber")</f>
        <v>sumber</v>
      </c>
      <c r="G140" s="130" t="str">
        <f>HYPERLINK("https://drive.google.com/open?id=1Esn6d6XbxG0rWh-o_7Y_nBrfS0BDRxB1","lokasi")</f>
        <v>lokasi</v>
      </c>
      <c r="H140" s="33">
        <v>324</v>
      </c>
      <c r="I140" s="33">
        <v>3</v>
      </c>
      <c r="J140" s="33">
        <v>2</v>
      </c>
      <c r="K140" s="131" t="s">
        <v>4203</v>
      </c>
      <c r="L140" s="33">
        <v>0</v>
      </c>
      <c r="M140" s="33">
        <v>0</v>
      </c>
      <c r="N140" s="132">
        <v>0</v>
      </c>
      <c r="O140" s="33">
        <v>0</v>
      </c>
      <c r="P140" s="33">
        <v>0</v>
      </c>
      <c r="Q140" s="33" t="s">
        <v>29</v>
      </c>
      <c r="R140" s="33" t="s">
        <v>160</v>
      </c>
      <c r="S140" s="133"/>
      <c r="T140" s="33">
        <v>0</v>
      </c>
      <c r="U140" s="33">
        <v>0</v>
      </c>
      <c r="V140" s="33">
        <v>0</v>
      </c>
      <c r="W140" s="24"/>
      <c r="X140" s="24"/>
      <c r="Y140" s="24"/>
    </row>
    <row r="141" spans="1:25" ht="13.2">
      <c r="A141" s="21">
        <v>2</v>
      </c>
      <c r="B141" s="25" t="s">
        <v>1323</v>
      </c>
      <c r="C141" s="25">
        <v>141</v>
      </c>
      <c r="D141" s="25">
        <v>10</v>
      </c>
      <c r="E141" s="234">
        <v>43653</v>
      </c>
      <c r="F141" s="115" t="str">
        <f>HYPERLINK("https://sport.tempo.co/read/1221891/dikabarkan-bakal-jadi-menteri-begini-jawaban-ketua-kpsn ","sumber")</f>
        <v>sumber</v>
      </c>
      <c r="G141" s="115" t="str">
        <f>HYPERLINK("https://drive.google.com/open?id=10xOpFfYlCjf80CFDVsSS0irwGuEHwVX7","lokasi")</f>
        <v>lokasi</v>
      </c>
      <c r="H141" s="25">
        <v>151</v>
      </c>
      <c r="I141" s="26"/>
      <c r="J141" s="26"/>
      <c r="K141" s="124"/>
      <c r="L141" s="26"/>
      <c r="M141" s="26"/>
      <c r="N141" s="26"/>
      <c r="O141" s="26"/>
      <c r="P141" s="26"/>
      <c r="Q141" s="26"/>
      <c r="R141" s="26"/>
      <c r="S141" s="124"/>
      <c r="T141" s="26"/>
      <c r="U141" s="26"/>
      <c r="V141" s="26"/>
      <c r="W141" s="26"/>
      <c r="X141" s="26"/>
      <c r="Y141" s="26"/>
    </row>
    <row r="142" spans="1:25" ht="13.2">
      <c r="A142" s="209">
        <v>1</v>
      </c>
      <c r="B142" s="132" t="s">
        <v>4204</v>
      </c>
      <c r="C142" s="33">
        <v>142</v>
      </c>
      <c r="D142" s="33">
        <v>5</v>
      </c>
      <c r="E142" s="33" t="s">
        <v>2587</v>
      </c>
      <c r="F142" s="130" t="str">
        <f>HYPERLINK("https://tirto.id/hapus-kekerasan-anak-disabilitas-kemenpppa-anjurkan-pencegahan-efgZ ","sumber")</f>
        <v>sumber</v>
      </c>
      <c r="G142" s="130" t="str">
        <f>HYPERLINK("https://drive.google.com/open?id=1sw3A1MOSvlbslPPnE9Wg4OJbkRsco4By","lokasi")</f>
        <v>lokasi</v>
      </c>
      <c r="H142" s="33">
        <v>260</v>
      </c>
      <c r="I142" s="290">
        <v>4</v>
      </c>
      <c r="J142" s="33">
        <v>2</v>
      </c>
      <c r="K142" s="33" t="s">
        <v>4205</v>
      </c>
      <c r="L142" s="33">
        <v>0</v>
      </c>
      <c r="M142" s="33">
        <v>0</v>
      </c>
      <c r="N142" s="132">
        <v>0</v>
      </c>
      <c r="O142" s="33">
        <v>0</v>
      </c>
      <c r="P142" s="33">
        <v>0</v>
      </c>
      <c r="Q142" s="33">
        <v>0</v>
      </c>
      <c r="R142" s="33">
        <v>1</v>
      </c>
      <c r="S142" s="133"/>
      <c r="T142" s="33">
        <v>0</v>
      </c>
      <c r="U142" s="33">
        <v>0</v>
      </c>
      <c r="V142" s="33">
        <v>1</v>
      </c>
      <c r="W142" s="24"/>
      <c r="X142" s="24"/>
      <c r="Y142" s="24"/>
    </row>
    <row r="143" spans="1:25" ht="13.2">
      <c r="A143" s="209">
        <v>1</v>
      </c>
      <c r="B143" s="132" t="s">
        <v>4206</v>
      </c>
      <c r="C143" s="33">
        <v>143</v>
      </c>
      <c r="D143" s="33">
        <v>1</v>
      </c>
      <c r="E143" s="33" t="s">
        <v>261</v>
      </c>
      <c r="F143" s="130" t="str">
        <f>HYPERLINK("https://news.detik.com/abc-australia/d-4629246/pastor-india-yang-sebut-dosa-orangtua-sebabkan-autisme-batal-ke-australia ","sumber")</f>
        <v>sumber</v>
      </c>
      <c r="G143" s="130" t="str">
        <f>HYPERLINK("https://drive.google.com/open?id=1kNQakdUwkpbFlQY3D6xk8oo9d0r3leI0","lokasi")</f>
        <v>lokasi</v>
      </c>
      <c r="H143" s="33">
        <v>596</v>
      </c>
      <c r="I143" s="33">
        <v>1</v>
      </c>
      <c r="J143" s="33">
        <v>2</v>
      </c>
      <c r="K143" s="131" t="s">
        <v>4207</v>
      </c>
      <c r="L143" s="33">
        <v>0</v>
      </c>
      <c r="M143" s="33">
        <v>-1</v>
      </c>
      <c r="N143" s="132">
        <v>0</v>
      </c>
      <c r="O143" s="33">
        <v>0</v>
      </c>
      <c r="P143" s="33">
        <v>0</v>
      </c>
      <c r="Q143" s="33" t="s">
        <v>170</v>
      </c>
      <c r="R143" s="33" t="s">
        <v>4208</v>
      </c>
      <c r="S143" s="133"/>
      <c r="T143" s="33">
        <v>0</v>
      </c>
      <c r="U143" s="33">
        <v>0</v>
      </c>
      <c r="V143" s="33">
        <v>1</v>
      </c>
      <c r="W143" s="24"/>
      <c r="X143" s="24"/>
      <c r="Y143" s="24"/>
    </row>
    <row r="144" spans="1:25" ht="13.2">
      <c r="A144" s="188">
        <v>1</v>
      </c>
      <c r="B144" s="22" t="s">
        <v>4209</v>
      </c>
      <c r="C144" s="22">
        <v>144</v>
      </c>
      <c r="D144" s="22">
        <v>8</v>
      </c>
      <c r="E144" s="222">
        <v>43776</v>
      </c>
      <c r="F144" s="121" t="str">
        <f>HYPERLINK("https://www.suara.com/news/2019/07/11/154146/nonton-konser-pria-berkebutuhan-khusus-crowd-surfing-pakai-kursi-roda ","sumber")</f>
        <v>sumber</v>
      </c>
      <c r="G144" s="121" t="str">
        <f>HYPERLINK("https://drive.google.com/open?id=1PIPDaT9bax8PKomZ1LmERgQDld1_2ZwR","lokasi")</f>
        <v>lokasi</v>
      </c>
      <c r="H144" s="22">
        <v>259</v>
      </c>
      <c r="I144" s="22">
        <v>2</v>
      </c>
      <c r="J144" s="22">
        <v>2</v>
      </c>
      <c r="K144" s="291" t="s">
        <v>4210</v>
      </c>
      <c r="L144" s="22">
        <v>0</v>
      </c>
      <c r="M144" s="22">
        <v>0</v>
      </c>
      <c r="N144" s="22">
        <v>-1</v>
      </c>
      <c r="O144" s="22">
        <v>0</v>
      </c>
      <c r="P144" s="22">
        <v>0</v>
      </c>
      <c r="Q144" s="22">
        <v>2</v>
      </c>
      <c r="R144" s="22">
        <v>1</v>
      </c>
      <c r="S144" s="134"/>
      <c r="T144" s="22">
        <v>0</v>
      </c>
      <c r="U144" s="22">
        <v>0</v>
      </c>
      <c r="V144" s="22">
        <v>0</v>
      </c>
      <c r="W144" s="23"/>
      <c r="X144" s="23"/>
      <c r="Y144" s="23"/>
    </row>
    <row r="145" spans="1:25" ht="13.2">
      <c r="A145" s="188">
        <v>1</v>
      </c>
      <c r="B145" s="22" t="s">
        <v>4211</v>
      </c>
      <c r="C145" s="22">
        <v>145</v>
      </c>
      <c r="D145" s="22">
        <v>5</v>
      </c>
      <c r="E145" s="22" t="s">
        <v>613</v>
      </c>
      <c r="F145" s="121" t="str">
        <f>HYPERLINK("https://tirto.id/belajar-bersikap-manusiawi-bersama-anak-dengan-down-syndrome-ed6A ","sumber")</f>
        <v>sumber</v>
      </c>
      <c r="G145" s="121" t="str">
        <f>HYPERLINK("https://drive.google.com/open?id=1mZLHm7zyZNaaJC51PHabgr6wqPl5fVWQ","lokasi")</f>
        <v>lokasi</v>
      </c>
      <c r="H145" s="22">
        <v>1303</v>
      </c>
      <c r="I145" s="22">
        <v>2</v>
      </c>
      <c r="J145" s="22">
        <v>2</v>
      </c>
      <c r="K145" s="185" t="s">
        <v>4212</v>
      </c>
      <c r="L145" s="22">
        <v>0</v>
      </c>
      <c r="M145" s="22">
        <v>0</v>
      </c>
      <c r="N145" s="125">
        <v>0</v>
      </c>
      <c r="O145" s="22">
        <v>0</v>
      </c>
      <c r="P145" s="22">
        <v>0</v>
      </c>
      <c r="Q145" s="22" t="s">
        <v>29</v>
      </c>
      <c r="R145" s="22" t="s">
        <v>160</v>
      </c>
      <c r="S145" s="134"/>
      <c r="T145" s="22">
        <v>0</v>
      </c>
      <c r="U145" s="22">
        <v>0</v>
      </c>
      <c r="V145" s="22">
        <v>0</v>
      </c>
      <c r="W145" s="23"/>
      <c r="X145" s="23"/>
      <c r="Y145" s="23"/>
    </row>
    <row r="146" spans="1:25" ht="13.2">
      <c r="A146" s="21">
        <v>2</v>
      </c>
      <c r="B146" s="25" t="s">
        <v>4213</v>
      </c>
      <c r="C146" s="25">
        <v>146</v>
      </c>
      <c r="D146" s="25">
        <v>6</v>
      </c>
      <c r="E146" s="25" t="s">
        <v>4214</v>
      </c>
      <c r="F146" s="115" t="str">
        <f>HYPERLINK("https://bola.kompas.com/read/2019/07/15/14323248/harry-maguire-jadi-jaminan-kokohnya-pertahanan-manchester-united ","sumber")</f>
        <v>sumber</v>
      </c>
      <c r="G146" s="115" t="str">
        <f>HYPERLINK("https://drive.google.com/open?id=1jIBbOM2XMSFMFbtrlPwZBjYfDHscx5e8","lokasi")</f>
        <v>lokasi</v>
      </c>
      <c r="H146" s="25">
        <v>280</v>
      </c>
      <c r="I146" s="26"/>
      <c r="J146" s="26"/>
      <c r="K146" s="124"/>
      <c r="L146" s="26"/>
      <c r="M146" s="26"/>
      <c r="N146" s="26"/>
      <c r="O146" s="26"/>
      <c r="P146" s="26"/>
      <c r="Q146" s="26"/>
      <c r="R146" s="26"/>
      <c r="S146" s="124"/>
      <c r="T146" s="26"/>
      <c r="U146" s="26"/>
      <c r="V146" s="26"/>
      <c r="W146" s="26"/>
      <c r="X146" s="26"/>
      <c r="Y146" s="26"/>
    </row>
    <row r="147" spans="1:25" ht="13.2">
      <c r="A147" s="209">
        <v>1</v>
      </c>
      <c r="B147" s="132" t="s">
        <v>4215</v>
      </c>
      <c r="C147" s="33">
        <v>147</v>
      </c>
      <c r="D147" s="33">
        <v>4</v>
      </c>
      <c r="E147" s="288">
        <v>43472</v>
      </c>
      <c r="F147" s="130" t="str">
        <f>HYPERLINK("https://www.liputan6.com/news/read/4002169/dewan-masjid-minta-umat-tak-terpancing-insiden-perempuan-bawa-anjing ","sumber")</f>
        <v>sumber</v>
      </c>
      <c r="G147" s="130" t="str">
        <f>HYPERLINK("https://drive.google.com/open?id=1XhSuu0Y_oXAVwXwYo6NQUIrk7ygupvdV","lokasi")</f>
        <v>lokasi</v>
      </c>
      <c r="H147" s="33">
        <v>728</v>
      </c>
      <c r="I147" s="33">
        <v>1</v>
      </c>
      <c r="J147" s="33">
        <v>2</v>
      </c>
      <c r="K147" s="131" t="s">
        <v>4216</v>
      </c>
      <c r="L147" s="33">
        <v>0</v>
      </c>
      <c r="M147" s="33">
        <v>1</v>
      </c>
      <c r="N147" s="132">
        <v>0</v>
      </c>
      <c r="O147" s="33">
        <v>0</v>
      </c>
      <c r="P147" s="33">
        <v>0</v>
      </c>
      <c r="Q147" s="33" t="s">
        <v>21</v>
      </c>
      <c r="R147" s="33" t="s">
        <v>514</v>
      </c>
      <c r="S147" s="133"/>
      <c r="T147" s="33">
        <v>0</v>
      </c>
      <c r="U147" s="33">
        <v>0</v>
      </c>
      <c r="V147" s="33">
        <v>1</v>
      </c>
      <c r="W147" s="24"/>
      <c r="X147" s="24"/>
      <c r="Y147" s="24"/>
    </row>
    <row r="148" spans="1:25" ht="13.2">
      <c r="A148" s="209">
        <v>1</v>
      </c>
      <c r="B148" s="132" t="s">
        <v>4217</v>
      </c>
      <c r="C148" s="33">
        <v>148</v>
      </c>
      <c r="D148" s="33">
        <v>8</v>
      </c>
      <c r="E148" s="33" t="s">
        <v>263</v>
      </c>
      <c r="F148" s="130" t="str">
        <f>HYPERLINK("https://www.suara.com/news/2019/07/24/231330/dokter-romi-dibatalkan-jadi-asn-ombudsman-panggil-bupati-solsel ","sumber")</f>
        <v>sumber</v>
      </c>
      <c r="G148" s="130" t="str">
        <f>HYPERLINK("https://drive.google.com/open?id=1c969iBdou89b326zoUINOwNveIBLGfMM","lokasi")</f>
        <v>lokasi</v>
      </c>
      <c r="H148" s="33">
        <v>280</v>
      </c>
      <c r="I148" s="33">
        <v>1</v>
      </c>
      <c r="J148" s="33">
        <v>2</v>
      </c>
      <c r="K148" s="131" t="s">
        <v>4218</v>
      </c>
      <c r="L148" s="33">
        <v>0</v>
      </c>
      <c r="M148" s="33">
        <v>-1</v>
      </c>
      <c r="N148" s="132">
        <v>0</v>
      </c>
      <c r="O148" s="33">
        <v>0</v>
      </c>
      <c r="P148" s="33">
        <v>0</v>
      </c>
      <c r="Q148" s="33" t="s">
        <v>87</v>
      </c>
      <c r="R148" s="33" t="s">
        <v>160</v>
      </c>
      <c r="S148" s="133"/>
      <c r="T148" s="33">
        <v>0</v>
      </c>
      <c r="U148" s="33">
        <v>0</v>
      </c>
      <c r="V148" s="33">
        <v>1</v>
      </c>
      <c r="W148" s="24"/>
      <c r="X148" s="24"/>
      <c r="Y148" s="24"/>
    </row>
    <row r="149" spans="1:25" ht="13.2">
      <c r="A149" s="188">
        <v>1</v>
      </c>
      <c r="B149" s="22" t="s">
        <v>3179</v>
      </c>
      <c r="C149" s="22">
        <v>149</v>
      </c>
      <c r="D149" s="22">
        <v>8</v>
      </c>
      <c r="E149" s="22" t="s">
        <v>2406</v>
      </c>
      <c r="F149" s="121" t="str">
        <f>HYPERLINK("https://jabar.suara.com/read/2019/07/19/212509/kondisi-wawan-game-mulai-membaik-sudah-tak-buang-hajat-sembarangan-lagi ","sumber")</f>
        <v>sumber</v>
      </c>
      <c r="G149" s="121" t="str">
        <f>HYPERLINK("https://drive.google.com/open?id=1Q0sqsg3yutkH6Ox_geOoYp6b48PL85l8","lokasi")</f>
        <v>lokasi</v>
      </c>
      <c r="H149" s="22">
        <v>348</v>
      </c>
      <c r="I149" s="22">
        <v>2</v>
      </c>
      <c r="J149" s="22">
        <v>2</v>
      </c>
      <c r="K149" s="123" t="s">
        <v>4219</v>
      </c>
      <c r="L149" s="22">
        <v>0</v>
      </c>
      <c r="M149" s="22">
        <v>0</v>
      </c>
      <c r="N149" s="22">
        <v>-1</v>
      </c>
      <c r="O149" s="22">
        <v>0</v>
      </c>
      <c r="P149" s="22">
        <v>0</v>
      </c>
      <c r="Q149" s="22" t="s">
        <v>29</v>
      </c>
      <c r="R149" s="22" t="s">
        <v>68</v>
      </c>
      <c r="S149" s="123" t="s">
        <v>2215</v>
      </c>
      <c r="T149" s="22">
        <v>1</v>
      </c>
      <c r="U149" s="22">
        <v>0</v>
      </c>
      <c r="V149" s="22">
        <v>0</v>
      </c>
      <c r="W149" s="23"/>
      <c r="X149" s="23"/>
      <c r="Y149" s="23"/>
    </row>
    <row r="150" spans="1:25" ht="13.2">
      <c r="A150" s="188">
        <v>1</v>
      </c>
      <c r="B150" s="22" t="s">
        <v>4220</v>
      </c>
      <c r="C150" s="22">
        <v>150</v>
      </c>
      <c r="D150" s="22">
        <v>7</v>
      </c>
      <c r="E150" s="22" t="s">
        <v>833</v>
      </c>
      <c r="F150" s="121" t="str">
        <f>HYPERLINK("https://www.tribunnews.com/regional/2019/07/21/diduga-alami-gangguan-jiwa-pria-di-cianjur-nekat-menggali-makam-ayahnya-dan-bawa-jasad-ke-rumah ","sumber")</f>
        <v>sumber</v>
      </c>
      <c r="G150" s="121" t="str">
        <f>HYPERLINK("https://drive.google.com/open?id=1OcEW3PKddgmjbso8wLJBX2YE_QkfVVKV","lokasi")</f>
        <v>lokasi</v>
      </c>
      <c r="H150" s="22">
        <v>116</v>
      </c>
      <c r="I150" s="22">
        <v>2</v>
      </c>
      <c r="J150" s="22">
        <v>2</v>
      </c>
      <c r="K150" s="123" t="s">
        <v>4221</v>
      </c>
      <c r="L150" s="22">
        <v>-1</v>
      </c>
      <c r="M150" s="22">
        <v>0</v>
      </c>
      <c r="N150" s="22">
        <v>-1</v>
      </c>
      <c r="O150" s="22">
        <v>0</v>
      </c>
      <c r="P150" s="22">
        <v>-1</v>
      </c>
      <c r="Q150" s="22" t="s">
        <v>29</v>
      </c>
      <c r="R150" s="22" t="s">
        <v>30</v>
      </c>
      <c r="S150" s="123" t="s">
        <v>4222</v>
      </c>
      <c r="T150" s="22">
        <v>1</v>
      </c>
      <c r="U150" s="22">
        <v>0</v>
      </c>
      <c r="V150" s="22">
        <v>0</v>
      </c>
      <c r="W150" s="23"/>
      <c r="X150" s="23"/>
      <c r="Y150" s="23"/>
    </row>
    <row r="151" spans="1:25" ht="13.2">
      <c r="A151" s="21">
        <v>2</v>
      </c>
      <c r="B151" s="25" t="s">
        <v>4223</v>
      </c>
      <c r="C151" s="25">
        <v>151</v>
      </c>
      <c r="D151" s="25">
        <v>2</v>
      </c>
      <c r="E151" s="25" t="s">
        <v>610</v>
      </c>
      <c r="F151" s="115" t="str">
        <f>HYPERLINK("https://www.cnnindonesia.com/nasional/20190722190438-20-414507/anies-soal-macet-cikini-itu-namanya-growing-pain ","sumber")</f>
        <v>sumber</v>
      </c>
      <c r="G151" s="115" t="str">
        <f t="shared" ref="G151:G152" si="2">HYPERLINK("https://drive.google.com/open?id=1DrWO0ESoNM-RgsIu6wL6_QcXwEebigfW","lokasi")</f>
        <v>lokasi</v>
      </c>
      <c r="H151" s="25">
        <v>335</v>
      </c>
      <c r="I151" s="26"/>
      <c r="J151" s="26"/>
      <c r="K151" s="124"/>
      <c r="L151" s="26"/>
      <c r="M151" s="26"/>
      <c r="N151" s="26"/>
      <c r="O151" s="26"/>
      <c r="P151" s="26"/>
      <c r="Q151" s="26"/>
      <c r="R151" s="26"/>
      <c r="S151" s="124"/>
      <c r="T151" s="26"/>
      <c r="U151" s="26"/>
      <c r="V151" s="26"/>
      <c r="W151" s="26"/>
      <c r="X151" s="26"/>
      <c r="Y151" s="26"/>
    </row>
    <row r="152" spans="1:25" ht="13.2">
      <c r="A152" s="188">
        <v>1</v>
      </c>
      <c r="B152" s="22" t="s">
        <v>4224</v>
      </c>
      <c r="C152" s="22">
        <v>152</v>
      </c>
      <c r="D152" s="22">
        <v>5</v>
      </c>
      <c r="E152" s="22" t="s">
        <v>263</v>
      </c>
      <c r="F152" s="121" t="str">
        <f>HYPERLINK("https://tirto.id/tragedi-telak-para-pelawak-eeUc ","sumber")</f>
        <v>sumber</v>
      </c>
      <c r="G152" s="121" t="str">
        <f t="shared" si="2"/>
        <v>lokasi</v>
      </c>
      <c r="H152" s="22">
        <v>1259</v>
      </c>
      <c r="I152" s="22">
        <v>2</v>
      </c>
      <c r="J152" s="22">
        <v>2</v>
      </c>
      <c r="K152" s="123" t="s">
        <v>4225</v>
      </c>
      <c r="L152" s="22">
        <v>0</v>
      </c>
      <c r="M152" s="22">
        <v>0</v>
      </c>
      <c r="N152" s="125">
        <v>0</v>
      </c>
      <c r="O152" s="22">
        <v>0</v>
      </c>
      <c r="P152" s="22">
        <v>0</v>
      </c>
      <c r="Q152" s="22" t="s">
        <v>57</v>
      </c>
      <c r="R152" s="22" t="s">
        <v>1026</v>
      </c>
      <c r="S152" s="134"/>
      <c r="T152" s="22">
        <v>0</v>
      </c>
      <c r="U152" s="22">
        <v>0</v>
      </c>
      <c r="V152" s="22">
        <v>0</v>
      </c>
      <c r="W152" s="23"/>
      <c r="X152" s="23"/>
      <c r="Y152" s="23"/>
    </row>
    <row r="153" spans="1:25" ht="13.2">
      <c r="A153" s="188">
        <v>1</v>
      </c>
      <c r="B153" s="22" t="s">
        <v>4226</v>
      </c>
      <c r="C153" s="22">
        <v>153</v>
      </c>
      <c r="D153" s="22">
        <v>2</v>
      </c>
      <c r="E153" s="22" t="s">
        <v>839</v>
      </c>
      <c r="F153" s="121" t="str">
        <f>HYPERLINK("https://www.cnnindonesia.com/nasional/20190725140204-20-415418/surat-dokter-gigi-romi-ke-jokowi-saya-mohon-keadilan ","sumber")</f>
        <v>sumber</v>
      </c>
      <c r="G153" s="121" t="str">
        <f>HYPERLINK("https://drive.google.com/open?id=1xsqfIK2M07FxGenDuQrqKvsKKlXRzTgR","lokasi")</f>
        <v>lokasi</v>
      </c>
      <c r="H153" s="22">
        <v>923</v>
      </c>
      <c r="I153" s="22">
        <v>4</v>
      </c>
      <c r="J153" s="22">
        <v>2</v>
      </c>
      <c r="K153" s="123" t="s">
        <v>4227</v>
      </c>
      <c r="L153" s="22">
        <v>0</v>
      </c>
      <c r="M153" s="22">
        <v>0</v>
      </c>
      <c r="N153" s="125">
        <v>0</v>
      </c>
      <c r="O153" s="22">
        <v>0</v>
      </c>
      <c r="P153" s="22">
        <v>0</v>
      </c>
      <c r="Q153" s="22" t="s">
        <v>21</v>
      </c>
      <c r="R153" s="22" t="s">
        <v>210</v>
      </c>
      <c r="S153" s="134"/>
      <c r="T153" s="22">
        <v>0</v>
      </c>
      <c r="U153" s="22">
        <v>0</v>
      </c>
      <c r="V153" s="22">
        <v>0</v>
      </c>
      <c r="W153" s="23"/>
      <c r="X153" s="23"/>
      <c r="Y153" s="23"/>
    </row>
    <row r="154" spans="1:25" ht="13.2">
      <c r="A154" s="21">
        <v>2</v>
      </c>
      <c r="B154" s="25" t="s">
        <v>4228</v>
      </c>
      <c r="C154" s="25">
        <v>154</v>
      </c>
      <c r="D154" s="25">
        <v>3</v>
      </c>
      <c r="E154" s="25" t="s">
        <v>839</v>
      </c>
      <c r="F154" s="115" t="str">
        <f>HYPERLINK("https://celebrity.okezone.com/read/2019/07/25/598/2083477/tayang-oktober-the-cw-bocorkan-penampakan-batwoman ","sumber")</f>
        <v>sumber</v>
      </c>
      <c r="G154" s="115" t="str">
        <f>HYPERLINK("https://drive.google.com/open?id=1tiKWtPLMhUKXo55w4wjwulvnRqoPM44e","lokasi")</f>
        <v>lokasi</v>
      </c>
      <c r="H154" s="25">
        <v>307</v>
      </c>
      <c r="I154" s="26"/>
      <c r="J154" s="26"/>
      <c r="K154" s="124"/>
      <c r="L154" s="26"/>
      <c r="M154" s="26"/>
      <c r="N154" s="26"/>
      <c r="O154" s="26"/>
      <c r="P154" s="26"/>
      <c r="Q154" s="26"/>
      <c r="R154" s="26"/>
      <c r="S154" s="124"/>
      <c r="T154" s="26"/>
      <c r="U154" s="26"/>
      <c r="V154" s="26"/>
      <c r="W154" s="26"/>
      <c r="X154" s="26"/>
      <c r="Y154" s="26"/>
    </row>
    <row r="155" spans="1:25" ht="13.2">
      <c r="A155" s="188">
        <v>1</v>
      </c>
      <c r="B155" s="22" t="s">
        <v>4229</v>
      </c>
      <c r="C155" s="22">
        <v>155</v>
      </c>
      <c r="D155" s="22">
        <v>9</v>
      </c>
      <c r="E155" s="22" t="s">
        <v>4083</v>
      </c>
      <c r="F155" s="121" t="str">
        <f>HYPERLINK("https://republika.co.id/berita/pvayz2415/pertamina-salurkan-mobil-ltemgthome-careltemgt-untuk-abk ","sumber")</f>
        <v>sumber</v>
      </c>
      <c r="G155" s="121" t="str">
        <f>HYPERLINK("https://drive.google.com/open?id=1c0irAm3hHfrX65E-pK_d6yfbYnHw2XuB","lokasi")</f>
        <v>lokasi</v>
      </c>
      <c r="H155" s="22">
        <v>346</v>
      </c>
      <c r="I155" s="22">
        <v>3</v>
      </c>
      <c r="J155" s="22">
        <v>2</v>
      </c>
      <c r="K155" s="123" t="s">
        <v>4230</v>
      </c>
      <c r="L155" s="22">
        <v>0</v>
      </c>
      <c r="M155" s="22">
        <v>0</v>
      </c>
      <c r="N155" s="125">
        <v>0</v>
      </c>
      <c r="O155" s="22">
        <v>0</v>
      </c>
      <c r="P155" s="22">
        <v>0</v>
      </c>
      <c r="Q155" s="22" t="s">
        <v>99</v>
      </c>
      <c r="R155" s="22" t="s">
        <v>360</v>
      </c>
      <c r="S155" s="134"/>
      <c r="T155" s="22">
        <v>0</v>
      </c>
      <c r="U155" s="22">
        <v>0</v>
      </c>
      <c r="V155" s="22">
        <v>0</v>
      </c>
      <c r="W155" s="23"/>
      <c r="X155" s="23"/>
      <c r="Y155" s="23"/>
    </row>
    <row r="156" spans="1:25" ht="13.2">
      <c r="A156" s="209">
        <v>1</v>
      </c>
      <c r="B156" s="132" t="s">
        <v>4231</v>
      </c>
      <c r="C156" s="33">
        <v>156</v>
      </c>
      <c r="D156" s="33">
        <v>9</v>
      </c>
      <c r="E156" s="33" t="s">
        <v>2423</v>
      </c>
      <c r="F156" s="130" t="str">
        <f>HYPERLINK("https://nasional.republika.co.id/berita/pvcxq8428/lembaga-disabilitas-yakin-dr-romi-bisa-menang-di-ptun ","sumber")</f>
        <v>sumber</v>
      </c>
      <c r="G156" s="130" t="str">
        <f>HYPERLINK("https://drive.google.com/open?id=19npmNpOMzLfDBz_PSwgfJo_tFG-PuH27","lokasi")</f>
        <v>lokasi</v>
      </c>
      <c r="H156" s="33">
        <v>74</v>
      </c>
      <c r="I156" s="33">
        <v>3</v>
      </c>
      <c r="J156" s="33">
        <v>2</v>
      </c>
      <c r="K156" s="131" t="s">
        <v>4232</v>
      </c>
      <c r="L156" s="33">
        <v>0</v>
      </c>
      <c r="M156" s="33">
        <v>0</v>
      </c>
      <c r="N156" s="132">
        <v>0</v>
      </c>
      <c r="O156" s="33">
        <v>0</v>
      </c>
      <c r="P156" s="33">
        <v>0</v>
      </c>
      <c r="Q156" s="33">
        <v>1</v>
      </c>
      <c r="R156" s="33">
        <v>1</v>
      </c>
      <c r="S156" s="133"/>
      <c r="T156" s="33">
        <v>0</v>
      </c>
      <c r="U156" s="33">
        <v>0</v>
      </c>
      <c r="V156" s="33">
        <v>1</v>
      </c>
      <c r="W156" s="24"/>
      <c r="X156" s="24"/>
      <c r="Y156" s="24"/>
    </row>
    <row r="157" spans="1:25" ht="13.2">
      <c r="A157" s="209">
        <v>1</v>
      </c>
      <c r="B157" s="132" t="s">
        <v>4233</v>
      </c>
      <c r="C157" s="33">
        <v>157</v>
      </c>
      <c r="D157" s="33">
        <v>9</v>
      </c>
      <c r="E157" s="33" t="s">
        <v>2423</v>
      </c>
      <c r="F157" s="130" t="str">
        <f>HYPERLINK("https://nasional.republika.co.id/berita/pvcjb8428/kementerian-pppa-advokasi-persoalan-drg-romi ","sumber")</f>
        <v>sumber</v>
      </c>
      <c r="G157" s="130" t="str">
        <f>HYPERLINK("https://drive.google.com/open?id=1xXX-sSWwheX9Wimy4YVxaMMXs40ux0iE","lokasi")</f>
        <v>lokasi</v>
      </c>
      <c r="H157" s="33">
        <v>71</v>
      </c>
      <c r="I157" s="33">
        <v>1</v>
      </c>
      <c r="J157" s="33">
        <v>2</v>
      </c>
      <c r="K157" s="131" t="s">
        <v>4234</v>
      </c>
      <c r="L157" s="33">
        <v>0</v>
      </c>
      <c r="M157" s="33">
        <v>1</v>
      </c>
      <c r="N157" s="132">
        <v>0</v>
      </c>
      <c r="O157" s="33">
        <v>0</v>
      </c>
      <c r="P157" s="33">
        <v>0</v>
      </c>
      <c r="Q157" s="33" t="s">
        <v>29</v>
      </c>
      <c r="R157" s="33" t="s">
        <v>68</v>
      </c>
      <c r="S157" s="133"/>
      <c r="T157" s="33">
        <v>0</v>
      </c>
      <c r="U157" s="33">
        <v>0</v>
      </c>
      <c r="V157" s="33">
        <v>1</v>
      </c>
      <c r="W157" s="24"/>
      <c r="X157" s="24"/>
      <c r="Y157" s="24"/>
    </row>
    <row r="158" spans="1:25" ht="13.2">
      <c r="A158" s="21">
        <v>2</v>
      </c>
      <c r="B158" s="25" t="s">
        <v>4235</v>
      </c>
      <c r="C158" s="25">
        <v>158</v>
      </c>
      <c r="D158" s="25">
        <v>3</v>
      </c>
      <c r="E158" s="234">
        <v>43473</v>
      </c>
      <c r="F158" s="115" t="str">
        <f>HYPERLINK("https://lifestyle.okezone.com/read/2019/08/01/196/2086539/menguak-fenomena-kesurupan-dari-kacamata-magis-hingga-psikologi ","sumber")</f>
        <v>sumber</v>
      </c>
      <c r="G158" s="115" t="str">
        <f>HYPERLINK("https://drive.google.com/open?id=1tC99caVhFK9EKFsNf2qm9Yi0a_UPjilq","lokasi")</f>
        <v>lokasi</v>
      </c>
      <c r="H158" s="25">
        <v>598</v>
      </c>
      <c r="I158" s="25"/>
      <c r="J158" s="25"/>
      <c r="K158" s="116"/>
      <c r="L158" s="25"/>
      <c r="M158" s="25"/>
      <c r="N158" s="25"/>
      <c r="O158" s="25"/>
      <c r="P158" s="25"/>
      <c r="Q158" s="25"/>
      <c r="R158" s="25"/>
      <c r="S158" s="116"/>
      <c r="T158" s="25"/>
      <c r="U158" s="25"/>
      <c r="V158" s="25"/>
      <c r="W158" s="26"/>
      <c r="X158" s="26"/>
      <c r="Y158" s="26"/>
    </row>
    <row r="159" spans="1:25" ht="13.2">
      <c r="A159" s="21">
        <v>2</v>
      </c>
      <c r="B159" s="25" t="s">
        <v>4236</v>
      </c>
      <c r="C159" s="25">
        <v>159</v>
      </c>
      <c r="D159" s="25">
        <v>7</v>
      </c>
      <c r="E159" s="234">
        <v>43716</v>
      </c>
      <c r="F159" s="115" t="str">
        <f>HYPERLINK("https://www.tribunnews.com/nasional/2019/08/09/kisah-haru-nyai-heni-istri-mbah-moen-dilarang-masuk-mala-lihat-pemakaman-dari-balik-pagar-besi ","sumber")</f>
        <v>sumber</v>
      </c>
      <c r="G159" s="115" t="str">
        <f>HYPERLINK("https://drive.google.com/open?id=1o5YPaVXwRNHYPYtg2s1eaTwn-ld4AJUg","lokasi")</f>
        <v>lokasi</v>
      </c>
      <c r="H159" s="25">
        <v>245</v>
      </c>
      <c r="I159" s="26"/>
      <c r="J159" s="26"/>
      <c r="K159" s="124"/>
      <c r="L159" s="26"/>
      <c r="M159" s="26"/>
      <c r="N159" s="26"/>
      <c r="O159" s="26"/>
      <c r="P159" s="26"/>
      <c r="Q159" s="26"/>
      <c r="R159" s="26"/>
      <c r="S159" s="124"/>
      <c r="T159" s="26"/>
      <c r="U159" s="26"/>
      <c r="V159" s="26"/>
      <c r="W159" s="26"/>
      <c r="X159" s="26"/>
      <c r="Y159" s="26"/>
    </row>
    <row r="160" spans="1:25" ht="13.2">
      <c r="A160" s="188">
        <v>1</v>
      </c>
      <c r="B160" s="22" t="s">
        <v>4237</v>
      </c>
      <c r="C160" s="22">
        <v>160</v>
      </c>
      <c r="D160" s="22">
        <v>1</v>
      </c>
      <c r="E160" s="222">
        <v>43746</v>
      </c>
      <c r="F160" s="121" t="str">
        <f>HYPERLINK("https://health.detik.com/berita-detikhealth/d-4659885/waspadai-begal-payudara-ini-cerita-mereka-yang-pernah-jadi-korban ","sumber")</f>
        <v>sumber</v>
      </c>
      <c r="G160" s="121" t="str">
        <f>HYPERLINK("https://drive.google.com/open?id=1_KLRYBPY-G19AcXYNGzQ3ogM-OuVGSCi","lokasi")</f>
        <v>lokasi</v>
      </c>
      <c r="H160" s="22">
        <v>405</v>
      </c>
      <c r="I160" s="22">
        <v>1</v>
      </c>
      <c r="J160" s="22">
        <v>1</v>
      </c>
      <c r="K160" s="123" t="s">
        <v>4238</v>
      </c>
      <c r="L160" s="22">
        <v>0</v>
      </c>
      <c r="M160" s="22">
        <v>1</v>
      </c>
      <c r="N160" s="125">
        <v>0</v>
      </c>
      <c r="O160" s="22">
        <v>1</v>
      </c>
      <c r="P160" s="22">
        <v>0</v>
      </c>
      <c r="Q160" s="22" t="s">
        <v>159</v>
      </c>
      <c r="R160" s="22" t="s">
        <v>160</v>
      </c>
      <c r="S160" s="134"/>
      <c r="T160" s="22">
        <v>0</v>
      </c>
      <c r="U160" s="22">
        <v>0</v>
      </c>
      <c r="V160" s="22">
        <v>1</v>
      </c>
      <c r="W160" s="23"/>
      <c r="X160" s="23"/>
      <c r="Y160" s="23"/>
    </row>
    <row r="161" spans="1:25" ht="13.2">
      <c r="A161" s="209">
        <v>1</v>
      </c>
      <c r="B161" s="132" t="s">
        <v>4239</v>
      </c>
      <c r="C161" s="33">
        <v>161</v>
      </c>
      <c r="D161" s="33">
        <v>8</v>
      </c>
      <c r="E161" s="288">
        <v>43746</v>
      </c>
      <c r="F161" s="130" t="str">
        <f>HYPERLINK("https://jateng.suara.com/read/2019/08/10/221112/idul-kurban-berkah-bagi-widjianto-penyandang-disabilitas-perajin-besek ","sumber")</f>
        <v>sumber</v>
      </c>
      <c r="G161" s="130" t="str">
        <f>HYPERLINK("https://drive.google.com/open?id=1Ex4rs8yzp1QlqFBdDwcGJbpqpRVKSDg-","lokasi")</f>
        <v>lokasi</v>
      </c>
      <c r="H161" s="33">
        <v>326</v>
      </c>
      <c r="I161" s="33">
        <v>2</v>
      </c>
      <c r="J161" s="33">
        <v>2</v>
      </c>
      <c r="K161" s="131" t="s">
        <v>4240</v>
      </c>
      <c r="L161" s="33">
        <v>0</v>
      </c>
      <c r="M161" s="33">
        <v>0</v>
      </c>
      <c r="N161" s="132">
        <v>0</v>
      </c>
      <c r="O161" s="33">
        <v>0</v>
      </c>
      <c r="P161" s="33">
        <v>0</v>
      </c>
      <c r="Q161" s="33">
        <v>2</v>
      </c>
      <c r="R161" s="33">
        <v>1</v>
      </c>
      <c r="S161" s="133"/>
      <c r="T161" s="33">
        <v>0</v>
      </c>
      <c r="U161" s="33">
        <v>0</v>
      </c>
      <c r="V161" s="33">
        <v>0</v>
      </c>
      <c r="W161" s="24"/>
      <c r="X161" s="24"/>
      <c r="Y161" s="24"/>
    </row>
    <row r="162" spans="1:25" ht="13.2">
      <c r="A162" s="188">
        <v>1</v>
      </c>
      <c r="B162" s="22" t="s">
        <v>4241</v>
      </c>
      <c r="C162" s="22">
        <v>162</v>
      </c>
      <c r="D162" s="22">
        <v>9</v>
      </c>
      <c r="E162" s="222">
        <v>43807</v>
      </c>
      <c r="F162" s="121" t="str">
        <f>HYPERLINK("https://nasional.republika.co.id/berita/pw450a335/polisi-buru-pelaku-begal-payudara-di-bintaro ","sumber")</f>
        <v>sumber</v>
      </c>
      <c r="G162" s="121" t="str">
        <f>HYPERLINK("https://drive.google.com/open?id=14S7yFLpmQ2vCRFzO9sxPeAS44WIUwXq8","lokasi")</f>
        <v>lokasi</v>
      </c>
      <c r="H162" s="22">
        <v>261</v>
      </c>
      <c r="I162" s="22">
        <v>1</v>
      </c>
      <c r="J162" s="22">
        <v>1</v>
      </c>
      <c r="K162" s="123" t="s">
        <v>4242</v>
      </c>
      <c r="L162" s="22">
        <v>0</v>
      </c>
      <c r="M162" s="22">
        <v>1</v>
      </c>
      <c r="N162" s="125">
        <v>0</v>
      </c>
      <c r="O162" s="22">
        <v>1</v>
      </c>
      <c r="P162" s="22">
        <v>0</v>
      </c>
      <c r="Q162" s="22">
        <v>0</v>
      </c>
      <c r="R162" s="22">
        <v>-1</v>
      </c>
      <c r="S162" s="134"/>
      <c r="T162" s="22">
        <v>0</v>
      </c>
      <c r="U162" s="22">
        <v>0</v>
      </c>
      <c r="V162" s="22">
        <v>0</v>
      </c>
      <c r="W162" s="23"/>
      <c r="X162" s="23"/>
      <c r="Y162" s="23"/>
    </row>
    <row r="163" spans="1:25" ht="13.2">
      <c r="A163" s="188">
        <v>1</v>
      </c>
      <c r="B163" s="22" t="s">
        <v>4243</v>
      </c>
      <c r="C163" s="22">
        <v>163</v>
      </c>
      <c r="D163" s="22">
        <v>7</v>
      </c>
      <c r="E163" s="22" t="s">
        <v>271</v>
      </c>
      <c r="F163" s="121" t="str">
        <f>HYPERLINK("https://www.tribunnews.com/lifestyle/2019/08/14/perlu-aksi-nyata-bantu-masyarakat-yang-hidup-dengan-disabilitas ","sumber")</f>
        <v>sumber</v>
      </c>
      <c r="G163" s="121" t="str">
        <f>HYPERLINK("https://drive.google.com/open?id=1y66F6MD-uV-J_CPDK78n7SaNcvlaK9rY","lokasi")</f>
        <v>lokasi</v>
      </c>
      <c r="H163" s="22">
        <v>287</v>
      </c>
      <c r="I163" s="22">
        <v>4</v>
      </c>
      <c r="J163" s="22">
        <v>2</v>
      </c>
      <c r="K163" s="123" t="s">
        <v>4244</v>
      </c>
      <c r="L163" s="22">
        <v>0</v>
      </c>
      <c r="M163" s="22">
        <v>0</v>
      </c>
      <c r="N163" s="125">
        <v>0</v>
      </c>
      <c r="O163" s="22">
        <v>0</v>
      </c>
      <c r="P163" s="22">
        <v>0</v>
      </c>
      <c r="Q163" s="22" t="s">
        <v>160</v>
      </c>
      <c r="R163" s="22" t="s">
        <v>160</v>
      </c>
      <c r="S163" s="134"/>
      <c r="T163" s="22">
        <v>0</v>
      </c>
      <c r="U163" s="22">
        <v>0</v>
      </c>
      <c r="V163" s="22">
        <v>1</v>
      </c>
      <c r="W163" s="23"/>
      <c r="X163" s="23"/>
      <c r="Y163" s="23"/>
    </row>
    <row r="164" spans="1:25" ht="13.2">
      <c r="A164" s="188">
        <v>1</v>
      </c>
      <c r="B164" s="22" t="s">
        <v>1343</v>
      </c>
      <c r="C164" s="22">
        <v>164</v>
      </c>
      <c r="D164" s="22">
        <v>2</v>
      </c>
      <c r="E164" s="22" t="s">
        <v>268</v>
      </c>
      <c r="F164" s="121" t="str">
        <f>HYPERLINK("https://www.cnnindonesia.com/nasional/20190818094104-12-422377/warga-pengibar-bendera-pki-disebut-gangguan-jiwa ","sumber")</f>
        <v>sumber</v>
      </c>
      <c r="G164" s="121" t="str">
        <f>HYPERLINK("https://drive.google.com/file/d/1xw2ht_OLAorvB_TI5BqZZY5BChgd_pW5/view?usp=sharing","lokasi")</f>
        <v>lokasi</v>
      </c>
      <c r="H164" s="22">
        <v>314</v>
      </c>
      <c r="I164" s="22">
        <v>1</v>
      </c>
      <c r="J164" s="22">
        <v>2</v>
      </c>
      <c r="K164" s="123" t="s">
        <v>4245</v>
      </c>
      <c r="L164" s="22">
        <v>-1</v>
      </c>
      <c r="M164" s="22">
        <v>-1</v>
      </c>
      <c r="N164" s="22">
        <v>-1</v>
      </c>
      <c r="O164" s="22">
        <v>0</v>
      </c>
      <c r="P164" s="22">
        <v>0</v>
      </c>
      <c r="Q164" s="22">
        <v>0</v>
      </c>
      <c r="R164" s="22">
        <v>-1</v>
      </c>
      <c r="S164" s="123" t="s">
        <v>4246</v>
      </c>
      <c r="T164" s="22">
        <v>2</v>
      </c>
      <c r="U164" s="22">
        <v>0</v>
      </c>
      <c r="V164" s="22">
        <v>0</v>
      </c>
      <c r="W164" s="23"/>
      <c r="X164" s="23"/>
      <c r="Y164" s="23"/>
    </row>
    <row r="165" spans="1:25" ht="13.2">
      <c r="A165" s="209">
        <v>1</v>
      </c>
      <c r="B165" s="132" t="s">
        <v>4247</v>
      </c>
      <c r="C165" s="33">
        <v>165</v>
      </c>
      <c r="D165" s="33">
        <v>1</v>
      </c>
      <c r="E165" s="33" t="s">
        <v>4248</v>
      </c>
      <c r="F165" s="130" t="str">
        <f>HYPERLINK("https://news.detik.com/berita-jawa-timur/d-4667377/penyandang-tunarungu-tewas-tertabrak-kereta-di-sidoarjo ","sumber")</f>
        <v>sumber</v>
      </c>
      <c r="G165" s="130" t="str">
        <f>HYPERLINK("https://drive.google.com/file/d/1z5WBnoy0E4l0ogERXunvIaMVrKaYzsag/view?usp=sharing","lokasi")</f>
        <v>lokasi</v>
      </c>
      <c r="H165" s="33">
        <v>190</v>
      </c>
      <c r="I165" s="33">
        <v>5</v>
      </c>
      <c r="J165" s="33">
        <v>2</v>
      </c>
      <c r="K165" s="131" t="s">
        <v>4249</v>
      </c>
      <c r="L165" s="33">
        <v>0</v>
      </c>
      <c r="M165" s="33">
        <v>0</v>
      </c>
      <c r="N165" s="132">
        <v>0</v>
      </c>
      <c r="O165" s="33">
        <v>0</v>
      </c>
      <c r="P165" s="33">
        <v>0</v>
      </c>
      <c r="Q165" s="33">
        <v>0</v>
      </c>
      <c r="R165" s="33">
        <v>0</v>
      </c>
      <c r="S165" s="133"/>
      <c r="T165" s="33">
        <v>0</v>
      </c>
      <c r="U165" s="33">
        <v>0</v>
      </c>
      <c r="V165" s="33">
        <v>0</v>
      </c>
      <c r="W165" s="24"/>
      <c r="X165" s="24"/>
      <c r="Y165" s="24"/>
    </row>
    <row r="166" spans="1:25" ht="13.2">
      <c r="A166" s="188">
        <v>1</v>
      </c>
      <c r="B166" s="22" t="s">
        <v>4250</v>
      </c>
      <c r="C166" s="22">
        <v>166</v>
      </c>
      <c r="D166" s="22">
        <v>6</v>
      </c>
      <c r="E166" s="22" t="s">
        <v>9</v>
      </c>
      <c r="F166" s="121" t="str">
        <f>HYPERLINK("https://entertainment.kompas.com/read/2019/08/24/141229110/dian-sastro-saya-bilang-ke-dia-shailendra-tuh-spesial ","sumber")</f>
        <v>sumber</v>
      </c>
      <c r="G166" s="121" t="str">
        <f>HYPERLINK("https://drive.google.com/open?id=1w6kVmGS-xyxi4onfkegkbvN4NbqQU81n","lokasi")</f>
        <v>lokasi</v>
      </c>
      <c r="H166" s="22">
        <v>219</v>
      </c>
      <c r="I166" s="22">
        <v>2</v>
      </c>
      <c r="J166" s="22">
        <v>2</v>
      </c>
      <c r="K166" s="123" t="s">
        <v>4251</v>
      </c>
      <c r="L166" s="22">
        <v>0</v>
      </c>
      <c r="M166" s="22">
        <v>0</v>
      </c>
      <c r="N166" s="125">
        <v>0</v>
      </c>
      <c r="O166" s="22">
        <v>0</v>
      </c>
      <c r="P166" s="22">
        <v>0</v>
      </c>
      <c r="Q166" s="22">
        <v>0</v>
      </c>
      <c r="R166" s="22">
        <v>1</v>
      </c>
      <c r="S166" s="134"/>
      <c r="T166" s="22">
        <v>0</v>
      </c>
      <c r="U166" s="22">
        <v>0</v>
      </c>
      <c r="V166" s="22">
        <v>0</v>
      </c>
      <c r="W166" s="23"/>
      <c r="X166" s="23"/>
      <c r="Y166" s="23"/>
    </row>
    <row r="167" spans="1:25" ht="13.2">
      <c r="A167" s="21">
        <v>2</v>
      </c>
      <c r="B167" s="25" t="s">
        <v>4252</v>
      </c>
      <c r="C167" s="25">
        <v>167</v>
      </c>
      <c r="D167" s="25">
        <v>7</v>
      </c>
      <c r="E167" s="25" t="s">
        <v>9</v>
      </c>
      <c r="F167" s="115" t="str">
        <f>HYPERLINK("https://www.tribunnews.com/metropolitan/2019/08/24/viral-satpam-serpong-meninggal-digigit-ular-weling-kenali-ciri-waspada-habitatnya-ada-di-sekitar ","sumber")</f>
        <v>sumber</v>
      </c>
      <c r="G167" s="115" t="str">
        <f>HYPERLINK("https://drive.google.com/open?id=1aE0eNgla6Uqt6pqfoQHbGiWP8SD-N5mi","lokasi")</f>
        <v>lokasi</v>
      </c>
      <c r="H167" s="25">
        <v>228</v>
      </c>
      <c r="I167" s="26"/>
      <c r="J167" s="26"/>
      <c r="K167" s="124"/>
      <c r="L167" s="26"/>
      <c r="M167" s="26"/>
      <c r="N167" s="26"/>
      <c r="O167" s="26"/>
      <c r="P167" s="26"/>
      <c r="Q167" s="26"/>
      <c r="R167" s="26"/>
      <c r="S167" s="124"/>
      <c r="T167" s="26"/>
      <c r="U167" s="26"/>
      <c r="V167" s="26"/>
      <c r="W167" s="26"/>
      <c r="X167" s="26"/>
      <c r="Y167" s="26"/>
    </row>
    <row r="168" spans="1:25" ht="13.2">
      <c r="A168" s="209">
        <v>1</v>
      </c>
      <c r="B168" s="132" t="s">
        <v>4253</v>
      </c>
      <c r="C168" s="33">
        <v>168</v>
      </c>
      <c r="D168" s="33">
        <v>3</v>
      </c>
      <c r="E168" s="288">
        <v>43807</v>
      </c>
      <c r="F168" s="130" t="str">
        <f>HYPERLINK("https://news.okezone.com/read/2019/08/12/65/2090893/tak-lagi-pakai-tongkat-aplikasi-ini-mudahkan-tuna-netra-berjalan ","sumber")</f>
        <v>sumber</v>
      </c>
      <c r="G168" s="130" t="str">
        <f>HYPERLINK("https://drive.google.com/open?id=1urm7uuXT_2_Ae4ZGn4XhnKKKdD1J2v_x","lokasi")</f>
        <v>lokasi</v>
      </c>
      <c r="H168" s="33">
        <v>431</v>
      </c>
      <c r="I168" s="33">
        <v>4</v>
      </c>
      <c r="J168" s="33">
        <v>2</v>
      </c>
      <c r="K168" s="131" t="s">
        <v>4254</v>
      </c>
      <c r="L168" s="33">
        <v>-1</v>
      </c>
      <c r="M168" s="33">
        <v>0</v>
      </c>
      <c r="N168" s="132">
        <v>0</v>
      </c>
      <c r="O168" s="33">
        <v>0</v>
      </c>
      <c r="P168" s="33">
        <v>0</v>
      </c>
      <c r="Q168" s="33">
        <v>0</v>
      </c>
      <c r="R168" s="33">
        <v>1</v>
      </c>
      <c r="S168" s="133"/>
      <c r="T168" s="33">
        <v>0</v>
      </c>
      <c r="U168" s="33">
        <v>0</v>
      </c>
      <c r="V168" s="33">
        <v>0</v>
      </c>
      <c r="W168" s="24"/>
      <c r="X168" s="24"/>
      <c r="Y168" s="24"/>
    </row>
    <row r="169" spans="1:25" ht="13.2">
      <c r="A169" s="21">
        <v>2</v>
      </c>
      <c r="B169" s="25" t="s">
        <v>4255</v>
      </c>
      <c r="C169" s="25">
        <v>169</v>
      </c>
      <c r="D169" s="25">
        <v>3</v>
      </c>
      <c r="E169" s="25" t="s">
        <v>283</v>
      </c>
      <c r="F169" s="115" t="str">
        <f>HYPERLINK("https://nasional.okezone.com/read/2019/08/27/337/2097310/tak-masuk-struktur-dpp-pkb-2019-2024-karding-biar-saja ","sumber")</f>
        <v>sumber</v>
      </c>
      <c r="G169" s="115" t="str">
        <f>HYPERLINK("https://drive.google.com/open?id=1tGB2fRhBkAqMRPUjMnuAI9-37rJSEovT","lokasi")</f>
        <v>lokasi</v>
      </c>
      <c r="H169" s="25">
        <v>696</v>
      </c>
      <c r="I169" s="26"/>
      <c r="J169" s="26"/>
      <c r="K169" s="124"/>
      <c r="L169" s="26"/>
      <c r="M169" s="26"/>
      <c r="N169" s="26"/>
      <c r="O169" s="26"/>
      <c r="P169" s="26"/>
      <c r="Q169" s="26"/>
      <c r="R169" s="26"/>
      <c r="S169" s="124"/>
      <c r="T169" s="26"/>
      <c r="U169" s="26"/>
      <c r="V169" s="26"/>
      <c r="W169" s="26"/>
      <c r="X169" s="26"/>
      <c r="Y169" s="26"/>
    </row>
    <row r="170" spans="1:25" ht="13.2">
      <c r="A170" s="209">
        <v>1</v>
      </c>
      <c r="B170" s="132" t="s">
        <v>4256</v>
      </c>
      <c r="C170" s="33">
        <v>170</v>
      </c>
      <c r="D170" s="33">
        <v>5</v>
      </c>
      <c r="E170" s="33" t="s">
        <v>283</v>
      </c>
      <c r="F170" s="130" t="str">
        <f>HYPERLINK("https://tirto.id/pemprov-dki-siapkan-fasilitas-bagi-difabel-di-trotoar-dan-jpo-eg7z","sumber")</f>
        <v>sumber</v>
      </c>
      <c r="G170" s="130" t="str">
        <f>HYPERLINK("https://drive.google.com/open?id=1BwjCcBDB-2Nt7GY8zEYNzdRC71Ql5CXR","lokasi")</f>
        <v>lokasi</v>
      </c>
      <c r="H170" s="33">
        <v>300</v>
      </c>
      <c r="I170" s="33">
        <v>4</v>
      </c>
      <c r="J170" s="33">
        <v>2</v>
      </c>
      <c r="K170" s="131" t="s">
        <v>4257</v>
      </c>
      <c r="L170" s="33">
        <v>0</v>
      </c>
      <c r="M170" s="33">
        <v>0</v>
      </c>
      <c r="N170" s="132">
        <v>0</v>
      </c>
      <c r="O170" s="33">
        <v>0</v>
      </c>
      <c r="P170" s="33">
        <v>0</v>
      </c>
      <c r="Q170" s="33">
        <v>0</v>
      </c>
      <c r="R170" s="33">
        <v>1</v>
      </c>
      <c r="S170" s="133"/>
      <c r="T170" s="33">
        <v>0</v>
      </c>
      <c r="U170" s="33">
        <v>0</v>
      </c>
      <c r="V170" s="33">
        <v>1</v>
      </c>
      <c r="W170" s="24"/>
      <c r="X170" s="24"/>
      <c r="Y170" s="24"/>
    </row>
    <row r="171" spans="1:25" ht="13.2">
      <c r="A171" s="209">
        <v>1</v>
      </c>
      <c r="B171" s="132" t="s">
        <v>4258</v>
      </c>
      <c r="C171" s="33">
        <v>171</v>
      </c>
      <c r="D171" s="33">
        <v>6</v>
      </c>
      <c r="E171" s="288">
        <v>43474</v>
      </c>
      <c r="F171" s="130" t="str">
        <f>HYPERLINK("https://megapolitan.kompas.com/read/2019/09/01/19510291/pria-bunuh-ayah-kandung-karena-terganggu-suara-dengkuran-diduga-gangguan ","sumber")</f>
        <v>sumber</v>
      </c>
      <c r="G171" s="130" t="str">
        <f>HYPERLINK("https://drive.google.com/open?id=1syMw0H5as0ur0hbAswVxDbMpFSsgq7rc","lokasi")</f>
        <v>lokasi</v>
      </c>
      <c r="H171" s="33">
        <v>276</v>
      </c>
      <c r="I171" s="33">
        <v>1</v>
      </c>
      <c r="J171" s="33">
        <v>2</v>
      </c>
      <c r="K171" s="131" t="s">
        <v>4259</v>
      </c>
      <c r="L171" s="33">
        <v>0</v>
      </c>
      <c r="M171" s="33">
        <v>-1</v>
      </c>
      <c r="N171" s="132">
        <v>0</v>
      </c>
      <c r="O171" s="33">
        <v>0</v>
      </c>
      <c r="P171" s="33">
        <v>0</v>
      </c>
      <c r="Q171" s="33">
        <v>0</v>
      </c>
      <c r="R171" s="33">
        <v>0</v>
      </c>
      <c r="S171" s="133"/>
      <c r="T171" s="33">
        <v>0</v>
      </c>
      <c r="U171" s="33">
        <v>0</v>
      </c>
      <c r="V171" s="33">
        <v>1</v>
      </c>
      <c r="W171" s="24"/>
      <c r="X171" s="24"/>
      <c r="Y171" s="24"/>
    </row>
    <row r="172" spans="1:25" ht="13.2">
      <c r="A172" s="188">
        <v>1</v>
      </c>
      <c r="B172" s="22" t="s">
        <v>4260</v>
      </c>
      <c r="C172" s="22">
        <v>172</v>
      </c>
      <c r="D172" s="22">
        <v>10</v>
      </c>
      <c r="E172" s="222">
        <v>43474</v>
      </c>
      <c r="F172" s="121" t="str">
        <f>HYPERLINK("https://difabel.tempo.co/read/1242647/budaya-dan-data-hambat-pemenuhan-hak-penyandang-disabilitas ","sumber")</f>
        <v>sumber</v>
      </c>
      <c r="G172" s="121" t="str">
        <f>HYPERLINK("https://drive.google.com/open?id=17Fk0-SrQ00nhFLHoJcqTIBMgsb8naqEZ","lokasi")</f>
        <v>lokasi</v>
      </c>
      <c r="H172" s="22">
        <v>213</v>
      </c>
      <c r="I172" s="22">
        <v>4</v>
      </c>
      <c r="J172" s="22">
        <v>2</v>
      </c>
      <c r="K172" s="123" t="s">
        <v>4261</v>
      </c>
      <c r="L172" s="22">
        <v>0</v>
      </c>
      <c r="M172" s="22">
        <v>0</v>
      </c>
      <c r="N172" s="125">
        <v>0</v>
      </c>
      <c r="O172" s="22">
        <v>0</v>
      </c>
      <c r="P172" s="22">
        <v>0</v>
      </c>
      <c r="Q172" s="22" t="s">
        <v>29</v>
      </c>
      <c r="R172" s="22" t="s">
        <v>160</v>
      </c>
      <c r="S172" s="134"/>
      <c r="T172" s="22">
        <v>0</v>
      </c>
      <c r="U172" s="22">
        <v>0</v>
      </c>
      <c r="V172" s="22">
        <v>1</v>
      </c>
      <c r="W172" s="23"/>
      <c r="X172" s="23"/>
      <c r="Y172" s="23"/>
    </row>
    <row r="173" spans="1:25" ht="13.2">
      <c r="A173" s="21">
        <v>2</v>
      </c>
      <c r="B173" s="25" t="s">
        <v>4262</v>
      </c>
      <c r="C173" s="25">
        <v>173</v>
      </c>
      <c r="D173" s="25">
        <v>5</v>
      </c>
      <c r="E173" s="234">
        <v>43505</v>
      </c>
      <c r="F173" s="115" t="str">
        <f>HYPERLINK("https://tirto.id/tiga-desa-di-pati-jawa-tengah-jadi-sasaran-penembakan-misterius-ehqj ","sumber")</f>
        <v>sumber</v>
      </c>
      <c r="G173" s="115" t="str">
        <f>HYPERLINK("https://drive.google.com/open?id=1Ch0xJ01BzTbniExH3N2rrbrK6BELZS6T","lokasi")</f>
        <v>lokasi</v>
      </c>
      <c r="H173" s="25">
        <v>298</v>
      </c>
      <c r="I173" s="26"/>
      <c r="J173" s="26"/>
      <c r="K173" s="124"/>
      <c r="L173" s="26"/>
      <c r="M173" s="26"/>
      <c r="N173" s="26"/>
      <c r="O173" s="26"/>
      <c r="P173" s="26"/>
      <c r="Q173" s="26"/>
      <c r="R173" s="26"/>
      <c r="S173" s="124"/>
      <c r="T173" s="26"/>
      <c r="U173" s="26"/>
      <c r="V173" s="26"/>
      <c r="W173" s="26"/>
      <c r="X173" s="26"/>
      <c r="Y173" s="26"/>
    </row>
    <row r="174" spans="1:25" ht="13.2">
      <c r="A174" s="21">
        <v>2</v>
      </c>
      <c r="B174" s="25" t="s">
        <v>4263</v>
      </c>
      <c r="C174" s="25">
        <v>174</v>
      </c>
      <c r="D174" s="25">
        <v>2</v>
      </c>
      <c r="E174" s="234">
        <v>43533</v>
      </c>
      <c r="F174" s="115" t="str">
        <f>HYPERLINK("https://www.cnnindonesia.com/hiburan/20190903173535-220-427207/garap-ratu-ilmu-hitam-kimo-dan-joko-anwar-tanya-paranormal ","sumber")</f>
        <v>sumber</v>
      </c>
      <c r="G174" s="115" t="str">
        <f>HYPERLINK("https://drive.google.com/open?id=1lQk2OjnjRBdrjjaGNMI_JN3-I02N6U_R","lokasi")</f>
        <v>lokasi</v>
      </c>
      <c r="H174" s="25">
        <v>414</v>
      </c>
      <c r="I174" s="26"/>
      <c r="J174" s="26"/>
      <c r="K174" s="124"/>
      <c r="L174" s="26"/>
      <c r="M174" s="26"/>
      <c r="N174" s="26"/>
      <c r="O174" s="26"/>
      <c r="P174" s="26"/>
      <c r="Q174" s="26"/>
      <c r="R174" s="26"/>
      <c r="S174" s="124"/>
      <c r="T174" s="26"/>
      <c r="U174" s="26"/>
      <c r="V174" s="26"/>
      <c r="W174" s="26"/>
      <c r="X174" s="26"/>
      <c r="Y174" s="26"/>
    </row>
    <row r="175" spans="1:25" ht="13.2">
      <c r="A175" s="21">
        <v>2</v>
      </c>
      <c r="B175" s="25" t="s">
        <v>4264</v>
      </c>
      <c r="C175" s="25">
        <v>175</v>
      </c>
      <c r="D175" s="25">
        <v>1</v>
      </c>
      <c r="E175" s="234">
        <v>43533</v>
      </c>
      <c r="F175" s="115" t="str">
        <f>HYPERLINK("https://health.detik.com/diet/d-4691615/diet-junk-food-dituding-jadi-penyebab-kebutaan-remaja-ini ","sumber")</f>
        <v>sumber</v>
      </c>
      <c r="G175" s="115" t="str">
        <f>HYPERLINK("https://drive.google.com/open?id=1RSZwCgFw3-blWkJJhNKzgVJL2_t_UcZH","lokasi")</f>
        <v>lokasi</v>
      </c>
      <c r="H175" s="25">
        <v>300</v>
      </c>
      <c r="I175" s="26"/>
      <c r="J175" s="26"/>
      <c r="K175" s="124"/>
      <c r="L175" s="26"/>
      <c r="M175" s="26"/>
      <c r="N175" s="26"/>
      <c r="O175" s="26"/>
      <c r="P175" s="26"/>
      <c r="Q175" s="26"/>
      <c r="R175" s="26"/>
      <c r="S175" s="124"/>
      <c r="T175" s="26"/>
      <c r="U175" s="26"/>
      <c r="V175" s="26"/>
      <c r="W175" s="26"/>
      <c r="X175" s="26"/>
      <c r="Y175" s="26"/>
    </row>
    <row r="176" spans="1:25" ht="13.2">
      <c r="A176" s="21">
        <v>2</v>
      </c>
      <c r="B176" s="25" t="s">
        <v>4265</v>
      </c>
      <c r="C176" s="25">
        <v>176</v>
      </c>
      <c r="D176" s="25">
        <v>10</v>
      </c>
      <c r="E176" s="234">
        <v>43533</v>
      </c>
      <c r="F176" s="115" t="str">
        <f>HYPERLINK("https://cantik.tempo.co/read/1243101/perawatan-kulit-mendapatkan-mochi-skin-ala-wanita-jepang ","sumber")</f>
        <v>sumber</v>
      </c>
      <c r="G176" s="115" t="str">
        <f>HYPERLINK("https://drive.google.com/open?id=1TqaNY-pIwniDxhJYGZpOyWt4g4rw78Vw","lokasi")</f>
        <v>lokasi</v>
      </c>
      <c r="H176" s="25">
        <v>465</v>
      </c>
      <c r="I176" s="26"/>
      <c r="J176" s="26"/>
      <c r="K176" s="124"/>
      <c r="L176" s="26"/>
      <c r="M176" s="26"/>
      <c r="N176" s="26"/>
      <c r="O176" s="26"/>
      <c r="P176" s="26"/>
      <c r="Q176" s="26"/>
      <c r="R176" s="26"/>
      <c r="S176" s="124"/>
      <c r="T176" s="26"/>
      <c r="U176" s="26"/>
      <c r="V176" s="26"/>
      <c r="W176" s="26"/>
      <c r="X176" s="26"/>
      <c r="Y176" s="26"/>
    </row>
    <row r="177" spans="1:25" ht="13.2">
      <c r="A177" s="21">
        <v>2</v>
      </c>
      <c r="B177" s="25" t="s">
        <v>4266</v>
      </c>
      <c r="C177" s="25">
        <v>177</v>
      </c>
      <c r="D177" s="25">
        <v>7</v>
      </c>
      <c r="E177" s="234">
        <v>43533</v>
      </c>
      <c r="F177" s="115" t="str">
        <f>HYPERLINK("https://www.tribunnews.com/bisnis/2019/09/03/bni-bantu-wni-di-jepang-berinvestasi-di-era-digital ","sumber")</f>
        <v>sumber</v>
      </c>
      <c r="G177" s="115" t="str">
        <f>HYPERLINK("https://drive.google.com/open?id=1gxhCShzqu93H3wRonRf6xpopiy3m8pTB","lokasi")</f>
        <v>lokasi</v>
      </c>
      <c r="H177" s="25">
        <v>311</v>
      </c>
      <c r="I177" s="26"/>
      <c r="J177" s="26"/>
      <c r="K177" s="124"/>
      <c r="L177" s="26"/>
      <c r="M177" s="26"/>
      <c r="N177" s="26"/>
      <c r="O177" s="26"/>
      <c r="P177" s="26"/>
      <c r="Q177" s="26"/>
      <c r="R177" s="26"/>
      <c r="S177" s="124"/>
      <c r="T177" s="26"/>
      <c r="U177" s="26"/>
      <c r="V177" s="26"/>
      <c r="W177" s="26"/>
      <c r="X177" s="26"/>
      <c r="Y177" s="26"/>
    </row>
    <row r="178" spans="1:25" ht="13.2">
      <c r="A178" s="209">
        <v>1</v>
      </c>
      <c r="B178" s="132" t="s">
        <v>4267</v>
      </c>
      <c r="C178" s="33">
        <v>178</v>
      </c>
      <c r="D178" s="33">
        <v>8</v>
      </c>
      <c r="E178" s="33" t="s">
        <v>2456</v>
      </c>
      <c r="F178" s="130" t="str">
        <f>HYPERLINK("https://www.suara.com/news/2019/08/27/094042/mensos-lantik-asn-penyandang-disabilitas-pertama-sebagai-pejabat-kemensos ","sumber")</f>
        <v>sumber</v>
      </c>
      <c r="G178" s="130" t="str">
        <f>HYPERLINK("https://drive.google.com/open?id=10KwWEeqnfYxYGQmf8-XlQMDgMnUpYDC0","lokasi")</f>
        <v>lokasi</v>
      </c>
      <c r="H178" s="33">
        <v>541</v>
      </c>
      <c r="I178" s="33">
        <v>2</v>
      </c>
      <c r="J178" s="33">
        <v>2</v>
      </c>
      <c r="K178" s="131" t="s">
        <v>4268</v>
      </c>
      <c r="L178" s="33">
        <v>0</v>
      </c>
      <c r="M178" s="33">
        <v>0</v>
      </c>
      <c r="N178" s="132">
        <v>0</v>
      </c>
      <c r="O178" s="33">
        <v>0</v>
      </c>
      <c r="P178" s="33">
        <v>0</v>
      </c>
      <c r="Q178" s="33">
        <v>0</v>
      </c>
      <c r="R178" s="33">
        <v>0</v>
      </c>
      <c r="S178" s="133"/>
      <c r="T178" s="33">
        <v>0</v>
      </c>
      <c r="U178" s="33">
        <v>0</v>
      </c>
      <c r="V178" s="33">
        <v>0</v>
      </c>
      <c r="W178" s="24"/>
      <c r="X178" s="24"/>
      <c r="Y178" s="24"/>
    </row>
    <row r="179" spans="1:25" ht="13.2">
      <c r="A179" s="188">
        <v>1</v>
      </c>
      <c r="B179" s="22" t="s">
        <v>4269</v>
      </c>
      <c r="C179" s="22">
        <v>179</v>
      </c>
      <c r="D179" s="22">
        <v>2</v>
      </c>
      <c r="E179" s="22" t="s">
        <v>305</v>
      </c>
      <c r="F179" s="121" t="str">
        <f>HYPERLINK("https://www.cnnindonesia.com/nasional/20190925200608-20-434043/ruu-pks-para-wanita-demo-dprd-di-bandung-dan-palembang ","sumber")</f>
        <v>sumber</v>
      </c>
      <c r="G179" s="121" t="str">
        <f>HYPERLINK("https://drive.google.com/open?id=1ZcoHOk8erFzKYlw6sTjMMBC8lbvQC62y","lokasi")</f>
        <v>lokasi</v>
      </c>
      <c r="H179" s="22">
        <v>1035</v>
      </c>
      <c r="I179" s="22">
        <v>1</v>
      </c>
      <c r="J179" s="22">
        <v>1</v>
      </c>
      <c r="K179" s="123" t="s">
        <v>4270</v>
      </c>
      <c r="L179" s="22">
        <v>0</v>
      </c>
      <c r="M179" s="22">
        <v>1</v>
      </c>
      <c r="N179" s="125">
        <v>0</v>
      </c>
      <c r="O179" s="22">
        <v>0</v>
      </c>
      <c r="P179" s="22">
        <v>0</v>
      </c>
      <c r="Q179" s="22" t="s">
        <v>29</v>
      </c>
      <c r="R179" s="22" t="s">
        <v>748</v>
      </c>
      <c r="S179" s="134"/>
      <c r="T179" s="22">
        <v>0</v>
      </c>
      <c r="U179" s="22">
        <v>0</v>
      </c>
      <c r="V179" s="22">
        <v>1</v>
      </c>
      <c r="W179" s="23"/>
      <c r="X179" s="23"/>
      <c r="Y179" s="23"/>
    </row>
    <row r="180" spans="1:25" ht="13.2">
      <c r="A180" s="188">
        <v>1</v>
      </c>
      <c r="B180" s="22" t="s">
        <v>4271</v>
      </c>
      <c r="C180" s="22">
        <v>180</v>
      </c>
      <c r="D180" s="22">
        <v>4</v>
      </c>
      <c r="E180" s="22" t="s">
        <v>649</v>
      </c>
      <c r="F180" s="121" t="str">
        <f>HYPERLINK("https://www.liputan6.com/lifestyle/read/4072896/cardi-b-alami-pelecehan-seksual-saat-pemotretan ","sumber")</f>
        <v>sumber</v>
      </c>
      <c r="G180" s="121" t="str">
        <f>HYPERLINK("https://drive.google.com/open?id=1UPkW4s5On3qDlA5Qg_w-bR35NBdwQhUA","lokasi")</f>
        <v>lokasi</v>
      </c>
      <c r="H180" s="22">
        <v>357</v>
      </c>
      <c r="I180" s="22">
        <v>1</v>
      </c>
      <c r="J180" s="22">
        <v>1</v>
      </c>
      <c r="K180" s="123" t="s">
        <v>4272</v>
      </c>
      <c r="L180" s="22">
        <v>-1</v>
      </c>
      <c r="M180" s="22">
        <v>-1</v>
      </c>
      <c r="N180" s="125">
        <v>0</v>
      </c>
      <c r="O180" s="22">
        <v>0</v>
      </c>
      <c r="P180" s="22">
        <v>0</v>
      </c>
      <c r="Q180" s="22">
        <v>2</v>
      </c>
      <c r="R180" s="22">
        <v>1</v>
      </c>
      <c r="S180" s="134"/>
      <c r="T180" s="22">
        <v>0</v>
      </c>
      <c r="U180" s="22">
        <v>0</v>
      </c>
      <c r="V180" s="22">
        <v>0</v>
      </c>
      <c r="W180" s="23"/>
      <c r="X180" s="23"/>
      <c r="Y180" s="23"/>
    </row>
    <row r="181" spans="1:25" ht="13.2">
      <c r="A181" s="188">
        <v>1</v>
      </c>
      <c r="B181" s="22" t="s">
        <v>4273</v>
      </c>
      <c r="C181" s="22">
        <v>181</v>
      </c>
      <c r="D181" s="22">
        <v>9</v>
      </c>
      <c r="E181" s="22" t="s">
        <v>649</v>
      </c>
      <c r="F181" s="121" t="str">
        <f>HYPERLINK("https://republika.co.id/berita/pyisq7282/mustajab-dan-pak-bupati ","sumber")</f>
        <v>sumber</v>
      </c>
      <c r="G181" s="121" t="str">
        <f>HYPERLINK("https://drive.google.com/open?id=1eIMCb_KBuUbgHKXoZWsGU8Jli8RZOBQl","lokasi")</f>
        <v>lokasi</v>
      </c>
      <c r="H181" s="22">
        <v>99</v>
      </c>
      <c r="I181" s="22">
        <v>2</v>
      </c>
      <c r="J181" s="22">
        <v>2</v>
      </c>
      <c r="K181" s="123" t="s">
        <v>4274</v>
      </c>
      <c r="L181" s="22">
        <v>-1</v>
      </c>
      <c r="M181" s="22">
        <v>0</v>
      </c>
      <c r="N181" s="22">
        <v>-1</v>
      </c>
      <c r="O181" s="22">
        <v>0</v>
      </c>
      <c r="P181" s="22">
        <v>0</v>
      </c>
      <c r="Q181" s="22">
        <v>2</v>
      </c>
      <c r="R181" s="22">
        <v>1</v>
      </c>
      <c r="S181" s="134"/>
      <c r="T181" s="22">
        <v>0</v>
      </c>
      <c r="U181" s="22">
        <v>0</v>
      </c>
      <c r="V181" s="22">
        <v>0</v>
      </c>
      <c r="W181" s="23"/>
      <c r="X181" s="23"/>
      <c r="Y181" s="23"/>
    </row>
    <row r="182" spans="1:25" ht="14.4">
      <c r="A182" s="126">
        <v>1</v>
      </c>
      <c r="B182" s="292" t="s">
        <v>4275</v>
      </c>
      <c r="C182" s="33">
        <v>182</v>
      </c>
      <c r="D182" s="33">
        <v>10</v>
      </c>
      <c r="E182" s="33" t="s">
        <v>649</v>
      </c>
      <c r="F182" s="130" t="str">
        <f>HYPERLINK("https://gaya.tempo.co/read/1253465/bicara-sendiri-tak-selalu-gila-ini-kata-peneliti ","sumber")</f>
        <v>sumber</v>
      </c>
      <c r="G182" s="130" t="str">
        <f>HYPERLINK("https://drive.google.com/open?id=1dzDi_G_D6EomGDWUw6Szn5113ai_TgSt","lokasi")</f>
        <v>lokasi</v>
      </c>
      <c r="H182" s="33">
        <v>276</v>
      </c>
      <c r="I182" s="33">
        <v>4</v>
      </c>
      <c r="J182" s="33">
        <v>2</v>
      </c>
      <c r="K182" s="131" t="s">
        <v>4276</v>
      </c>
      <c r="L182" s="33">
        <v>0</v>
      </c>
      <c r="M182" s="33">
        <v>0</v>
      </c>
      <c r="N182" s="132">
        <v>0</v>
      </c>
      <c r="O182" s="33">
        <v>0</v>
      </c>
      <c r="P182" s="33">
        <v>0</v>
      </c>
      <c r="Q182" s="33">
        <v>0</v>
      </c>
      <c r="R182" s="33">
        <v>1</v>
      </c>
      <c r="S182" s="133"/>
      <c r="T182" s="33">
        <v>0</v>
      </c>
      <c r="U182" s="33">
        <v>0</v>
      </c>
      <c r="V182" s="33">
        <v>1</v>
      </c>
      <c r="W182" s="24"/>
      <c r="X182" s="24"/>
      <c r="Y182" s="24"/>
    </row>
    <row r="183" spans="1:25" ht="14.4">
      <c r="A183" s="117">
        <v>1</v>
      </c>
      <c r="B183" s="118" t="s">
        <v>1857</v>
      </c>
      <c r="C183" s="22">
        <v>183</v>
      </c>
      <c r="D183" s="22">
        <v>1</v>
      </c>
      <c r="E183" s="222">
        <v>43586</v>
      </c>
      <c r="F183" s="121" t="str">
        <f>HYPERLINK("https://news.detik.com/bbc-world/d-4371707/india-akui-hak-lgbt-sejak-zaman-kuno-bukan-karena-pengaruh-barat ","sumber")</f>
        <v>sumber</v>
      </c>
      <c r="G183" s="121" t="str">
        <f>HYPERLINK("https://drive.google.com/open?id=1XAJGihcTvFdsPMOjZ1kk_Oe-0nRy1tO8","lokasi")</f>
        <v>lokasi</v>
      </c>
      <c r="H183" s="22">
        <v>901</v>
      </c>
      <c r="I183" s="22">
        <v>4</v>
      </c>
      <c r="J183" s="22">
        <v>3</v>
      </c>
      <c r="K183" s="123" t="s">
        <v>4277</v>
      </c>
      <c r="L183" s="22">
        <v>0</v>
      </c>
      <c r="M183" s="22">
        <v>0</v>
      </c>
      <c r="N183" s="125">
        <v>0</v>
      </c>
      <c r="O183" s="22">
        <v>0</v>
      </c>
      <c r="P183" s="22">
        <v>0</v>
      </c>
      <c r="Q183" s="22" t="s">
        <v>4278</v>
      </c>
      <c r="R183" s="22" t="s">
        <v>1026</v>
      </c>
      <c r="S183" s="134"/>
      <c r="T183" s="22">
        <v>0</v>
      </c>
      <c r="U183" s="22">
        <v>0</v>
      </c>
      <c r="V183" s="22">
        <v>1</v>
      </c>
      <c r="W183" s="23"/>
      <c r="X183" s="23"/>
      <c r="Y183" s="23"/>
    </row>
    <row r="184" spans="1:25" ht="14.4">
      <c r="A184" s="126">
        <v>1</v>
      </c>
      <c r="B184" s="292" t="s">
        <v>1871</v>
      </c>
      <c r="C184" s="33">
        <v>184</v>
      </c>
      <c r="D184" s="33">
        <v>4</v>
      </c>
      <c r="E184" s="33" t="s">
        <v>425</v>
      </c>
      <c r="F184" s="130" t="str">
        <f>HYPERLINK("https://www.liputan6.com/showbiz/read/3866036/robert-de-niro-anggap-donald-trump-bencana-bagi-negara ","sumber")</f>
        <v>sumber</v>
      </c>
      <c r="G184" s="130" t="str">
        <f>HYPERLINK("https://drive.google.com/open?id=1w-IYrly7EDBDpByB09CRkSonUE9-OpAc","lokasi")</f>
        <v>lokasi</v>
      </c>
      <c r="H184" s="33">
        <v>223</v>
      </c>
      <c r="I184" s="33">
        <v>1</v>
      </c>
      <c r="J184" s="33">
        <v>3</v>
      </c>
      <c r="K184" s="131" t="s">
        <v>4279</v>
      </c>
      <c r="L184" s="33">
        <v>0</v>
      </c>
      <c r="M184" s="33">
        <v>1</v>
      </c>
      <c r="N184" s="132">
        <v>0</v>
      </c>
      <c r="O184" s="33">
        <v>0</v>
      </c>
      <c r="P184" s="33">
        <v>0</v>
      </c>
      <c r="Q184" s="33" t="s">
        <v>21</v>
      </c>
      <c r="R184" s="33" t="s">
        <v>2195</v>
      </c>
      <c r="S184" s="133"/>
      <c r="T184" s="33">
        <v>0</v>
      </c>
      <c r="U184" s="33">
        <v>0</v>
      </c>
      <c r="V184" s="33">
        <v>0</v>
      </c>
      <c r="W184" s="24"/>
      <c r="X184" s="24"/>
      <c r="Y184" s="24"/>
    </row>
    <row r="185" spans="1:25" ht="13.2">
      <c r="A185" s="188">
        <v>1</v>
      </c>
      <c r="B185" s="22" t="s">
        <v>3264</v>
      </c>
      <c r="C185" s="22">
        <v>185</v>
      </c>
      <c r="D185" s="22">
        <v>5</v>
      </c>
      <c r="E185" s="222">
        <v>43709</v>
      </c>
      <c r="F185" s="121" t="str">
        <f>HYPERLINK("https://tirto.id/praktik-sewa-rahim-dan-dampak-psikologisnya-untuk-anak-ddNa ","sumber")</f>
        <v>sumber</v>
      </c>
      <c r="G185" s="121" t="str">
        <f>HYPERLINK("https://drive.google.com/open?id=1KGpFoK3380wOBnKidb6oP9U7OPJVlbVo","lokasi")</f>
        <v>lokasi</v>
      </c>
      <c r="H185" s="22">
        <v>493</v>
      </c>
      <c r="I185" s="22">
        <v>5</v>
      </c>
      <c r="J185" s="22">
        <v>3</v>
      </c>
      <c r="K185" s="123"/>
      <c r="L185" s="22">
        <v>-1</v>
      </c>
      <c r="M185" s="22">
        <v>0</v>
      </c>
      <c r="N185" s="125">
        <v>0</v>
      </c>
      <c r="O185" s="22">
        <v>0</v>
      </c>
      <c r="P185" s="22">
        <v>0</v>
      </c>
      <c r="Q185" s="22"/>
      <c r="R185" s="22"/>
      <c r="S185" s="134"/>
      <c r="T185" s="22">
        <v>0</v>
      </c>
      <c r="U185" s="22">
        <v>0</v>
      </c>
      <c r="V185" s="22">
        <v>1</v>
      </c>
      <c r="W185" s="23"/>
      <c r="X185" s="23"/>
      <c r="Y185" s="23"/>
    </row>
    <row r="186" spans="1:25" ht="14.4">
      <c r="A186" s="117">
        <v>1</v>
      </c>
      <c r="B186" s="118" t="s">
        <v>1379</v>
      </c>
      <c r="C186" s="22">
        <v>186</v>
      </c>
      <c r="D186" s="22">
        <v>2</v>
      </c>
      <c r="E186" s="222">
        <v>43739</v>
      </c>
      <c r="F186" s="121" t="str">
        <f>HYPERLINK("https://www.cnnindonesia.com/hiburan/20190110130206-220-359862/oscar-2019-dikabarkan-tak-pakai-pemandu-acara ","sumber")</f>
        <v>sumber</v>
      </c>
      <c r="G186" s="121" t="str">
        <f>HYPERLINK("https://drive.google.com/open?id=1W8KkrepVKHfV3CoIPjg1wlJwFUSvH7lk","lokasi")</f>
        <v>lokasi</v>
      </c>
      <c r="H186" s="22">
        <v>211</v>
      </c>
      <c r="I186" s="22">
        <v>4</v>
      </c>
      <c r="J186" s="22">
        <v>3</v>
      </c>
      <c r="K186" s="123"/>
      <c r="L186" s="22">
        <v>-1</v>
      </c>
      <c r="M186" s="22">
        <v>0</v>
      </c>
      <c r="N186" s="125">
        <v>0</v>
      </c>
      <c r="O186" s="22">
        <v>0</v>
      </c>
      <c r="P186" s="22">
        <v>0</v>
      </c>
      <c r="Q186" s="22"/>
      <c r="R186" s="22"/>
      <c r="S186" s="134"/>
      <c r="T186" s="22">
        <v>0</v>
      </c>
      <c r="U186" s="22">
        <v>0</v>
      </c>
      <c r="V186" s="22">
        <v>0</v>
      </c>
      <c r="W186" s="23"/>
      <c r="X186" s="23"/>
      <c r="Y186" s="23"/>
    </row>
    <row r="187" spans="1:25" ht="14.4">
      <c r="A187" s="117">
        <v>1</v>
      </c>
      <c r="B187" s="118" t="s">
        <v>4280</v>
      </c>
      <c r="C187" s="22">
        <v>187</v>
      </c>
      <c r="D187" s="22">
        <v>3</v>
      </c>
      <c r="E187" s="22" t="s">
        <v>4109</v>
      </c>
      <c r="F187" s="121" t="str">
        <f>HYPERLINK("https://lifestyle.okezone.com/read/2019/01/23/196/2008321/remaja-ini-raup-rp70-juta-sebulan-kerja-apa ","sumber")</f>
        <v>sumber</v>
      </c>
      <c r="G187" s="121" t="str">
        <f>HYPERLINK("https://drive.google.com/open?id=1ZXbbQdcR53F4u8WxY9tnwby6zfq5Sjw5","lokasi")</f>
        <v>lokasi</v>
      </c>
      <c r="H187" s="22">
        <v>507</v>
      </c>
      <c r="I187" s="22">
        <v>2</v>
      </c>
      <c r="J187" s="22">
        <v>3</v>
      </c>
      <c r="K187" s="123" t="s">
        <v>4281</v>
      </c>
      <c r="L187" s="22">
        <v>0</v>
      </c>
      <c r="M187" s="22">
        <v>0</v>
      </c>
      <c r="N187" s="125">
        <v>0</v>
      </c>
      <c r="O187" s="22">
        <v>0</v>
      </c>
      <c r="P187" s="22">
        <v>-1</v>
      </c>
      <c r="Q187" s="22">
        <v>2</v>
      </c>
      <c r="R187" s="22">
        <v>0</v>
      </c>
      <c r="S187" s="134"/>
      <c r="T187" s="22">
        <v>0</v>
      </c>
      <c r="U187" s="22">
        <v>0</v>
      </c>
      <c r="V187" s="22">
        <v>0</v>
      </c>
      <c r="W187" s="23"/>
      <c r="X187" s="23"/>
      <c r="Y187" s="23"/>
    </row>
    <row r="188" spans="1:25" ht="14.4">
      <c r="A188" s="111">
        <v>2</v>
      </c>
      <c r="B188" s="112" t="s">
        <v>4282</v>
      </c>
      <c r="C188" s="25">
        <v>188</v>
      </c>
      <c r="D188" s="25">
        <v>6</v>
      </c>
      <c r="E188" s="25" t="s">
        <v>55</v>
      </c>
      <c r="F188" s="115" t="str">
        <f>HYPERLINK("https://www.liputan6.com/regional/read/3871797/warga-geruduk-rumah-yang-diduga-penampung-komunitas-lgbt-di-pekanbaru ","sumber")</f>
        <v>sumber</v>
      </c>
      <c r="G188" s="115" t="str">
        <f>HYPERLINK("https://drive.google.com/open?id=1AyaFUxhyKyy_N9GmZ_bQwAwEMjgvMiSF","lokasi")</f>
        <v>lokasi</v>
      </c>
      <c r="H188" s="25">
        <v>374</v>
      </c>
      <c r="I188" s="26"/>
      <c r="J188" s="26"/>
      <c r="K188" s="124"/>
      <c r="L188" s="26"/>
      <c r="M188" s="26"/>
      <c r="N188" s="26"/>
      <c r="O188" s="26"/>
      <c r="P188" s="26"/>
      <c r="Q188" s="26"/>
      <c r="R188" s="26"/>
      <c r="S188" s="124"/>
      <c r="T188" s="26"/>
      <c r="U188" s="26"/>
      <c r="V188" s="26"/>
      <c r="W188" s="26"/>
      <c r="X188" s="26"/>
      <c r="Y188" s="26"/>
    </row>
    <row r="189" spans="1:25" ht="14.4">
      <c r="A189" s="117">
        <v>1</v>
      </c>
      <c r="B189" s="118" t="s">
        <v>4283</v>
      </c>
      <c r="C189" s="22">
        <v>189</v>
      </c>
      <c r="D189" s="22">
        <v>2</v>
      </c>
      <c r="E189" s="22" t="s">
        <v>434</v>
      </c>
      <c r="F189" s="121" t="str">
        <f>HYPERLINK("https://www.cnnindonesia.com/teknologi/20190129185350-185-364845/maraknya-kekerasan-terhadap-perempuan-di-dunia-maya ","sumber")</f>
        <v>sumber</v>
      </c>
      <c r="G189" s="121" t="str">
        <f>HYPERLINK("https://drive.google.com/open?id=1KXdEnOTJEFHE5Z8hV5eB-uLzhO-RvvFA","lokasi")</f>
        <v>lokasi</v>
      </c>
      <c r="H189" s="22">
        <v>375</v>
      </c>
      <c r="I189" s="22">
        <v>4</v>
      </c>
      <c r="J189" s="22">
        <v>1</v>
      </c>
      <c r="K189" s="123" t="s">
        <v>4284</v>
      </c>
      <c r="L189" s="22">
        <v>0</v>
      </c>
      <c r="M189" s="22">
        <v>0</v>
      </c>
      <c r="N189" s="125">
        <v>0</v>
      </c>
      <c r="O189" s="22">
        <v>0</v>
      </c>
      <c r="P189" s="22">
        <v>0</v>
      </c>
      <c r="Q189" s="22">
        <v>0</v>
      </c>
      <c r="R189" s="22">
        <v>1</v>
      </c>
      <c r="S189" s="134"/>
      <c r="T189" s="22">
        <v>0</v>
      </c>
      <c r="U189" s="22">
        <v>0</v>
      </c>
      <c r="V189" s="22">
        <v>1</v>
      </c>
      <c r="W189" s="23"/>
      <c r="X189" s="23"/>
      <c r="Y189" s="23"/>
    </row>
    <row r="190" spans="1:25" ht="14.4">
      <c r="A190" s="117">
        <v>1</v>
      </c>
      <c r="B190" s="118" t="s">
        <v>4285</v>
      </c>
      <c r="C190" s="22">
        <v>190</v>
      </c>
      <c r="D190" s="22">
        <v>10</v>
      </c>
      <c r="E190" s="22" t="s">
        <v>434</v>
      </c>
      <c r="F190" s="121" t="str">
        <f>HYPERLINK("https://dunia.tempo.co/read/1170376/pasangan-gay-bocorkan-data-14-200-penderita-hivaids-singapura ","sumber")</f>
        <v>sumber</v>
      </c>
      <c r="G190" s="121" t="str">
        <f>HYPERLINK("https://drive.google.com/open?id=1vw1SRcDN3lDH7dDs9_hqJudXJKOg3MmJ","lokasi")</f>
        <v>lokasi</v>
      </c>
      <c r="H190" s="22">
        <v>429</v>
      </c>
      <c r="I190" s="22">
        <v>1</v>
      </c>
      <c r="J190" s="22">
        <v>3</v>
      </c>
      <c r="K190" s="123"/>
      <c r="L190" s="22">
        <v>0</v>
      </c>
      <c r="M190" s="22">
        <v>-1</v>
      </c>
      <c r="N190" s="22">
        <v>-1</v>
      </c>
      <c r="O190" s="22">
        <v>0</v>
      </c>
      <c r="P190" s="22">
        <v>-1</v>
      </c>
      <c r="Q190" s="22"/>
      <c r="R190" s="22"/>
      <c r="S190" s="134"/>
      <c r="T190" s="22">
        <v>0</v>
      </c>
      <c r="U190" s="22">
        <v>-1</v>
      </c>
      <c r="V190" s="22">
        <v>0</v>
      </c>
      <c r="W190" s="23"/>
      <c r="X190" s="23"/>
      <c r="Y190" s="23"/>
    </row>
    <row r="191" spans="1:25" ht="14.4">
      <c r="A191" s="117">
        <v>1</v>
      </c>
      <c r="B191" s="118" t="s">
        <v>4286</v>
      </c>
      <c r="C191" s="22">
        <v>191</v>
      </c>
      <c r="D191" s="22">
        <v>1</v>
      </c>
      <c r="E191" s="222">
        <v>43498</v>
      </c>
      <c r="F191" s="121" t="str">
        <f>HYPERLINK("https://news.detik.com/berita/d-4411518/komnas-perempuan-ruu-penghapusan-kekerasan-seksual-penting-demi-keadilan ","sumber")</f>
        <v>sumber</v>
      </c>
      <c r="G191" s="121" t="str">
        <f>HYPERLINK("https://drive.google.com/open?id=1KiPmQqI3o0gtFG2-tTc_D-jJOTTuRB_i","lokasi")</f>
        <v>lokasi</v>
      </c>
      <c r="H191" s="22">
        <v>453</v>
      </c>
      <c r="I191" s="22">
        <v>4</v>
      </c>
      <c r="J191" s="22">
        <v>1</v>
      </c>
      <c r="K191" s="123" t="s">
        <v>4287</v>
      </c>
      <c r="L191" s="22">
        <v>0</v>
      </c>
      <c r="M191" s="22">
        <v>0</v>
      </c>
      <c r="N191" s="125">
        <v>0</v>
      </c>
      <c r="O191" s="22">
        <v>0</v>
      </c>
      <c r="P191" s="22">
        <v>0</v>
      </c>
      <c r="Q191" s="22" t="s">
        <v>68</v>
      </c>
      <c r="R191" s="22" t="s">
        <v>748</v>
      </c>
      <c r="S191" s="134"/>
      <c r="T191" s="22">
        <v>0</v>
      </c>
      <c r="U191" s="22">
        <v>0</v>
      </c>
      <c r="V191" s="22">
        <v>1</v>
      </c>
      <c r="W191" s="23"/>
      <c r="X191" s="23"/>
      <c r="Y191" s="23"/>
    </row>
    <row r="192" spans="1:25" ht="14.4">
      <c r="A192" s="117">
        <v>1</v>
      </c>
      <c r="B192" s="118" t="s">
        <v>4288</v>
      </c>
      <c r="C192" s="22">
        <v>192</v>
      </c>
      <c r="D192" s="22">
        <v>8</v>
      </c>
      <c r="E192" s="222">
        <v>43498</v>
      </c>
      <c r="F192" s="121" t="str">
        <f>HYPERLINK("https://www.suara.com/lifestyle/2019/02/02/113500/gagal-kencan-evie-kapak-kepala-orang-di-minimarket ","sumber")</f>
        <v>sumber</v>
      </c>
      <c r="G192" s="121" t="str">
        <f>HYPERLINK("https://drive.google.com/open?id=1womEy8pUKKyDV01drn2mR2htjF2Cu818","lokasi")</f>
        <v>lokasi</v>
      </c>
      <c r="H192" s="22">
        <v>296</v>
      </c>
      <c r="I192" s="22">
        <v>1</v>
      </c>
      <c r="J192" s="22">
        <v>3</v>
      </c>
      <c r="K192" s="123"/>
      <c r="L192" s="22">
        <v>-1</v>
      </c>
      <c r="M192" s="22">
        <v>-1</v>
      </c>
      <c r="N192" s="22">
        <v>-1</v>
      </c>
      <c r="O192" s="22">
        <v>0</v>
      </c>
      <c r="P192" s="22">
        <v>0</v>
      </c>
      <c r="Q192" s="22"/>
      <c r="R192" s="22"/>
      <c r="S192" s="134"/>
      <c r="T192" s="22">
        <v>0</v>
      </c>
      <c r="U192" s="22">
        <v>-1</v>
      </c>
      <c r="V192" s="22">
        <v>0</v>
      </c>
      <c r="W192" s="23"/>
      <c r="X192" s="23"/>
      <c r="Y192" s="23"/>
    </row>
    <row r="193" spans="1:25" ht="14.4">
      <c r="A193" s="126">
        <v>1</v>
      </c>
      <c r="B193" s="292" t="s">
        <v>4289</v>
      </c>
      <c r="C193" s="33">
        <v>193</v>
      </c>
      <c r="D193" s="33">
        <v>2</v>
      </c>
      <c r="E193" s="288">
        <v>43771</v>
      </c>
      <c r="F193" s="130" t="str">
        <f>HYPERLINK("https://www.cnnindonesia.com/nasional/20190211155105-20-368239/rudiantara-ancam-tutup-instagram-soal-komik-muslim-gay ","sumber")</f>
        <v>sumber</v>
      </c>
      <c r="G193" s="130" t="str">
        <f>HYPERLINK("https://drive.google.com/open?id=1mfW-ctBV__2SZvdDRqdMstc95Tv4ldbd","lokasi")</f>
        <v>lokasi</v>
      </c>
      <c r="H193" s="33">
        <v>267</v>
      </c>
      <c r="I193" s="33">
        <v>1</v>
      </c>
      <c r="J193" s="33">
        <v>3</v>
      </c>
      <c r="K193" s="131" t="s">
        <v>4290</v>
      </c>
      <c r="L193" s="33">
        <v>0</v>
      </c>
      <c r="M193" s="33">
        <v>-1</v>
      </c>
      <c r="N193" s="132">
        <v>0</v>
      </c>
      <c r="O193" s="33">
        <v>0</v>
      </c>
      <c r="P193" s="33">
        <v>0</v>
      </c>
      <c r="Q193" s="33">
        <v>0</v>
      </c>
      <c r="R193" s="33">
        <v>-1</v>
      </c>
      <c r="S193" s="133"/>
      <c r="T193" s="33">
        <v>0</v>
      </c>
      <c r="U193" s="33">
        <v>0</v>
      </c>
      <c r="V193" s="33">
        <v>1</v>
      </c>
      <c r="W193" s="24"/>
      <c r="X193" s="24"/>
      <c r="Y193" s="24"/>
    </row>
    <row r="194" spans="1:25" ht="14.4">
      <c r="A194" s="117">
        <v>1</v>
      </c>
      <c r="B194" s="118" t="s">
        <v>4291</v>
      </c>
      <c r="C194" s="22">
        <v>194</v>
      </c>
      <c r="D194" s="22">
        <v>4</v>
      </c>
      <c r="E194" s="222">
        <v>43648</v>
      </c>
      <c r="F194" s="121" t="str">
        <f>HYPERLINK("https://www.liputan6.com/showbiz/read/3889688/polisi-ungkap-identitas-asli-reva-alexa ","sumber")</f>
        <v>sumber</v>
      </c>
      <c r="G194" s="121" t="str">
        <f>HYPERLINK("https://drive.google.com/open?id=1gCxregkeMXyDXi9fw9VZtD4Zv3sFzanj","lokasi")</f>
        <v>lokasi</v>
      </c>
      <c r="H194" s="22">
        <v>175</v>
      </c>
      <c r="I194" s="22">
        <v>1</v>
      </c>
      <c r="J194" s="22">
        <v>3</v>
      </c>
      <c r="K194" s="123" t="s">
        <v>4292</v>
      </c>
      <c r="L194" s="22">
        <v>0</v>
      </c>
      <c r="M194" s="22">
        <v>-1</v>
      </c>
      <c r="N194" s="22">
        <v>-1</v>
      </c>
      <c r="O194" s="22">
        <v>0</v>
      </c>
      <c r="P194" s="22">
        <v>0</v>
      </c>
      <c r="Q194" s="22">
        <v>0</v>
      </c>
      <c r="R194" s="22">
        <v>-1</v>
      </c>
      <c r="S194" s="123" t="s">
        <v>4293</v>
      </c>
      <c r="T194" s="22">
        <v>1</v>
      </c>
      <c r="U194" s="22">
        <v>0</v>
      </c>
      <c r="V194" s="22">
        <v>0</v>
      </c>
      <c r="W194" s="23"/>
      <c r="X194" s="23"/>
      <c r="Y194" s="23"/>
    </row>
    <row r="195" spans="1:25" ht="14.4">
      <c r="A195" s="117">
        <v>1</v>
      </c>
      <c r="B195" s="118" t="s">
        <v>3293</v>
      </c>
      <c r="C195" s="22">
        <v>195</v>
      </c>
      <c r="D195" s="22">
        <v>4</v>
      </c>
      <c r="E195" s="222">
        <v>43740</v>
      </c>
      <c r="F195" s="121" t="str">
        <f>HYPERLINK("https://www.liputan6.com/global/read/3891328/ditekan-arab-saudi-2-muslimah-anggota-kongres-as-semakin-garang ","sumber")</f>
        <v>sumber</v>
      </c>
      <c r="G195" s="121" t="str">
        <f>HYPERLINK("https://drive.google.com/open?id=1oV2xfnv0_Zd5o2y5JHafYIN1cm__UHYW","lokasi")</f>
        <v>lokasi</v>
      </c>
      <c r="H195" s="22">
        <v>408</v>
      </c>
      <c r="I195" s="22">
        <v>1</v>
      </c>
      <c r="J195" s="22">
        <v>1</v>
      </c>
      <c r="K195" s="123" t="s">
        <v>4294</v>
      </c>
      <c r="L195" s="22">
        <v>-1</v>
      </c>
      <c r="M195" s="22">
        <v>-1</v>
      </c>
      <c r="N195" s="125">
        <v>0</v>
      </c>
      <c r="O195" s="22">
        <v>1</v>
      </c>
      <c r="P195" s="22">
        <v>0</v>
      </c>
      <c r="Q195" s="22">
        <v>0</v>
      </c>
      <c r="R195" s="22">
        <v>1</v>
      </c>
      <c r="S195" s="134"/>
      <c r="T195" s="22">
        <v>0</v>
      </c>
      <c r="U195" s="22">
        <v>-1</v>
      </c>
      <c r="V195" s="22">
        <v>1</v>
      </c>
      <c r="W195" s="23"/>
      <c r="X195" s="23"/>
      <c r="Y195" s="23"/>
    </row>
    <row r="196" spans="1:25" ht="14.4">
      <c r="A196" s="126">
        <v>1</v>
      </c>
      <c r="B196" s="292" t="s">
        <v>4295</v>
      </c>
      <c r="C196" s="33">
        <v>196</v>
      </c>
      <c r="D196" s="33">
        <v>6</v>
      </c>
      <c r="E196" s="33" t="s">
        <v>444</v>
      </c>
      <c r="F196" s="130" t="str">
        <f>HYPERLINK("https://regional.kompas.com/read/2019/02/19/17511981/barang-waria-korban-pembunuhan-di-palembang-hilang ","sumber")</f>
        <v>sumber</v>
      </c>
      <c r="G196" s="130" t="str">
        <f>HYPERLINK("https://drive.google.com/open?id=1jbTZp09BuMqefOf-V7UTNlWxERTejQqq","lokasi")</f>
        <v>lokasi</v>
      </c>
      <c r="H196" s="33">
        <v>227</v>
      </c>
      <c r="I196" s="33">
        <v>1</v>
      </c>
      <c r="J196" s="33">
        <v>3</v>
      </c>
      <c r="K196" s="131" t="s">
        <v>4296</v>
      </c>
      <c r="L196" s="33">
        <v>0</v>
      </c>
      <c r="M196" s="33">
        <v>1</v>
      </c>
      <c r="N196" s="132">
        <v>0</v>
      </c>
      <c r="O196" s="33">
        <v>0</v>
      </c>
      <c r="P196" s="33">
        <v>0</v>
      </c>
      <c r="Q196" s="33" t="s">
        <v>29</v>
      </c>
      <c r="R196" s="33" t="s">
        <v>68</v>
      </c>
      <c r="S196" s="133"/>
      <c r="T196" s="33">
        <v>0</v>
      </c>
      <c r="U196" s="33">
        <v>0</v>
      </c>
      <c r="V196" s="33">
        <v>0</v>
      </c>
      <c r="W196" s="24"/>
      <c r="X196" s="24"/>
      <c r="Y196" s="24"/>
    </row>
    <row r="197" spans="1:25" ht="14.4">
      <c r="A197" s="111">
        <v>2</v>
      </c>
      <c r="B197" s="112" t="s">
        <v>4297</v>
      </c>
      <c r="C197" s="25">
        <v>197</v>
      </c>
      <c r="D197" s="25">
        <v>8</v>
      </c>
      <c r="E197" s="234">
        <v>43468</v>
      </c>
      <c r="F197" s="115" t="str">
        <f>HYPERLINK("https://www.suara.com/news/2019/03/01/070000/maruf-amin-isunya-cipika-cipiki-dengan-perempuan-lain-ini-reaksi-istri ","sumber")</f>
        <v>sumber</v>
      </c>
      <c r="G197" s="115" t="str">
        <f>HYPERLINK("https://drive.google.com/open?id=1u6sKVikdVMuR_7hpk9DnVq4fuwqzX9Ff","lokasi")</f>
        <v>lokasi</v>
      </c>
      <c r="H197" s="25">
        <v>274</v>
      </c>
      <c r="I197" s="26"/>
      <c r="J197" s="26"/>
      <c r="K197" s="124"/>
      <c r="L197" s="26"/>
      <c r="M197" s="26"/>
      <c r="N197" s="26"/>
      <c r="O197" s="26"/>
      <c r="P197" s="26"/>
      <c r="Q197" s="26"/>
      <c r="R197" s="26"/>
      <c r="S197" s="124"/>
      <c r="T197" s="26"/>
      <c r="U197" s="26"/>
      <c r="V197" s="26"/>
      <c r="W197" s="26"/>
      <c r="X197" s="26"/>
      <c r="Y197" s="26"/>
    </row>
    <row r="198" spans="1:25" ht="14.4">
      <c r="A198" s="117">
        <v>1</v>
      </c>
      <c r="B198" s="118" t="s">
        <v>4298</v>
      </c>
      <c r="C198" s="22">
        <v>198</v>
      </c>
      <c r="D198" s="22">
        <v>10</v>
      </c>
      <c r="E198" s="222">
        <v>43680</v>
      </c>
      <c r="F198" s="121" t="str">
        <f>HYPERLINK("https://nasional.tempo.co/read/1183268/soal-isu-lgbt-dan-larangan-azan-jokowi-logikanya-tidak-masuk ","sumber")</f>
        <v>sumber</v>
      </c>
      <c r="G198" s="121" t="str">
        <f>HYPERLINK("https://drive.google.com/open?id=1dys1eBrKbN_YjD1-ad4EaqIYC-ZBfICq","lokasi")</f>
        <v>lokasi</v>
      </c>
      <c r="H198" s="22">
        <v>312</v>
      </c>
      <c r="I198" s="22">
        <v>4</v>
      </c>
      <c r="J198" s="22">
        <v>3</v>
      </c>
      <c r="K198" s="123" t="s">
        <v>4299</v>
      </c>
      <c r="L198" s="22">
        <v>0</v>
      </c>
      <c r="M198" s="22">
        <v>0</v>
      </c>
      <c r="N198" s="125">
        <v>0</v>
      </c>
      <c r="O198" s="22">
        <v>0</v>
      </c>
      <c r="P198" s="22">
        <v>0</v>
      </c>
      <c r="Q198" s="22">
        <v>0</v>
      </c>
      <c r="R198" s="22">
        <v>-1</v>
      </c>
      <c r="S198" s="134"/>
      <c r="T198" s="22">
        <v>0</v>
      </c>
      <c r="U198" s="22">
        <v>0</v>
      </c>
      <c r="V198" s="22">
        <v>1</v>
      </c>
      <c r="W198" s="23"/>
      <c r="X198" s="23"/>
      <c r="Y198" s="23"/>
    </row>
    <row r="199" spans="1:25" ht="14.4">
      <c r="A199" s="117">
        <v>1</v>
      </c>
      <c r="B199" s="118" t="s">
        <v>4300</v>
      </c>
      <c r="C199" s="22">
        <v>199</v>
      </c>
      <c r="D199" s="22">
        <v>6</v>
      </c>
      <c r="E199" s="222">
        <v>43741</v>
      </c>
      <c r="F199" s="121" t="str">
        <f>HYPERLINK("https://nasional.kompas.com/read/2019/03/10/13353571/tkn-sudah-keterlaluan-kampanye-hitam-yang-diskreditkan-jokowi-maruf ","sumber")</f>
        <v>sumber</v>
      </c>
      <c r="G199" s="121" t="str">
        <f>HYPERLINK("https://drive.google.com/open?id=1w1xKo2Dln5_IQuhtdpUxkalCufjLY2E6","lokasi")</f>
        <v>lokasi</v>
      </c>
      <c r="H199" s="22">
        <v>228</v>
      </c>
      <c r="I199" s="22">
        <v>1</v>
      </c>
      <c r="J199" s="22">
        <v>3</v>
      </c>
      <c r="K199" s="123" t="s">
        <v>4301</v>
      </c>
      <c r="L199" s="22">
        <v>0</v>
      </c>
      <c r="M199" s="22">
        <v>-1</v>
      </c>
      <c r="N199" s="125">
        <v>0</v>
      </c>
      <c r="O199" s="22">
        <v>0</v>
      </c>
      <c r="P199" s="22">
        <v>0</v>
      </c>
      <c r="Q199" s="22">
        <v>0</v>
      </c>
      <c r="R199" s="22">
        <v>-1</v>
      </c>
      <c r="S199" s="134"/>
      <c r="T199" s="22">
        <v>0</v>
      </c>
      <c r="U199" s="22">
        <v>0</v>
      </c>
      <c r="V199" s="22">
        <v>0</v>
      </c>
      <c r="W199" s="23"/>
      <c r="X199" s="23"/>
      <c r="Y199" s="23"/>
    </row>
    <row r="200" spans="1:25" ht="14.4">
      <c r="A200" s="117">
        <v>1</v>
      </c>
      <c r="B200" s="118" t="s">
        <v>4302</v>
      </c>
      <c r="C200" s="22">
        <v>200</v>
      </c>
      <c r="D200" s="22">
        <v>6</v>
      </c>
      <c r="E200" s="222">
        <v>43802</v>
      </c>
      <c r="F200" s="121" t="str">
        <f>HYPERLINK("https://internasional.kompas.com/read/2019/03/12/07280541/bela-minoritas-arab-israel-wonder-woman-berseteru-dengan-pm-netanyahu ","sumber")</f>
        <v>sumber</v>
      </c>
      <c r="G200" s="121" t="str">
        <f>HYPERLINK("https://drive.google.com/open?id=1lr7F_unz6wgj1jtjrAu5iB2onyDBEnh8","lokasi")</f>
        <v>lokasi</v>
      </c>
      <c r="H200" s="22">
        <v>275</v>
      </c>
      <c r="I200" s="22">
        <v>1</v>
      </c>
      <c r="J200" s="22">
        <v>3</v>
      </c>
      <c r="K200" s="123" t="s">
        <v>4303</v>
      </c>
      <c r="L200" s="22">
        <v>-1</v>
      </c>
      <c r="M200" s="22">
        <v>1</v>
      </c>
      <c r="N200" s="125">
        <v>0</v>
      </c>
      <c r="O200" s="22">
        <v>0</v>
      </c>
      <c r="P200" s="22">
        <v>0</v>
      </c>
      <c r="Q200" s="22" t="s">
        <v>21</v>
      </c>
      <c r="R200" s="22" t="s">
        <v>2195</v>
      </c>
      <c r="S200" s="134"/>
      <c r="T200" s="22">
        <v>0</v>
      </c>
      <c r="U200" s="22">
        <v>0</v>
      </c>
      <c r="V200" s="22">
        <v>1</v>
      </c>
      <c r="W200" s="23"/>
      <c r="X200" s="23"/>
      <c r="Y200" s="23"/>
    </row>
    <row r="201" spans="1:25" ht="14.4">
      <c r="A201" s="117">
        <v>1</v>
      </c>
      <c r="B201" s="118" t="s">
        <v>4304</v>
      </c>
      <c r="C201" s="22">
        <v>201</v>
      </c>
      <c r="D201" s="22">
        <v>10</v>
      </c>
      <c r="E201" s="22" t="s">
        <v>121</v>
      </c>
      <c r="F201" s="121" t="str">
        <f>HYPERLINK("https://dunia.tempo.co/read/1184576/aktris-gal-gadot-versus-netanyahu-soal-arab-israel-ada-apa ","sumber")</f>
        <v>sumber</v>
      </c>
      <c r="G201" s="121" t="str">
        <f>HYPERLINK("https://drive.google.com/open?id=12NWa37kVmU55SwkSHNgdtIWE4ywEzW0i","lokasi")</f>
        <v>lokasi</v>
      </c>
      <c r="H201" s="22">
        <v>586</v>
      </c>
      <c r="I201" s="22">
        <v>1</v>
      </c>
      <c r="J201" s="22">
        <v>3</v>
      </c>
      <c r="K201" s="123" t="s">
        <v>4305</v>
      </c>
      <c r="L201" s="22">
        <v>0</v>
      </c>
      <c r="M201" s="22">
        <v>1</v>
      </c>
      <c r="N201" s="125">
        <v>0</v>
      </c>
      <c r="O201" s="22">
        <v>0</v>
      </c>
      <c r="P201" s="22">
        <v>0</v>
      </c>
      <c r="Q201" s="22" t="s">
        <v>170</v>
      </c>
      <c r="R201" s="22" t="s">
        <v>4306</v>
      </c>
      <c r="S201" s="134"/>
      <c r="T201" s="22">
        <v>0</v>
      </c>
      <c r="U201" s="22">
        <v>0</v>
      </c>
      <c r="V201" s="22">
        <v>1</v>
      </c>
      <c r="W201" s="23"/>
      <c r="X201" s="23"/>
      <c r="Y201" s="23"/>
    </row>
    <row r="202" spans="1:25" ht="14.4">
      <c r="A202" s="117">
        <v>1</v>
      </c>
      <c r="B202" s="118" t="s">
        <v>2323</v>
      </c>
      <c r="C202" s="22">
        <v>202</v>
      </c>
      <c r="D202" s="22">
        <v>10</v>
      </c>
      <c r="E202" s="22" t="s">
        <v>474</v>
      </c>
      <c r="F202" s="121" t="str">
        <f>HYPERLINK("https://nasional.tempo.co/read/1189090/buntut-cerpen-berbau-lgbt-rektorat-bubarkan-redaksi-suara-usu ","sumber")</f>
        <v>sumber</v>
      </c>
      <c r="G202" s="121" t="str">
        <f>HYPERLINK("https://drive.google.com/open?id=1lihZNximaj4d4HsUdGPxFGTPP3FFj9Fx","lokasi")</f>
        <v>lokasi</v>
      </c>
      <c r="H202" s="22">
        <v>98</v>
      </c>
      <c r="I202" s="22">
        <v>1</v>
      </c>
      <c r="J202" s="22">
        <v>3</v>
      </c>
      <c r="K202" s="123" t="s">
        <v>4307</v>
      </c>
      <c r="L202" s="22">
        <v>0</v>
      </c>
      <c r="M202" s="22">
        <v>1</v>
      </c>
      <c r="N202" s="125">
        <v>0</v>
      </c>
      <c r="O202" s="22">
        <v>0</v>
      </c>
      <c r="P202" s="22">
        <v>0</v>
      </c>
      <c r="Q202" s="22" t="s">
        <v>29</v>
      </c>
      <c r="R202" s="22" t="s">
        <v>30</v>
      </c>
      <c r="S202" s="134"/>
      <c r="T202" s="22">
        <v>0</v>
      </c>
      <c r="U202" s="22">
        <v>0</v>
      </c>
      <c r="V202" s="22">
        <v>1</v>
      </c>
      <c r="W202" s="23"/>
      <c r="X202" s="23"/>
      <c r="Y202" s="23"/>
    </row>
    <row r="203" spans="1:25" ht="14.4">
      <c r="A203" s="117">
        <v>1</v>
      </c>
      <c r="B203" s="118" t="s">
        <v>4308</v>
      </c>
      <c r="C203" s="22">
        <v>203</v>
      </c>
      <c r="D203" s="22">
        <v>5</v>
      </c>
      <c r="E203" s="22" t="s">
        <v>474</v>
      </c>
      <c r="F203" s="121" t="str">
        <f>HYPERLINK("https://tirto.id/paramount-minta-adegan-gay-di-film-elton-john-rocketman-dihapus-dkdw ","sumber")</f>
        <v>sumber</v>
      </c>
      <c r="G203" s="121" t="str">
        <f>HYPERLINK("https://drive.google.com/open?id=1JiRv8cnSfE12SaCbst9hOTN2gHEKAd5y","lokasi")</f>
        <v>lokasi</v>
      </c>
      <c r="H203" s="22">
        <v>419</v>
      </c>
      <c r="I203" s="22">
        <v>5</v>
      </c>
      <c r="J203" s="22">
        <v>3</v>
      </c>
      <c r="K203" s="123" t="s">
        <v>4309</v>
      </c>
      <c r="L203" s="22">
        <v>-1</v>
      </c>
      <c r="M203" s="22">
        <v>0</v>
      </c>
      <c r="N203" s="125">
        <v>0</v>
      </c>
      <c r="O203" s="22">
        <v>0</v>
      </c>
      <c r="P203" s="22">
        <v>0</v>
      </c>
      <c r="Q203" s="185" t="s">
        <v>21</v>
      </c>
      <c r="R203" s="22" t="s">
        <v>210</v>
      </c>
      <c r="S203" s="134"/>
      <c r="T203" s="22">
        <v>0</v>
      </c>
      <c r="U203" s="22">
        <v>0</v>
      </c>
      <c r="V203" s="22">
        <v>0</v>
      </c>
      <c r="W203" s="23"/>
      <c r="X203" s="23"/>
      <c r="Y203" s="23"/>
    </row>
    <row r="204" spans="1:25" ht="14.4">
      <c r="A204" s="117">
        <v>1</v>
      </c>
      <c r="B204" s="118" t="s">
        <v>4310</v>
      </c>
      <c r="C204" s="22">
        <v>204</v>
      </c>
      <c r="D204" s="22">
        <v>4</v>
      </c>
      <c r="E204" s="22" t="s">
        <v>127</v>
      </c>
      <c r="F204" s="121" t="str">
        <f>HYPERLINK("https://www.liputan6.com/showbiz/read/3925811/sahabat-ungkap-kehebohan-aktivitas-mesra-lucinta-luna-dan-suami ","sumber")</f>
        <v>sumber</v>
      </c>
      <c r="G204" s="121" t="str">
        <f>HYPERLINK("https://drive.google.com/open?id=1U1SGnKAKHP6SSY23ttMDYksltVmTWt_i","lokasi")</f>
        <v>lokasi</v>
      </c>
      <c r="H204" s="22">
        <v>194</v>
      </c>
      <c r="I204" s="22">
        <v>2</v>
      </c>
      <c r="J204" s="22">
        <v>3</v>
      </c>
      <c r="K204" s="123" t="s">
        <v>4311</v>
      </c>
      <c r="L204" s="22">
        <v>0</v>
      </c>
      <c r="M204" s="22">
        <v>0</v>
      </c>
      <c r="N204" s="22">
        <v>-1</v>
      </c>
      <c r="O204" s="22">
        <v>0</v>
      </c>
      <c r="P204" s="22">
        <v>0</v>
      </c>
      <c r="Q204" s="22" t="s">
        <v>29</v>
      </c>
      <c r="R204" s="22" t="s">
        <v>29</v>
      </c>
      <c r="S204" s="123" t="s">
        <v>4312</v>
      </c>
      <c r="T204" s="22">
        <v>1</v>
      </c>
      <c r="U204" s="22">
        <v>-1</v>
      </c>
      <c r="V204" s="22">
        <v>0</v>
      </c>
      <c r="W204" s="23"/>
      <c r="X204" s="23"/>
      <c r="Y204" s="23"/>
    </row>
    <row r="205" spans="1:25" ht="14.4">
      <c r="A205" s="117">
        <v>1</v>
      </c>
      <c r="B205" s="118" t="s">
        <v>4313</v>
      </c>
      <c r="C205" s="22">
        <v>205</v>
      </c>
      <c r="D205" s="22">
        <v>7</v>
      </c>
      <c r="E205" s="22" t="s">
        <v>127</v>
      </c>
      <c r="F205" s="121" t="str">
        <f>HYPERLINK("http://www.tribunnews.com/seleb/2019/03/26/video-perjuangan-lucinta-luna-bentuk-body-seksi-demi-suami ","sumber")</f>
        <v>sumber</v>
      </c>
      <c r="G205" s="121" t="str">
        <f>HYPERLINK("https://drive.google.com/open?id=1n8sCDtAU2aodqSMg1jsGmco3aaVktOEb","lokasi")</f>
        <v>lokasi</v>
      </c>
      <c r="H205" s="22">
        <v>133</v>
      </c>
      <c r="I205" s="22">
        <v>2</v>
      </c>
      <c r="J205" s="22">
        <v>3</v>
      </c>
      <c r="K205" s="123" t="s">
        <v>4314</v>
      </c>
      <c r="L205" s="22">
        <v>-1</v>
      </c>
      <c r="M205" s="22">
        <v>0</v>
      </c>
      <c r="N205" s="22">
        <v>-1</v>
      </c>
      <c r="O205" s="22">
        <v>0</v>
      </c>
      <c r="P205" s="22">
        <v>0</v>
      </c>
      <c r="Q205" s="22">
        <v>0</v>
      </c>
      <c r="R205" s="22">
        <v>0</v>
      </c>
      <c r="S205" s="134"/>
      <c r="T205" s="22">
        <v>0</v>
      </c>
      <c r="U205" s="22">
        <v>-1</v>
      </c>
      <c r="V205" s="22">
        <v>0</v>
      </c>
      <c r="W205" s="23"/>
      <c r="X205" s="23"/>
      <c r="Y205" s="23"/>
    </row>
    <row r="206" spans="1:25" ht="14.4">
      <c r="A206" s="111">
        <v>2</v>
      </c>
      <c r="B206" s="112" t="s">
        <v>4315</v>
      </c>
      <c r="C206" s="25">
        <v>206</v>
      </c>
      <c r="D206" s="25">
        <v>4</v>
      </c>
      <c r="E206" s="25" t="s">
        <v>502</v>
      </c>
      <c r="F206" s="115" t="str">
        <f>HYPERLINK("https://www.liputan6.com/news/read/3928003/polemik-hukuman-mati-menkumham-kita-ambil-jalan-tengah ","sumber")</f>
        <v>sumber</v>
      </c>
      <c r="G206" s="115" t="str">
        <f>HYPERLINK("https://drive.google.com/open?id=1ERdeKUbuvB3hW6L4HrYZ3SpHpnMA2fzb","lokasi")</f>
        <v>lokasi</v>
      </c>
      <c r="H206" s="25">
        <v>252</v>
      </c>
      <c r="I206" s="25">
        <v>4</v>
      </c>
      <c r="J206" s="25">
        <v>3</v>
      </c>
      <c r="K206" s="116" t="s">
        <v>4316</v>
      </c>
      <c r="L206" s="25">
        <v>0</v>
      </c>
      <c r="M206" s="25">
        <v>0</v>
      </c>
      <c r="N206" s="151">
        <v>0</v>
      </c>
      <c r="O206" s="25">
        <v>0</v>
      </c>
      <c r="P206" s="25">
        <v>0</v>
      </c>
      <c r="Q206" s="25" t="s">
        <v>29</v>
      </c>
      <c r="R206" s="25" t="s">
        <v>29</v>
      </c>
      <c r="S206" s="124"/>
      <c r="T206" s="25">
        <v>0</v>
      </c>
      <c r="U206" s="25">
        <v>0</v>
      </c>
      <c r="V206" s="25">
        <v>0</v>
      </c>
      <c r="W206" s="26"/>
      <c r="X206" s="26"/>
      <c r="Y206" s="26"/>
    </row>
    <row r="207" spans="1:25" ht="14.4">
      <c r="A207" s="117">
        <v>1</v>
      </c>
      <c r="B207" s="118" t="s">
        <v>4317</v>
      </c>
      <c r="C207" s="22">
        <v>207</v>
      </c>
      <c r="D207" s="22">
        <v>3</v>
      </c>
      <c r="E207" s="22" t="s">
        <v>132</v>
      </c>
      <c r="F207" s="121" t="str">
        <f>HYPERLINK("https://celebrity.okezone.com/read/2019/03/29/33/2036851/curhat-dena-rachman-menjadi-transeksual ","sumber")</f>
        <v>sumber</v>
      </c>
      <c r="G207" s="121" t="str">
        <f>HYPERLINK("https://drive.google.com/open?id=1fzVoiFKSMCnxNtRKItOTNzwjJMEzlURG","lokasi")</f>
        <v>lokasi</v>
      </c>
      <c r="H207" s="22">
        <v>440</v>
      </c>
      <c r="I207" s="22">
        <v>2</v>
      </c>
      <c r="J207" s="22">
        <v>3</v>
      </c>
      <c r="K207" s="123" t="s">
        <v>4318</v>
      </c>
      <c r="L207" s="22">
        <v>0</v>
      </c>
      <c r="M207" s="22">
        <v>0</v>
      </c>
      <c r="N207" s="125">
        <v>0</v>
      </c>
      <c r="O207" s="22">
        <v>0</v>
      </c>
      <c r="P207" s="22">
        <v>0</v>
      </c>
      <c r="Q207" s="22">
        <v>2</v>
      </c>
      <c r="R207" s="22">
        <v>1</v>
      </c>
      <c r="S207" s="134"/>
      <c r="T207" s="22">
        <v>0</v>
      </c>
      <c r="U207" s="22">
        <v>0</v>
      </c>
      <c r="V207" s="22">
        <v>0</v>
      </c>
      <c r="W207" s="23"/>
      <c r="X207" s="23"/>
      <c r="Y207" s="23"/>
    </row>
    <row r="208" spans="1:25" ht="14.4">
      <c r="A208" s="117">
        <v>1</v>
      </c>
      <c r="B208" s="118" t="s">
        <v>4319</v>
      </c>
      <c r="C208" s="22">
        <v>208</v>
      </c>
      <c r="D208" s="22">
        <v>1</v>
      </c>
      <c r="E208" s="22" t="s">
        <v>139</v>
      </c>
      <c r="F208" s="121" t="str">
        <f>HYPERLINK("https://news.detik.com/berita-jawa-timur/d-4491309/rhoma-irama-sebut-ruu-pks-terlalu-bebas-hingga-legalkan-zina ","sumber")</f>
        <v>sumber</v>
      </c>
      <c r="G208" s="121" t="str">
        <f>HYPERLINK("https://drive.google.com/open?id=1ILjGX6T3aSqourvui_zT6rzhxCP3F2WL","lokasi")</f>
        <v>lokasi</v>
      </c>
      <c r="H208" s="22">
        <v>231</v>
      </c>
      <c r="I208" s="22">
        <v>4</v>
      </c>
      <c r="J208" s="22">
        <v>3</v>
      </c>
      <c r="K208" s="123" t="s">
        <v>4320</v>
      </c>
      <c r="L208" s="22">
        <v>0</v>
      </c>
      <c r="M208" s="22">
        <v>0</v>
      </c>
      <c r="N208" s="125">
        <v>0</v>
      </c>
      <c r="O208" s="22">
        <v>0</v>
      </c>
      <c r="P208" s="22">
        <v>0</v>
      </c>
      <c r="Q208" s="22">
        <v>0</v>
      </c>
      <c r="R208" s="22">
        <v>-1</v>
      </c>
      <c r="S208" s="134"/>
      <c r="T208" s="22">
        <v>0</v>
      </c>
      <c r="U208" s="22">
        <v>0</v>
      </c>
      <c r="V208" s="22">
        <v>1</v>
      </c>
      <c r="W208" s="23"/>
      <c r="X208" s="23"/>
      <c r="Y208" s="23"/>
    </row>
    <row r="209" spans="1:25" ht="14.4">
      <c r="A209" s="117">
        <v>1</v>
      </c>
      <c r="B209" s="118" t="s">
        <v>4321</v>
      </c>
      <c r="C209" s="22">
        <v>209</v>
      </c>
      <c r="D209" s="22">
        <v>8</v>
      </c>
      <c r="E209" s="222">
        <v>43559</v>
      </c>
      <c r="F209" s="121" t="str">
        <f>HYPERLINK("https://www.suara.com/news/2019/04/04/133528/luput-dari-sorotan-media-asing-sisi-lain-hukum-rajam-di-brunei ","sumber")</f>
        <v>sumber</v>
      </c>
      <c r="G209" s="121" t="str">
        <f>HYPERLINK("https://drive.google.com/open?id=1lIf8Ce63jk7dVKGIXhI16fb6dIeCxqwE","lokasi")</f>
        <v>lokasi</v>
      </c>
      <c r="H209" s="22">
        <v>1018</v>
      </c>
      <c r="I209" s="22">
        <v>1</v>
      </c>
      <c r="J209" s="22">
        <v>3</v>
      </c>
      <c r="K209" s="123" t="s">
        <v>4322</v>
      </c>
      <c r="L209" s="22">
        <v>-1</v>
      </c>
      <c r="M209" s="22">
        <v>1</v>
      </c>
      <c r="N209" s="125">
        <v>0</v>
      </c>
      <c r="O209" s="22">
        <v>0</v>
      </c>
      <c r="P209" s="22">
        <v>0</v>
      </c>
      <c r="Q209" s="22" t="s">
        <v>3822</v>
      </c>
      <c r="R209" s="22" t="s">
        <v>4323</v>
      </c>
      <c r="S209" s="134"/>
      <c r="T209" s="22">
        <v>0</v>
      </c>
      <c r="U209" s="22">
        <v>-1</v>
      </c>
      <c r="V209" s="22">
        <v>1</v>
      </c>
      <c r="W209" s="23"/>
      <c r="X209" s="23"/>
      <c r="Y209" s="23"/>
    </row>
    <row r="210" spans="1:25" ht="14.4">
      <c r="A210" s="117">
        <v>1</v>
      </c>
      <c r="B210" s="118" t="s">
        <v>4324</v>
      </c>
      <c r="C210" s="22">
        <v>210</v>
      </c>
      <c r="D210" s="22">
        <v>3</v>
      </c>
      <c r="E210" s="222">
        <v>43589</v>
      </c>
      <c r="F210" s="121" t="str">
        <f>HYPERLINK("https://news.okezone.com/read/2019/04/05/18/2039387/transgender-ini-rampok-bank-agar-bisa-operasi-hidung ","sumber")</f>
        <v>sumber</v>
      </c>
      <c r="G210" s="121" t="str">
        <f>HYPERLINK("https://drive.google.com/open?id=1xf5_oImeyeU3mELKlpe7IhEVRkn3Xt_3","lokasi")</f>
        <v>lokasi</v>
      </c>
      <c r="H210" s="22">
        <v>195</v>
      </c>
      <c r="I210" s="22">
        <v>1</v>
      </c>
      <c r="J210" s="22">
        <v>3</v>
      </c>
      <c r="K210" s="123" t="s">
        <v>4325</v>
      </c>
      <c r="L210" s="22">
        <v>-1</v>
      </c>
      <c r="M210" s="22">
        <v>-1</v>
      </c>
      <c r="N210" s="22">
        <v>-1</v>
      </c>
      <c r="O210" s="22">
        <v>0</v>
      </c>
      <c r="P210" s="22">
        <v>-1</v>
      </c>
      <c r="Q210" s="22">
        <v>0</v>
      </c>
      <c r="R210" s="22">
        <v>0</v>
      </c>
      <c r="S210" s="123" t="s">
        <v>4326</v>
      </c>
      <c r="T210" s="22">
        <v>1</v>
      </c>
      <c r="U210" s="22">
        <v>-1</v>
      </c>
      <c r="V210" s="22">
        <v>0</v>
      </c>
      <c r="W210" s="23"/>
      <c r="X210" s="23"/>
      <c r="Y210" s="23"/>
    </row>
    <row r="211" spans="1:25" ht="14.4">
      <c r="A211" s="117">
        <v>1</v>
      </c>
      <c r="B211" s="118" t="s">
        <v>4327</v>
      </c>
      <c r="C211" s="22">
        <v>211</v>
      </c>
      <c r="D211" s="22">
        <v>9</v>
      </c>
      <c r="E211" s="222">
        <v>43589</v>
      </c>
      <c r="F211" s="121" t="str">
        <f>HYPERLINK("https://khazanah.republika.co.id/berita/dunia-islam/islam-nusantara/pphed6458/sekjen-mui-dukung-brunei-terapkan-hukum-rajam-lgbt ","sumber")</f>
        <v>sumber</v>
      </c>
      <c r="G211" s="121" t="str">
        <f>HYPERLINK("https://drive.google.com/open?id=1m9bB57MtNBkLtANaAi3aCcoQ8aDMywSp","lokasi")</f>
        <v>lokasi</v>
      </c>
      <c r="H211" s="22">
        <v>359</v>
      </c>
      <c r="I211" s="22">
        <v>4</v>
      </c>
      <c r="J211" s="22">
        <v>3</v>
      </c>
      <c r="K211" s="123" t="s">
        <v>4328</v>
      </c>
      <c r="L211" s="22">
        <v>0</v>
      </c>
      <c r="M211" s="22">
        <v>0</v>
      </c>
      <c r="N211" s="125">
        <v>0</v>
      </c>
      <c r="O211" s="22">
        <v>0</v>
      </c>
      <c r="P211" s="22">
        <v>0</v>
      </c>
      <c r="Q211" s="22">
        <v>0</v>
      </c>
      <c r="R211" s="22">
        <v>-1</v>
      </c>
      <c r="S211" s="123" t="s">
        <v>4329</v>
      </c>
      <c r="T211" s="22">
        <v>1</v>
      </c>
      <c r="U211" s="22">
        <v>0</v>
      </c>
      <c r="V211" s="22">
        <v>1</v>
      </c>
      <c r="W211" s="23"/>
      <c r="X211" s="23"/>
      <c r="Y211" s="23"/>
    </row>
    <row r="212" spans="1:25" ht="14.4">
      <c r="A212" s="126">
        <v>1</v>
      </c>
      <c r="B212" s="292" t="s">
        <v>4330</v>
      </c>
      <c r="C212" s="33">
        <v>212</v>
      </c>
      <c r="D212" s="33">
        <v>7</v>
      </c>
      <c r="E212" s="288">
        <v>43620</v>
      </c>
      <c r="F212" s="130" t="str">
        <f>HYPERLINK("http://www.tribunnews.com/internasional/2019/04/06/diserang-gara-gara-hukum-mati-lgbt-akun-sosmed-hotel-milik-sultan-brunei-diserang ","sumber")</f>
        <v>sumber</v>
      </c>
      <c r="G212" s="130" t="str">
        <f>HYPERLINK("https://drive.google.com/open?id=1yva7Tpmgz3xv-AxlKwVqlS1uHoF2GlWt","lokasi")</f>
        <v>lokasi</v>
      </c>
      <c r="H212" s="33">
        <v>366</v>
      </c>
      <c r="I212" s="33">
        <v>1</v>
      </c>
      <c r="J212" s="33">
        <v>3</v>
      </c>
      <c r="K212" s="131" t="s">
        <v>4331</v>
      </c>
      <c r="L212" s="33">
        <v>0</v>
      </c>
      <c r="M212" s="33">
        <v>-1</v>
      </c>
      <c r="N212" s="132">
        <v>0</v>
      </c>
      <c r="O212" s="33">
        <v>0</v>
      </c>
      <c r="P212" s="33">
        <v>0</v>
      </c>
      <c r="Q212" s="33">
        <v>0</v>
      </c>
      <c r="R212" s="33">
        <v>1</v>
      </c>
      <c r="S212" s="133"/>
      <c r="T212" s="33">
        <v>0</v>
      </c>
      <c r="U212" s="33">
        <v>0</v>
      </c>
      <c r="V212" s="33">
        <v>1</v>
      </c>
      <c r="W212" s="24"/>
      <c r="X212" s="24"/>
      <c r="Y212" s="24"/>
    </row>
    <row r="213" spans="1:25" ht="14.4">
      <c r="A213" s="126">
        <v>1</v>
      </c>
      <c r="B213" s="292" t="s">
        <v>4332</v>
      </c>
      <c r="C213" s="33">
        <v>213</v>
      </c>
      <c r="D213" s="33">
        <v>2</v>
      </c>
      <c r="E213" s="33" t="s">
        <v>2018</v>
      </c>
      <c r="F213" s="130" t="str">
        <f>HYPERLINK("https://www.cnnindonesia.com/nasional/20190428193007-20-390330/pemkot-palembang-bakal-larang-film-kucumbu-tubuh-indahku ","sumber")</f>
        <v>sumber</v>
      </c>
      <c r="G213" s="130" t="str">
        <f>HYPERLINK("https://drive.google.com/open?id=1a80BcmvP44oREBEIJTMDzuWIs6b6LxjI","lokasi")</f>
        <v>lokasi</v>
      </c>
      <c r="H213" s="33">
        <v>417</v>
      </c>
      <c r="I213" s="33">
        <v>1</v>
      </c>
      <c r="J213" s="33">
        <v>3</v>
      </c>
      <c r="K213" s="131" t="s">
        <v>4333</v>
      </c>
      <c r="L213" s="33">
        <v>0</v>
      </c>
      <c r="M213" s="33">
        <v>1</v>
      </c>
      <c r="N213" s="132">
        <v>0</v>
      </c>
      <c r="O213" s="33">
        <v>0</v>
      </c>
      <c r="P213" s="33">
        <v>0</v>
      </c>
      <c r="Q213" s="33" t="s">
        <v>29</v>
      </c>
      <c r="R213" s="33" t="s">
        <v>141</v>
      </c>
      <c r="S213" s="133"/>
      <c r="T213" s="33">
        <v>0</v>
      </c>
      <c r="U213" s="33">
        <v>0</v>
      </c>
      <c r="V213" s="33">
        <v>1</v>
      </c>
      <c r="W213" s="24"/>
      <c r="X213" s="24"/>
      <c r="Y213" s="24"/>
    </row>
    <row r="214" spans="1:25" ht="14.4">
      <c r="A214" s="126">
        <v>1</v>
      </c>
      <c r="B214" s="292" t="s">
        <v>4334</v>
      </c>
      <c r="C214" s="33">
        <v>214</v>
      </c>
      <c r="D214" s="33">
        <v>5</v>
      </c>
      <c r="E214" s="288">
        <v>43500</v>
      </c>
      <c r="F214" s="130" t="str">
        <f>HYPERLINK("https://tirto.id/pbb-kecam-kebijakan-hukuman-mati-lgbt-di-brunei-dkVs ","sumber")</f>
        <v>sumber</v>
      </c>
      <c r="G214" s="130" t="str">
        <f>HYPERLINK("https://drive.google.com/open?id=1fNh6Z1gkHfiw1uaSPykQNPTiXvLHnN84","lokasi")</f>
        <v>lokasi</v>
      </c>
      <c r="H214" s="33">
        <v>320</v>
      </c>
      <c r="I214" s="33">
        <v>1</v>
      </c>
      <c r="J214" s="33">
        <v>3</v>
      </c>
      <c r="K214" s="131" t="s">
        <v>4335</v>
      </c>
      <c r="L214" s="33">
        <v>0</v>
      </c>
      <c r="M214" s="33">
        <v>-1</v>
      </c>
      <c r="N214" s="132">
        <v>0</v>
      </c>
      <c r="O214" s="33">
        <v>0</v>
      </c>
      <c r="P214" s="33">
        <v>0</v>
      </c>
      <c r="Q214" s="33">
        <v>1</v>
      </c>
      <c r="R214" s="33">
        <v>1</v>
      </c>
      <c r="S214" s="133"/>
      <c r="T214" s="33">
        <v>0</v>
      </c>
      <c r="U214" s="33">
        <v>0</v>
      </c>
      <c r="V214" s="33">
        <v>1</v>
      </c>
      <c r="W214" s="24"/>
      <c r="X214" s="24"/>
      <c r="Y214" s="24"/>
    </row>
    <row r="215" spans="1:25" ht="14.4">
      <c r="A215" s="111">
        <v>2</v>
      </c>
      <c r="B215" s="112" t="s">
        <v>4336</v>
      </c>
      <c r="C215" s="25">
        <v>215</v>
      </c>
      <c r="D215" s="25">
        <v>9</v>
      </c>
      <c r="E215" s="25" t="s">
        <v>516</v>
      </c>
      <c r="F215" s="115" t="str">
        <f>HYPERLINK("https://republika.co.id/berita/ekonomi/pertanian/ppy1an370/pedagang-harga-bawang-putih-terus-naik ","sumber")</f>
        <v>sumber</v>
      </c>
      <c r="G215" s="115" t="str">
        <f>HYPERLINK("https://drive.google.com/open?id=1Ben_wN8h-um71giSDhrN8AeNiDUQ7a1e","lokasi")</f>
        <v>lokasi</v>
      </c>
      <c r="H215" s="25">
        <v>624</v>
      </c>
      <c r="I215" s="26"/>
      <c r="J215" s="26"/>
      <c r="K215" s="124"/>
      <c r="L215" s="26"/>
      <c r="M215" s="26"/>
      <c r="N215" s="26"/>
      <c r="O215" s="26"/>
      <c r="P215" s="26"/>
      <c r="Q215" s="26"/>
      <c r="R215" s="26"/>
      <c r="S215" s="124"/>
      <c r="T215" s="26"/>
      <c r="U215" s="26"/>
      <c r="V215" s="26"/>
      <c r="W215" s="26"/>
      <c r="X215" s="26"/>
      <c r="Y215" s="26"/>
    </row>
    <row r="216" spans="1:25" ht="14.4">
      <c r="A216" s="126">
        <v>1</v>
      </c>
      <c r="B216" s="292" t="s">
        <v>4337</v>
      </c>
      <c r="C216" s="33">
        <v>216</v>
      </c>
      <c r="D216" s="33">
        <v>6</v>
      </c>
      <c r="E216" s="288">
        <v>43650</v>
      </c>
      <c r="F216" s="130" t="str">
        <f>HYPERLINK("https://internasional.kompas.com/read/2019/04/07/10225881/terapkan-hukum-syariah-ketat-sultan-brunei-dituding-meniru-isis ","sumber")</f>
        <v>sumber</v>
      </c>
      <c r="G216" s="130" t="str">
        <f>HYPERLINK("https://internasional.kompas.com/read/2019/04/07/10225881/terapkan-hukum-syariah-ketat-sultan-brunei-dituding-meniru-isis ","lokasi")</f>
        <v>lokasi</v>
      </c>
      <c r="H216" s="33">
        <v>338</v>
      </c>
      <c r="I216" s="33">
        <v>3</v>
      </c>
      <c r="J216" s="33">
        <v>3</v>
      </c>
      <c r="K216" s="131" t="s">
        <v>4338</v>
      </c>
      <c r="L216" s="33">
        <v>0</v>
      </c>
      <c r="M216" s="33">
        <v>0</v>
      </c>
      <c r="N216" s="132">
        <v>0</v>
      </c>
      <c r="O216" s="33">
        <v>0</v>
      </c>
      <c r="P216" s="33">
        <v>0</v>
      </c>
      <c r="Q216" s="33">
        <v>1</v>
      </c>
      <c r="R216" s="33">
        <v>1</v>
      </c>
      <c r="S216" s="133"/>
      <c r="T216" s="33">
        <v>0</v>
      </c>
      <c r="U216" s="33">
        <v>0</v>
      </c>
      <c r="V216" s="33">
        <v>1</v>
      </c>
      <c r="W216" s="24"/>
      <c r="X216" s="24"/>
      <c r="Y216" s="24"/>
    </row>
    <row r="217" spans="1:25" ht="14.4">
      <c r="A217" s="117">
        <v>1</v>
      </c>
      <c r="B217" s="118" t="s">
        <v>4339</v>
      </c>
      <c r="C217" s="22">
        <v>217</v>
      </c>
      <c r="D217" s="22">
        <v>8</v>
      </c>
      <c r="E217" s="22" t="s">
        <v>165</v>
      </c>
      <c r="F217" s="121" t="str">
        <f>HYPERLINK("https://www.suara.com/news/2019/04/24/182816/syok-tahu-pacarnya-ternyata-dulu-laki-laki-dokter-nekat-lakukan-mutilasi ","sumber")</f>
        <v>sumber</v>
      </c>
      <c r="G217" s="121" t="str">
        <f>HYPERLINK("https://drive.google.com/open?id=15SVbJY8Pcf2mvnSr75wvdNeZl2IQi7g_","lokasi")</f>
        <v>lokasi</v>
      </c>
      <c r="H217" s="22">
        <v>197</v>
      </c>
      <c r="I217" s="22">
        <v>1</v>
      </c>
      <c r="J217" s="22">
        <v>3</v>
      </c>
      <c r="K217" s="123"/>
      <c r="L217" s="22">
        <v>0</v>
      </c>
      <c r="M217" s="22">
        <v>-1</v>
      </c>
      <c r="N217" s="22">
        <v>-1</v>
      </c>
      <c r="O217" s="22">
        <v>0</v>
      </c>
      <c r="P217" s="22">
        <v>-1</v>
      </c>
      <c r="Q217" s="22"/>
      <c r="R217" s="22"/>
      <c r="S217" s="134"/>
      <c r="T217" s="22">
        <v>0</v>
      </c>
      <c r="U217" s="22">
        <v>0</v>
      </c>
      <c r="V217" s="22">
        <v>0</v>
      </c>
      <c r="W217" s="23"/>
      <c r="X217" s="23"/>
      <c r="Y217" s="23"/>
    </row>
    <row r="218" spans="1:25" ht="14.4">
      <c r="A218" s="117">
        <v>1</v>
      </c>
      <c r="B218" s="118" t="s">
        <v>4340</v>
      </c>
      <c r="C218" s="22">
        <v>218</v>
      </c>
      <c r="D218" s="22">
        <v>3</v>
      </c>
      <c r="E218" s="22" t="s">
        <v>2937</v>
      </c>
      <c r="F218" s="121" t="str">
        <f>HYPERLINK("https://celebrity.okezone.com/read/2019/04/26/33/2048567/unggah-video-bareng-bayi-cara-gendong-lucinta-luna-dikecam-netizen ","sumber")</f>
        <v>sumber</v>
      </c>
      <c r="G218" s="121" t="str">
        <f>HYPERLINK("https://drive.google.com/open?id=16qgjXmQRWHNC_J4PIQLOgbCWsCzFEpsN","lokasi")</f>
        <v>lokasi</v>
      </c>
      <c r="H218" s="22">
        <v>305</v>
      </c>
      <c r="I218" s="22">
        <v>1</v>
      </c>
      <c r="J218" s="22">
        <v>3</v>
      </c>
      <c r="K218" s="123" t="s">
        <v>4341</v>
      </c>
      <c r="L218" s="22">
        <v>-1</v>
      </c>
      <c r="M218" s="22">
        <v>-1</v>
      </c>
      <c r="N218" s="22">
        <v>-1</v>
      </c>
      <c r="O218" s="22">
        <v>0</v>
      </c>
      <c r="P218" s="22">
        <v>0</v>
      </c>
      <c r="Q218" s="22">
        <v>0</v>
      </c>
      <c r="R218" s="22">
        <v>-1</v>
      </c>
      <c r="S218" s="134"/>
      <c r="T218" s="22">
        <v>0</v>
      </c>
      <c r="U218" s="22">
        <v>0</v>
      </c>
      <c r="V218" s="22">
        <v>0</v>
      </c>
      <c r="W218" s="23"/>
      <c r="X218" s="23"/>
      <c r="Y218" s="23"/>
    </row>
    <row r="219" spans="1:25" ht="14.4">
      <c r="A219" s="117">
        <v>1</v>
      </c>
      <c r="B219" s="118" t="s">
        <v>4342</v>
      </c>
      <c r="C219" s="22">
        <v>219</v>
      </c>
      <c r="D219" s="22">
        <v>6</v>
      </c>
      <c r="E219" s="222">
        <v>43470</v>
      </c>
      <c r="F219" s="121" t="str">
        <f>HYPERLINK("https://regional.kompas.com/read/2019/05/01/12594781/dianggap-meresahkan-indekos-waria-di-cianjur-digerebek-warga ","sumber")</f>
        <v>sumber</v>
      </c>
      <c r="G219" s="121" t="str">
        <f>HYPERLINK("https://drive.google.com/open?id=1lyxjXbiE7spJdy8Ve778KMuEA-ITEKdI","lokasi")</f>
        <v>lokasi</v>
      </c>
      <c r="H219" s="22">
        <v>342</v>
      </c>
      <c r="I219" s="22">
        <v>1</v>
      </c>
      <c r="J219" s="22">
        <v>3</v>
      </c>
      <c r="K219" s="123" t="s">
        <v>4343</v>
      </c>
      <c r="L219" s="22">
        <v>0</v>
      </c>
      <c r="M219" s="22">
        <v>-1</v>
      </c>
      <c r="N219" s="125">
        <v>0</v>
      </c>
      <c r="O219" s="22">
        <v>0</v>
      </c>
      <c r="P219" s="22">
        <v>0</v>
      </c>
      <c r="Q219" s="22">
        <v>0</v>
      </c>
      <c r="R219" s="22">
        <v>-1</v>
      </c>
      <c r="S219" s="134"/>
      <c r="T219" s="22">
        <v>0</v>
      </c>
      <c r="U219" s="22">
        <v>0</v>
      </c>
      <c r="V219" s="22">
        <v>0</v>
      </c>
      <c r="W219" s="23"/>
      <c r="X219" s="23"/>
      <c r="Y219" s="23"/>
    </row>
    <row r="220" spans="1:25" ht="14.4">
      <c r="A220" s="111">
        <v>2</v>
      </c>
      <c r="B220" s="112" t="s">
        <v>750</v>
      </c>
      <c r="C220" s="25">
        <v>220</v>
      </c>
      <c r="D220" s="25">
        <v>9</v>
      </c>
      <c r="E220" s="234">
        <v>43590</v>
      </c>
      <c r="F220" s="115" t="str">
        <f>HYPERLINK("https://republika.co.id/berita/ekonomi/pertanian/pr0fm2383/operasi-pasar-bawang-putih-impor-dimulai-hari-ini ","sumber")</f>
        <v>sumber</v>
      </c>
      <c r="G220" s="115" t="str">
        <f>HYPERLINK("https://drive.google.com/open?id=1W5xm7UeqB4e3df3ormWqFR6vBXs1jowR","lokasi")</f>
        <v>lokasi</v>
      </c>
      <c r="H220" s="25">
        <v>677</v>
      </c>
      <c r="I220" s="26"/>
      <c r="J220" s="26"/>
      <c r="K220" s="124"/>
      <c r="L220" s="26"/>
      <c r="M220" s="26"/>
      <c r="N220" s="26"/>
      <c r="O220" s="26"/>
      <c r="P220" s="26"/>
      <c r="Q220" s="26"/>
      <c r="R220" s="26"/>
      <c r="S220" s="124"/>
      <c r="T220" s="26"/>
      <c r="U220" s="26"/>
      <c r="V220" s="26"/>
      <c r="W220" s="26"/>
      <c r="X220" s="26"/>
      <c r="Y220" s="26"/>
    </row>
    <row r="221" spans="1:25" ht="14.4">
      <c r="A221" s="117">
        <v>1</v>
      </c>
      <c r="B221" s="118" t="s">
        <v>4344</v>
      </c>
      <c r="C221" s="22">
        <v>221</v>
      </c>
      <c r="D221" s="22">
        <v>6</v>
      </c>
      <c r="E221" s="222">
        <v>43621</v>
      </c>
      <c r="F221" s="121" t="str">
        <f>HYPERLINK("https://celebrity.okezone.com/read/2019/05/06/33/2052276/unggah-video-berhijab-lucinta-luna-diingatkan-untuk-bertobat ","sumber")</f>
        <v>sumber</v>
      </c>
      <c r="G221" s="121" t="str">
        <f>HYPERLINK("https://drive.google.com/open?id=1Zrv-5uSs2W1ENMHhPDk9rz8fk1nUdxfH","lokasi")</f>
        <v>lokasi</v>
      </c>
      <c r="H221" s="22">
        <v>302</v>
      </c>
      <c r="I221" s="22">
        <v>5</v>
      </c>
      <c r="J221" s="22">
        <v>3</v>
      </c>
      <c r="K221" s="123" t="s">
        <v>4345</v>
      </c>
      <c r="L221" s="22">
        <v>-1</v>
      </c>
      <c r="M221" s="22">
        <v>0</v>
      </c>
      <c r="N221" s="22">
        <v>-1</v>
      </c>
      <c r="O221" s="22">
        <v>0</v>
      </c>
      <c r="P221" s="22">
        <v>0</v>
      </c>
      <c r="Q221" s="22" t="s">
        <v>21</v>
      </c>
      <c r="R221" s="22" t="s">
        <v>706</v>
      </c>
      <c r="S221" s="134"/>
      <c r="T221" s="22">
        <v>0</v>
      </c>
      <c r="U221" s="22">
        <v>-1</v>
      </c>
      <c r="V221" s="22">
        <v>1</v>
      </c>
      <c r="W221" s="23"/>
      <c r="X221" s="23"/>
      <c r="Y221" s="23"/>
    </row>
    <row r="222" spans="1:25" ht="14.4">
      <c r="A222" s="117">
        <v>1</v>
      </c>
      <c r="B222" s="118" t="s">
        <v>1499</v>
      </c>
      <c r="C222" s="22">
        <v>222</v>
      </c>
      <c r="D222" s="22">
        <v>7</v>
      </c>
      <c r="E222" s="22" t="s">
        <v>2173</v>
      </c>
      <c r="F222" s="121" t="str">
        <f>HYPERLINK("http://www.tribunnews.com/regional/2019/05/18/pelajar-sma-bunuh-wiwik-wulandari-motifnya-dendam-karena-kerap-diejek-banci ","sumber")</f>
        <v>sumber</v>
      </c>
      <c r="G222" s="121" t="str">
        <f>HYPERLINK("https://drive.google.com/open?id=1JeKLJr2brAJw0YJH0fdNl7JG8PiPw1Eb","lokasi")</f>
        <v>lokasi</v>
      </c>
      <c r="H222" s="22">
        <v>6</v>
      </c>
      <c r="I222" s="22">
        <v>1</v>
      </c>
      <c r="J222" s="22">
        <v>3</v>
      </c>
      <c r="K222" s="123" t="s">
        <v>4346</v>
      </c>
      <c r="L222" s="22">
        <v>0</v>
      </c>
      <c r="M222" s="22">
        <v>-1</v>
      </c>
      <c r="N222" s="125">
        <v>0</v>
      </c>
      <c r="O222" s="22">
        <v>0</v>
      </c>
      <c r="P222" s="22">
        <v>0</v>
      </c>
      <c r="Q222" s="22" t="s">
        <v>21</v>
      </c>
      <c r="R222" s="22" t="s">
        <v>21</v>
      </c>
      <c r="S222" s="134"/>
      <c r="T222" s="22">
        <v>0</v>
      </c>
      <c r="U222" s="22">
        <v>0</v>
      </c>
      <c r="V222" s="22">
        <v>0</v>
      </c>
      <c r="W222" s="23"/>
      <c r="X222" s="23"/>
      <c r="Y222" s="23"/>
    </row>
    <row r="223" spans="1:25" ht="14.4">
      <c r="A223" s="117">
        <v>1</v>
      </c>
      <c r="B223" s="118" t="s">
        <v>4347</v>
      </c>
      <c r="C223" s="22">
        <v>223</v>
      </c>
      <c r="D223" s="22">
        <v>8</v>
      </c>
      <c r="E223" s="22" t="s">
        <v>358</v>
      </c>
      <c r="F223" s="121" t="str">
        <f>HYPERLINK("https://www.suara.com/health/2019/05/19/132000/cemas-donornya-gay-artis-ini-tolak-transplantasi-hati-dan-tuai-kontroversi ","sumber")</f>
        <v>sumber</v>
      </c>
      <c r="G223" s="121" t="str">
        <f>HYPERLINK("https://drive.google.com/open?id=1_m_mP-rj9FhSM9wmk08onPyaMuGAVlk1","lokasi")</f>
        <v>lokasi</v>
      </c>
      <c r="H223" s="22">
        <v>248</v>
      </c>
      <c r="I223" s="22">
        <v>1</v>
      </c>
      <c r="J223" s="22">
        <v>3</v>
      </c>
      <c r="K223" s="123" t="s">
        <v>4348</v>
      </c>
      <c r="L223" s="22">
        <v>-1</v>
      </c>
      <c r="M223" s="22">
        <v>1</v>
      </c>
      <c r="N223" s="125">
        <v>0</v>
      </c>
      <c r="O223" s="22">
        <v>0</v>
      </c>
      <c r="P223" s="22">
        <v>0</v>
      </c>
      <c r="Q223" s="22" t="s">
        <v>29</v>
      </c>
      <c r="R223" s="22" t="s">
        <v>30</v>
      </c>
      <c r="S223" s="134"/>
      <c r="T223" s="22">
        <v>0</v>
      </c>
      <c r="U223" s="22">
        <v>0</v>
      </c>
      <c r="V223" s="22">
        <v>0</v>
      </c>
      <c r="W223" s="23"/>
      <c r="X223" s="23"/>
      <c r="Y223" s="23"/>
    </row>
    <row r="224" spans="1:25" ht="14.4">
      <c r="A224" s="126">
        <v>1</v>
      </c>
      <c r="B224" s="292" t="s">
        <v>4349</v>
      </c>
      <c r="C224" s="33">
        <v>224</v>
      </c>
      <c r="D224" s="33">
        <v>2</v>
      </c>
      <c r="E224" s="33" t="s">
        <v>761</v>
      </c>
      <c r="F224" s="130" t="str">
        <f>HYPERLINK("https://www.cnnindonesia.com/hiburan/20190523202501-234-397929/ariana-grande-kenang-2-tahun-bom-manchester ","sumber")</f>
        <v>sumber</v>
      </c>
      <c r="G224" s="130" t="str">
        <f>HYPERLINK("https://drive.google.com/open?id=13ChgIrL43SiLm7dAU1V3QWFFOZTZvjYZ","lokasi")</f>
        <v>lokasi</v>
      </c>
      <c r="H224" s="33">
        <v>224</v>
      </c>
      <c r="I224" s="33">
        <v>3</v>
      </c>
      <c r="J224" s="33">
        <v>3</v>
      </c>
      <c r="K224" s="131" t="s">
        <v>4350</v>
      </c>
      <c r="L224" s="33">
        <v>0</v>
      </c>
      <c r="M224" s="33">
        <v>0</v>
      </c>
      <c r="N224" s="132">
        <v>0</v>
      </c>
      <c r="O224" s="33">
        <v>0</v>
      </c>
      <c r="P224" s="33">
        <v>0</v>
      </c>
      <c r="Q224" s="33">
        <v>0</v>
      </c>
      <c r="R224" s="33">
        <v>0</v>
      </c>
      <c r="S224" s="133"/>
      <c r="T224" s="33">
        <v>0</v>
      </c>
      <c r="U224" s="33">
        <v>0</v>
      </c>
      <c r="V224" s="33">
        <v>0</v>
      </c>
      <c r="W224" s="24"/>
      <c r="X224" s="24"/>
      <c r="Y224" s="24"/>
    </row>
    <row r="225" spans="1:25" ht="14.4">
      <c r="A225" s="117">
        <v>1</v>
      </c>
      <c r="B225" s="118" t="s">
        <v>4351</v>
      </c>
      <c r="C225" s="22">
        <v>225</v>
      </c>
      <c r="D225" s="22">
        <v>6</v>
      </c>
      <c r="E225" s="22" t="s">
        <v>208</v>
      </c>
      <c r="F225" s="121" t="str">
        <f>HYPERLINK("https://internasional.kompas.com/read/2019/05/24/22335051/sehari-setelah-disahkan-ratusan-pasangan-sejenis-menikah-di-taiwan ","sumber")</f>
        <v>sumber</v>
      </c>
      <c r="G225" s="121" t="str">
        <f>HYPERLINK("https://drive.google.com/open?id=1V9iVk-9mcyGiOdhGvgHWZHlY2M6eV-Xl","lokasi")</f>
        <v>lokasi</v>
      </c>
      <c r="H225" s="22">
        <v>286</v>
      </c>
      <c r="I225" s="22">
        <v>4</v>
      </c>
      <c r="J225" s="22">
        <v>3</v>
      </c>
      <c r="K225" s="123" t="s">
        <v>4352</v>
      </c>
      <c r="L225" s="22">
        <v>-1</v>
      </c>
      <c r="M225" s="22">
        <v>0</v>
      </c>
      <c r="N225" s="125">
        <v>0</v>
      </c>
      <c r="O225" s="22">
        <v>0</v>
      </c>
      <c r="P225" s="22">
        <v>0</v>
      </c>
      <c r="Q225" s="22" t="s">
        <v>29</v>
      </c>
      <c r="R225" s="22" t="s">
        <v>160</v>
      </c>
      <c r="S225" s="134"/>
      <c r="T225" s="22">
        <v>0</v>
      </c>
      <c r="U225" s="22">
        <v>0</v>
      </c>
      <c r="V225" s="22">
        <v>1</v>
      </c>
      <c r="W225" s="23"/>
      <c r="X225" s="23"/>
      <c r="Y225" s="23"/>
    </row>
    <row r="226" spans="1:25" ht="14.4">
      <c r="A226" s="117">
        <v>1</v>
      </c>
      <c r="B226" s="118" t="s">
        <v>4353</v>
      </c>
      <c r="C226" s="22">
        <v>226</v>
      </c>
      <c r="D226" s="22">
        <v>10</v>
      </c>
      <c r="E226" s="22" t="s">
        <v>208</v>
      </c>
      <c r="F226" s="121" t="str">
        <f>HYPERLINK("https://dunia.tempo.co/read/1208825/uu-rajam-lgbt-dikritik-sultan-brunei-kembalikan-gelar-oxford ","sumber")</f>
        <v>sumber</v>
      </c>
      <c r="G226" s="121" t="str">
        <f>HYPERLINK("https://drive.google.com/open?id=1cy5rt0irz51qmm5uZKn0X3Zr5hJGvw9H","lokasi")</f>
        <v>lokasi</v>
      </c>
      <c r="H226" s="22">
        <v>271</v>
      </c>
      <c r="I226" s="22">
        <v>4</v>
      </c>
      <c r="J226" s="22">
        <v>3</v>
      </c>
      <c r="K226" s="123" t="s">
        <v>4354</v>
      </c>
      <c r="L226" s="22">
        <v>0</v>
      </c>
      <c r="M226" s="22">
        <v>0</v>
      </c>
      <c r="N226" s="125">
        <v>0</v>
      </c>
      <c r="O226" s="22">
        <v>0</v>
      </c>
      <c r="P226" s="22">
        <v>0</v>
      </c>
      <c r="Q226" s="22">
        <v>0</v>
      </c>
      <c r="R226" s="22">
        <v>1</v>
      </c>
      <c r="S226" s="134"/>
      <c r="T226" s="22">
        <v>0</v>
      </c>
      <c r="U226" s="22">
        <v>0</v>
      </c>
      <c r="V226" s="22">
        <v>1</v>
      </c>
      <c r="W226" s="23"/>
      <c r="X226" s="23"/>
      <c r="Y226" s="23"/>
    </row>
    <row r="227" spans="1:25" ht="14.4">
      <c r="A227" s="111">
        <v>2</v>
      </c>
      <c r="B227" s="112" t="s">
        <v>4355</v>
      </c>
      <c r="C227" s="25">
        <v>227</v>
      </c>
      <c r="D227" s="25">
        <v>5</v>
      </c>
      <c r="E227" s="25" t="s">
        <v>2027</v>
      </c>
      <c r="F227" s="115" t="str">
        <f>HYPERLINK("https://tirto.id/bagaimana-capres-di-negara-lain-menerima-kekalahan-d1J4 ","sumber")</f>
        <v>sumber</v>
      </c>
      <c r="G227" s="115" t="str">
        <f>HYPERLINK("https://drive.google.com/open?id=1ggkp2kRs-k1_7uLlEUqCqxgnHk8W1DRR","lokasi")</f>
        <v>lokasi</v>
      </c>
      <c r="H227" s="25">
        <v>953</v>
      </c>
      <c r="I227" s="26"/>
      <c r="J227" s="26"/>
      <c r="K227" s="124"/>
      <c r="L227" s="26"/>
      <c r="M227" s="26"/>
      <c r="N227" s="26"/>
      <c r="O227" s="26"/>
      <c r="P227" s="26"/>
      <c r="Q227" s="26"/>
      <c r="R227" s="26"/>
      <c r="S227" s="124"/>
      <c r="T227" s="26"/>
      <c r="U227" s="26"/>
      <c r="V227" s="26"/>
      <c r="W227" s="26"/>
      <c r="X227" s="26"/>
      <c r="Y227" s="26"/>
    </row>
    <row r="228" spans="1:25" ht="14.4">
      <c r="A228" s="126">
        <v>1</v>
      </c>
      <c r="B228" s="292" t="s">
        <v>4356</v>
      </c>
      <c r="C228" s="33">
        <v>228</v>
      </c>
      <c r="D228" s="33">
        <v>2</v>
      </c>
      <c r="E228" s="33" t="s">
        <v>358</v>
      </c>
      <c r="F228" s="130" t="str">
        <f>HYPERLINK("https://www.cnnindonesia.com/hiburan/20190519143707-220-396204/rocketman-dibicarakan-karena-adegan-lgbtq ","sumber")</f>
        <v>sumber</v>
      </c>
      <c r="G228" s="130" t="str">
        <f>HYPERLINK("https://drive.google.com/open?id=1r44j7a-zVlXRQw-XpIgpiasyxOJK5a3-","lokasi")</f>
        <v>lokasi</v>
      </c>
      <c r="H228" s="33">
        <v>283</v>
      </c>
      <c r="I228" s="33">
        <v>1</v>
      </c>
      <c r="J228" s="33">
        <v>3</v>
      </c>
      <c r="K228" s="131" t="s">
        <v>4357</v>
      </c>
      <c r="L228" s="33">
        <v>-1</v>
      </c>
      <c r="M228" s="147">
        <v>0</v>
      </c>
      <c r="N228" s="132">
        <v>0</v>
      </c>
      <c r="O228" s="33">
        <v>0</v>
      </c>
      <c r="P228" s="33">
        <v>0</v>
      </c>
      <c r="Q228" s="33" t="s">
        <v>29</v>
      </c>
      <c r="R228" s="33" t="s">
        <v>182</v>
      </c>
      <c r="S228" s="133"/>
      <c r="T228" s="33">
        <v>0</v>
      </c>
      <c r="U228" s="33">
        <v>0</v>
      </c>
      <c r="V228" s="33">
        <v>1</v>
      </c>
      <c r="W228" s="24"/>
      <c r="X228" s="24"/>
      <c r="Y228" s="24"/>
    </row>
    <row r="229" spans="1:25" ht="14.4">
      <c r="A229" s="111">
        <v>2</v>
      </c>
      <c r="B229" s="112" t="s">
        <v>4358</v>
      </c>
      <c r="C229" s="25">
        <v>229</v>
      </c>
      <c r="D229" s="25">
        <v>5</v>
      </c>
      <c r="E229" s="25" t="s">
        <v>2564</v>
      </c>
      <c r="F229" s="115" t="str">
        <f>HYPERLINK("https://tirto.id/alasan-orang-orang-aceh-tak-lagi-memilih-jokowi-dUZu ","sumber")</f>
        <v>sumber</v>
      </c>
      <c r="G229" s="115" t="str">
        <f>HYPERLINK("https://drive.google.com/open?id=1B1PIfjQkk6hqh9Cw59_KUVBLo0DQs4Qo","lokasi")</f>
        <v>lokasi</v>
      </c>
      <c r="H229" s="25">
        <v>1341</v>
      </c>
      <c r="I229" s="26"/>
      <c r="J229" s="26"/>
      <c r="K229" s="124"/>
      <c r="L229" s="26"/>
      <c r="M229" s="26"/>
      <c r="N229" s="26"/>
      <c r="O229" s="26"/>
      <c r="P229" s="26"/>
      <c r="Q229" s="26"/>
      <c r="R229" s="26"/>
      <c r="S229" s="124"/>
      <c r="T229" s="26"/>
      <c r="U229" s="26"/>
      <c r="V229" s="26"/>
      <c r="W229" s="26"/>
      <c r="X229" s="26"/>
      <c r="Y229" s="26"/>
    </row>
    <row r="230" spans="1:25" ht="14.4">
      <c r="A230" s="117">
        <v>1</v>
      </c>
      <c r="B230" s="118" t="s">
        <v>4359</v>
      </c>
      <c r="C230" s="22">
        <v>230</v>
      </c>
      <c r="D230" s="22">
        <v>7</v>
      </c>
      <c r="E230" s="22" t="s">
        <v>2564</v>
      </c>
      <c r="F230" s="121" t="str">
        <f>HYPERLINK("http://www.tribunnews.com/regional/2019/05/26/gara-gara-cintanya-ditolak-pria-di-palembang-tega-bunuh-kekasih-warianya ","sumber")</f>
        <v>sumber</v>
      </c>
      <c r="G230" s="121" t="str">
        <f>HYPERLINK("https://drive.google.com/open?id=1xKpA9moyRe2RQXYK_HXOJZeX9zmXhoRy","lokasi")</f>
        <v>lokasi</v>
      </c>
      <c r="H230" s="22">
        <v>157</v>
      </c>
      <c r="I230" s="22">
        <v>1</v>
      </c>
      <c r="J230" s="22">
        <v>3</v>
      </c>
      <c r="K230" s="123" t="s">
        <v>4360</v>
      </c>
      <c r="L230" s="22">
        <v>0</v>
      </c>
      <c r="M230" s="22">
        <v>1</v>
      </c>
      <c r="N230" s="22">
        <v>-1</v>
      </c>
      <c r="O230" s="22">
        <v>0</v>
      </c>
      <c r="P230" s="22">
        <v>-1</v>
      </c>
      <c r="Q230" s="22" t="s">
        <v>87</v>
      </c>
      <c r="R230" s="22" t="s">
        <v>29</v>
      </c>
      <c r="S230" s="134"/>
      <c r="T230" s="22">
        <v>0</v>
      </c>
      <c r="U230" s="22">
        <v>-1</v>
      </c>
      <c r="V230" s="22">
        <v>0</v>
      </c>
      <c r="W230" s="23"/>
      <c r="X230" s="23"/>
      <c r="Y230" s="23"/>
    </row>
    <row r="231" spans="1:25" ht="14.4">
      <c r="A231" s="117">
        <v>1</v>
      </c>
      <c r="B231" s="118" t="s">
        <v>4361</v>
      </c>
      <c r="C231" s="22">
        <v>231</v>
      </c>
      <c r="D231" s="22">
        <v>8</v>
      </c>
      <c r="E231" s="22" t="s">
        <v>2177</v>
      </c>
      <c r="F231" s="121" t="str">
        <f>HYPERLINK("https://www.suara.com/news/2019/05/27/162822/dilarang-negara-cucu-pendiri-singapura-nikahi-kekasih-gay-di-afsel ","sumber")</f>
        <v>sumber</v>
      </c>
      <c r="G231" s="121" t="str">
        <f>HYPERLINK("https://drive.google.com/open?id=1angvpGgMbQo2Xb3TRZQwnz6WLMjscVwN","lokasi")</f>
        <v>lokasi</v>
      </c>
      <c r="H231" s="22">
        <v>270</v>
      </c>
      <c r="I231" s="22">
        <v>2</v>
      </c>
      <c r="J231" s="22">
        <v>3</v>
      </c>
      <c r="K231" s="123" t="s">
        <v>4362</v>
      </c>
      <c r="L231" s="22">
        <v>0</v>
      </c>
      <c r="M231" s="22">
        <v>0</v>
      </c>
      <c r="N231" s="125">
        <v>0</v>
      </c>
      <c r="O231" s="22">
        <v>0</v>
      </c>
      <c r="P231" s="22">
        <v>0</v>
      </c>
      <c r="Q231" s="22" t="s">
        <v>48</v>
      </c>
      <c r="R231" s="22" t="s">
        <v>1416</v>
      </c>
      <c r="S231" s="134"/>
      <c r="T231" s="22">
        <v>0</v>
      </c>
      <c r="U231" s="22">
        <v>0</v>
      </c>
      <c r="V231" s="22">
        <v>0</v>
      </c>
      <c r="W231" s="23"/>
      <c r="X231" s="23"/>
      <c r="Y231" s="23"/>
    </row>
    <row r="232" spans="1:25" ht="14.4">
      <c r="A232" s="117">
        <v>1</v>
      </c>
      <c r="B232" s="118" t="s">
        <v>4363</v>
      </c>
      <c r="C232" s="22">
        <v>232</v>
      </c>
      <c r="D232" s="22">
        <v>10</v>
      </c>
      <c r="E232" s="22" t="s">
        <v>2177</v>
      </c>
      <c r="F232" s="121" t="str">
        <f>HYPERLINK("https://seleb.tempo.co/read/1209731/baru-kenal-ashanty-beberkan-perilaku-lucinta-luna ","sumber")</f>
        <v>sumber</v>
      </c>
      <c r="G232" s="22" t="s">
        <v>1</v>
      </c>
      <c r="H232" s="22">
        <v>168</v>
      </c>
      <c r="I232" s="22">
        <v>2</v>
      </c>
      <c r="J232" s="22">
        <v>3</v>
      </c>
      <c r="K232" s="123" t="s">
        <v>4364</v>
      </c>
      <c r="L232" s="22">
        <v>0</v>
      </c>
      <c r="M232" s="22">
        <v>0</v>
      </c>
      <c r="N232" s="125">
        <v>0</v>
      </c>
      <c r="O232" s="22">
        <v>0</v>
      </c>
      <c r="P232" s="22">
        <v>0</v>
      </c>
      <c r="Q232" s="22">
        <v>0</v>
      </c>
      <c r="R232" s="22">
        <v>1</v>
      </c>
      <c r="S232" s="134"/>
      <c r="T232" s="22">
        <v>0</v>
      </c>
      <c r="U232" s="22">
        <v>-1</v>
      </c>
      <c r="V232" s="22">
        <v>1</v>
      </c>
      <c r="W232" s="23"/>
      <c r="X232" s="23"/>
      <c r="Y232" s="23"/>
    </row>
    <row r="233" spans="1:25" ht="14.4">
      <c r="A233" s="117">
        <v>1</v>
      </c>
      <c r="B233" s="118" t="s">
        <v>4365</v>
      </c>
      <c r="C233" s="22">
        <v>233</v>
      </c>
      <c r="D233" s="22">
        <v>7</v>
      </c>
      <c r="E233" s="22" t="s">
        <v>2177</v>
      </c>
      <c r="F233" s="121" t="str">
        <f>HYPERLINK("http://www.tribunnews.com/internasional/2019/05/27/kontroversi-pernikahan-sesama-jenis-cucu-pendiri-singapura-lee-kuan-yew-jadi-sorotan-internasional ","sumber")</f>
        <v>sumber</v>
      </c>
      <c r="G233" s="22" t="s">
        <v>1</v>
      </c>
      <c r="H233" s="22">
        <v>248</v>
      </c>
      <c r="I233" s="22">
        <v>2</v>
      </c>
      <c r="J233" s="22">
        <v>3</v>
      </c>
      <c r="K233" s="123" t="s">
        <v>4366</v>
      </c>
      <c r="L233" s="22">
        <v>-1</v>
      </c>
      <c r="M233" s="22">
        <v>0</v>
      </c>
      <c r="N233" s="125">
        <v>0</v>
      </c>
      <c r="O233" s="22">
        <v>0</v>
      </c>
      <c r="P233" s="22">
        <v>0</v>
      </c>
      <c r="Q233" s="22">
        <v>2</v>
      </c>
      <c r="R233" s="22">
        <v>1</v>
      </c>
      <c r="S233" s="134"/>
      <c r="T233" s="22">
        <v>0</v>
      </c>
      <c r="U233" s="22">
        <v>-1</v>
      </c>
      <c r="V233" s="22">
        <v>0</v>
      </c>
      <c r="W233" s="23"/>
      <c r="X233" s="23"/>
      <c r="Y233" s="23"/>
    </row>
    <row r="234" spans="1:25" ht="13.2">
      <c r="A234" s="21">
        <v>2</v>
      </c>
      <c r="B234" s="25" t="s">
        <v>4367</v>
      </c>
      <c r="C234" s="25">
        <v>234</v>
      </c>
      <c r="D234" s="25">
        <v>5</v>
      </c>
      <c r="E234" s="25" t="s">
        <v>4368</v>
      </c>
      <c r="F234" s="115" t="str">
        <f>HYPERLINK("https://tirto.id/kemenangan-parasites-dalam-cannes-unjuk-wajah-baru-sinema-asia-d7f7 ","sumber")</f>
        <v>sumber</v>
      </c>
      <c r="G234" s="25" t="s">
        <v>1</v>
      </c>
      <c r="H234" s="25">
        <v>1614</v>
      </c>
      <c r="I234" s="271"/>
      <c r="J234" s="293"/>
      <c r="K234" s="271"/>
      <c r="L234" s="26"/>
      <c r="M234" s="26"/>
      <c r="N234" s="26"/>
      <c r="O234" s="26"/>
      <c r="P234" s="26"/>
      <c r="Q234" s="26"/>
      <c r="R234" s="26"/>
      <c r="S234" s="124"/>
      <c r="T234" s="26"/>
      <c r="U234" s="271"/>
      <c r="V234" s="271"/>
      <c r="W234" s="26"/>
      <c r="X234" s="26"/>
      <c r="Y234" s="26"/>
    </row>
    <row r="235" spans="1:25" ht="13.2">
      <c r="A235" s="188">
        <v>1</v>
      </c>
      <c r="B235" s="22" t="s">
        <v>4369</v>
      </c>
      <c r="C235" s="22">
        <v>235</v>
      </c>
      <c r="D235" s="22">
        <v>8</v>
      </c>
      <c r="E235" s="22" t="s">
        <v>372</v>
      </c>
      <c r="F235" s="121" t="str">
        <f>HYPERLINK("https://www.suara.com/entertainment/2019/05/30/192252/captain-vincent-raditya-bantah-ajak-lucinta-luna-kolaborasi ","sumber")</f>
        <v>sumber</v>
      </c>
      <c r="G235" s="22" t="s">
        <v>1</v>
      </c>
      <c r="H235" s="22">
        <v>255</v>
      </c>
      <c r="I235" s="22">
        <v>1</v>
      </c>
      <c r="J235" s="22">
        <v>3</v>
      </c>
      <c r="K235" s="123" t="s">
        <v>4370</v>
      </c>
      <c r="L235" s="22">
        <v>0</v>
      </c>
      <c r="M235" s="22">
        <v>-1</v>
      </c>
      <c r="N235" s="125">
        <v>0</v>
      </c>
      <c r="O235" s="22">
        <v>0</v>
      </c>
      <c r="P235" s="22">
        <v>0</v>
      </c>
      <c r="Q235" s="22" t="s">
        <v>29</v>
      </c>
      <c r="R235" s="22" t="s">
        <v>29</v>
      </c>
      <c r="S235" s="134"/>
      <c r="T235" s="22">
        <v>0</v>
      </c>
      <c r="U235" s="22">
        <v>-1</v>
      </c>
      <c r="V235" s="22">
        <v>0</v>
      </c>
      <c r="W235" s="23"/>
      <c r="X235" s="23"/>
      <c r="Y235" s="23"/>
    </row>
    <row r="236" spans="1:25" ht="13.2">
      <c r="A236" s="209">
        <v>1</v>
      </c>
      <c r="B236" s="132" t="s">
        <v>4371</v>
      </c>
      <c r="C236" s="33">
        <v>236</v>
      </c>
      <c r="D236" s="33">
        <v>2</v>
      </c>
      <c r="E236" s="288">
        <v>43714</v>
      </c>
      <c r="F236" s="130" t="str">
        <f>HYPERLINK("https://www.cnnindonesia.com/internasional/20190609072258-134-401835/polisi-inggris-usut-lima-remaja-penganiaya-pasangan-lesbian ","sumber")</f>
        <v>sumber</v>
      </c>
      <c r="G236" s="33" t="s">
        <v>1</v>
      </c>
      <c r="H236" s="33">
        <v>400</v>
      </c>
      <c r="I236" s="33">
        <v>1</v>
      </c>
      <c r="J236" s="33">
        <v>3</v>
      </c>
      <c r="K236" s="131" t="s">
        <v>4372</v>
      </c>
      <c r="L236" s="33">
        <v>0</v>
      </c>
      <c r="M236" s="33">
        <v>-1</v>
      </c>
      <c r="N236" s="132">
        <v>0</v>
      </c>
      <c r="O236" s="33">
        <v>0</v>
      </c>
      <c r="P236" s="33">
        <v>0</v>
      </c>
      <c r="Q236" s="33" t="s">
        <v>48</v>
      </c>
      <c r="R236" s="33" t="s">
        <v>360</v>
      </c>
      <c r="S236" s="133"/>
      <c r="T236" s="33">
        <v>0</v>
      </c>
      <c r="U236" s="33">
        <v>0</v>
      </c>
      <c r="V236" s="33">
        <v>0</v>
      </c>
      <c r="W236" s="24"/>
      <c r="X236" s="24"/>
      <c r="Y236" s="24"/>
    </row>
    <row r="237" spans="1:25" ht="13.2">
      <c r="A237" s="21">
        <v>2</v>
      </c>
      <c r="B237" s="25" t="s">
        <v>4373</v>
      </c>
      <c r="C237" s="25">
        <v>237</v>
      </c>
      <c r="D237" s="25">
        <v>4</v>
      </c>
      <c r="E237" s="234">
        <v>43502</v>
      </c>
      <c r="F237" s="115" t="str">
        <f>HYPERLINK("https://www.liputan6.com/global/read/3981980/1200-perempuan-penduduk-asli-kanada-diduga-jadi-korban-genosida ","sumber")</f>
        <v>sumber</v>
      </c>
      <c r="G237" s="25" t="s">
        <v>1</v>
      </c>
      <c r="H237" s="25">
        <v>457</v>
      </c>
      <c r="I237" s="26"/>
      <c r="J237" s="26"/>
      <c r="K237" s="124"/>
      <c r="L237" s="26"/>
      <c r="M237" s="26"/>
      <c r="N237" s="26"/>
      <c r="O237" s="26"/>
      <c r="P237" s="26"/>
      <c r="Q237" s="26"/>
      <c r="R237" s="26"/>
      <c r="S237" s="124"/>
      <c r="T237" s="26"/>
      <c r="U237" s="26"/>
      <c r="V237" s="26"/>
      <c r="W237" s="26"/>
      <c r="X237" s="26"/>
      <c r="Y237" s="26"/>
    </row>
    <row r="238" spans="1:25" ht="13.2">
      <c r="A238" s="188">
        <v>1</v>
      </c>
      <c r="B238" s="22" t="s">
        <v>4374</v>
      </c>
      <c r="C238" s="22">
        <v>238</v>
      </c>
      <c r="D238" s="22">
        <v>2</v>
      </c>
      <c r="E238" s="222">
        <v>43530</v>
      </c>
      <c r="F238" s="121" t="str">
        <f>HYPERLINK("https://www.cnnindonesia.com/nasional/20190603202457-20-400777/bkkbn-sebut-lgbt-musuh-pembangunan ","sumber")</f>
        <v>sumber</v>
      </c>
      <c r="G238" s="22" t="s">
        <v>1</v>
      </c>
      <c r="H238" s="22">
        <v>241</v>
      </c>
      <c r="I238" s="22">
        <v>1</v>
      </c>
      <c r="J238" s="22">
        <v>3</v>
      </c>
      <c r="K238" s="123" t="s">
        <v>4375</v>
      </c>
      <c r="L238" s="22">
        <v>0</v>
      </c>
      <c r="M238" s="22">
        <v>-1</v>
      </c>
      <c r="N238" s="125">
        <v>0</v>
      </c>
      <c r="O238" s="22">
        <v>0</v>
      </c>
      <c r="P238" s="22">
        <v>0</v>
      </c>
      <c r="Q238" s="22">
        <v>0</v>
      </c>
      <c r="R238" s="22">
        <v>-1</v>
      </c>
      <c r="S238" s="123" t="s">
        <v>4376</v>
      </c>
      <c r="T238" s="22">
        <v>2</v>
      </c>
      <c r="U238" s="22">
        <v>0</v>
      </c>
      <c r="V238" s="22">
        <v>0</v>
      </c>
      <c r="W238" s="23"/>
      <c r="X238" s="23"/>
      <c r="Y238" s="23"/>
    </row>
    <row r="239" spans="1:25" ht="13.2">
      <c r="A239" s="21">
        <v>2</v>
      </c>
      <c r="B239" s="25" t="s">
        <v>4377</v>
      </c>
      <c r="C239" s="25">
        <v>239</v>
      </c>
      <c r="D239" s="25">
        <v>7</v>
      </c>
      <c r="E239" s="234">
        <v>43530</v>
      </c>
      <c r="F239" s="115" t="str">
        <f>HYPERLINK("http://www.tribunnews.com/nasional/2019/06/03/senin-sore-besok-prabowo-subianto-akan-sambangi-puri-cikeas-sampaikan-belasungkawa-ke-sby ","sumber")</f>
        <v>sumber</v>
      </c>
      <c r="G239" s="25" t="s">
        <v>1</v>
      </c>
      <c r="H239" s="25">
        <v>226</v>
      </c>
      <c r="I239" s="26"/>
      <c r="J239" s="26"/>
      <c r="K239" s="124"/>
      <c r="L239" s="26"/>
      <c r="M239" s="26"/>
      <c r="N239" s="26"/>
      <c r="O239" s="26"/>
      <c r="P239" s="26"/>
      <c r="Q239" s="26"/>
      <c r="R239" s="26"/>
      <c r="S239" s="124"/>
      <c r="T239" s="26"/>
      <c r="U239" s="26"/>
      <c r="V239" s="26"/>
      <c r="W239" s="26"/>
      <c r="X239" s="26"/>
      <c r="Y239" s="26"/>
    </row>
    <row r="240" spans="1:25" ht="13.2">
      <c r="A240" s="188">
        <v>1</v>
      </c>
      <c r="B240" s="22" t="s">
        <v>4378</v>
      </c>
      <c r="C240" s="22">
        <v>240</v>
      </c>
      <c r="D240" s="22">
        <v>8</v>
      </c>
      <c r="E240" s="222">
        <v>43714</v>
      </c>
      <c r="F240" s="121" t="str">
        <f>HYPERLINK("https://www.suara.com/entertainment/2019/06/09/095001/lucinta-luna-ngaku-minum-pil-kb-buat-apa ","sumber")</f>
        <v>sumber</v>
      </c>
      <c r="G240" s="223" t="s">
        <v>1</v>
      </c>
      <c r="H240" s="22">
        <v>221</v>
      </c>
      <c r="I240" s="22">
        <v>1</v>
      </c>
      <c r="J240" s="22">
        <v>3</v>
      </c>
      <c r="K240" s="123" t="s">
        <v>4379</v>
      </c>
      <c r="L240" s="22">
        <v>-1</v>
      </c>
      <c r="M240" s="22">
        <v>-1</v>
      </c>
      <c r="N240" s="22">
        <v>-1</v>
      </c>
      <c r="O240" s="22">
        <v>0</v>
      </c>
      <c r="P240" s="22">
        <v>0</v>
      </c>
      <c r="Q240" s="22" t="s">
        <v>21</v>
      </c>
      <c r="R240" s="22" t="s">
        <v>514</v>
      </c>
      <c r="S240" s="134"/>
      <c r="T240" s="22">
        <v>0</v>
      </c>
      <c r="U240" s="22">
        <v>-1</v>
      </c>
      <c r="V240" s="22">
        <v>0</v>
      </c>
      <c r="W240" s="23"/>
      <c r="X240" s="23"/>
      <c r="Y240" s="23"/>
    </row>
    <row r="241" spans="1:25" ht="13.2">
      <c r="A241" s="188">
        <v>1</v>
      </c>
      <c r="B241" s="22" t="s">
        <v>4380</v>
      </c>
      <c r="C241" s="22">
        <v>241</v>
      </c>
      <c r="D241" s="22">
        <v>8</v>
      </c>
      <c r="E241" s="222">
        <v>43775</v>
      </c>
      <c r="F241" s="121" t="str">
        <f>HYPERLINK("https://www.suara.com/entertainment/2019/06/11/081054/lucinta-luna-hina-wajah-seseorang-warganet-nggak-ngaca ","sumber")</f>
        <v>sumber</v>
      </c>
      <c r="G241" s="22" t="s">
        <v>1</v>
      </c>
      <c r="H241" s="22">
        <v>212</v>
      </c>
      <c r="I241" s="22">
        <v>1</v>
      </c>
      <c r="J241" s="22">
        <v>3</v>
      </c>
      <c r="K241" s="123" t="s">
        <v>4381</v>
      </c>
      <c r="L241" s="22">
        <v>-1</v>
      </c>
      <c r="M241" s="22">
        <v>-1</v>
      </c>
      <c r="N241" s="22">
        <v>-1</v>
      </c>
      <c r="O241" s="22">
        <v>0</v>
      </c>
      <c r="P241" s="22">
        <v>0</v>
      </c>
      <c r="Q241" s="22" t="s">
        <v>29</v>
      </c>
      <c r="R241" s="22" t="s">
        <v>53</v>
      </c>
      <c r="S241" s="134"/>
      <c r="T241" s="22">
        <v>0</v>
      </c>
      <c r="U241" s="22">
        <v>-1</v>
      </c>
      <c r="V241" s="22">
        <v>0</v>
      </c>
      <c r="W241" s="23"/>
      <c r="X241" s="23"/>
      <c r="Y241" s="23"/>
    </row>
    <row r="242" spans="1:25" ht="13.2">
      <c r="A242" s="188">
        <v>1</v>
      </c>
      <c r="B242" s="22" t="s">
        <v>4382</v>
      </c>
      <c r="C242" s="22">
        <v>242</v>
      </c>
      <c r="D242" s="22">
        <v>7</v>
      </c>
      <c r="E242" s="222">
        <v>43805</v>
      </c>
      <c r="F242" s="121" t="str">
        <f>HYPERLINK("http://www.tribunnews.com/regional/2019/06/12/plt-kepala-satpol-pp-kota-bandung-sebut-waria-pintar-cari-kelengahan-anggotanya ","sumber")</f>
        <v>sumber</v>
      </c>
      <c r="G242" s="22" t="s">
        <v>1</v>
      </c>
      <c r="H242" s="22">
        <v>203</v>
      </c>
      <c r="I242" s="22">
        <v>1</v>
      </c>
      <c r="J242" s="22">
        <v>3</v>
      </c>
      <c r="K242" s="123" t="s">
        <v>4383</v>
      </c>
      <c r="L242" s="22">
        <v>0</v>
      </c>
      <c r="M242" s="22">
        <v>-1</v>
      </c>
      <c r="N242" s="125">
        <v>0</v>
      </c>
      <c r="O242" s="22">
        <v>0</v>
      </c>
      <c r="P242" s="22">
        <v>0</v>
      </c>
      <c r="Q242" s="22">
        <v>0</v>
      </c>
      <c r="R242" s="22">
        <v>-1</v>
      </c>
      <c r="S242" s="134"/>
      <c r="T242" s="22">
        <v>0</v>
      </c>
      <c r="U242" s="22">
        <v>0</v>
      </c>
      <c r="V242" s="22">
        <v>0</v>
      </c>
      <c r="W242" s="23"/>
      <c r="X242" s="23"/>
      <c r="Y242" s="23"/>
    </row>
    <row r="243" spans="1:25" ht="13.2">
      <c r="A243" s="21">
        <v>2</v>
      </c>
      <c r="B243" s="25" t="s">
        <v>4384</v>
      </c>
      <c r="C243" s="25">
        <v>243</v>
      </c>
      <c r="D243" s="25">
        <v>8</v>
      </c>
      <c r="E243" s="25" t="s">
        <v>4385</v>
      </c>
      <c r="F243" s="115" t="str">
        <f>HYPERLINK("https://www.suara.com/news/2019/06/13/144005/ujaran-jokowi-banci-habib-bahar-bin-smith-dituntut-6-tahun-penjara ","sumber")</f>
        <v>sumber</v>
      </c>
      <c r="G243" s="25" t="s">
        <v>1</v>
      </c>
      <c r="H243" s="25">
        <v>286</v>
      </c>
      <c r="I243" s="26"/>
      <c r="J243" s="26"/>
      <c r="K243" s="124"/>
      <c r="L243" s="26"/>
      <c r="M243" s="26"/>
      <c r="N243" s="26"/>
      <c r="O243" s="26"/>
      <c r="P243" s="26"/>
      <c r="Q243" s="26"/>
      <c r="R243" s="26"/>
      <c r="S243" s="124"/>
      <c r="T243" s="26"/>
      <c r="U243" s="26"/>
      <c r="V243" s="26"/>
      <c r="W243" s="26"/>
      <c r="X243" s="26"/>
      <c r="Y243" s="26"/>
    </row>
    <row r="244" spans="1:25" ht="13.2">
      <c r="A244" s="188">
        <v>1</v>
      </c>
      <c r="B244" s="22" t="s">
        <v>4386</v>
      </c>
      <c r="C244" s="22">
        <v>244</v>
      </c>
      <c r="D244" s="22">
        <v>7</v>
      </c>
      <c r="E244" s="22" t="s">
        <v>227</v>
      </c>
      <c r="F244" s="121" t="str">
        <f>HYPERLINK("http://www.tribunnews.com/seleb/2019/06/15/rilis-lagu-di-hari-ulang-tahun-donald-trump-taylor-swift-disebut-buat-sindiran-untuk-presiden-as ","sumber")</f>
        <v>sumber</v>
      </c>
      <c r="G244" s="22" t="s">
        <v>1</v>
      </c>
      <c r="H244" s="22">
        <v>116</v>
      </c>
      <c r="I244" s="22">
        <v>3</v>
      </c>
      <c r="J244" s="22">
        <v>3</v>
      </c>
      <c r="K244" s="123" t="s">
        <v>4387</v>
      </c>
      <c r="L244" s="22">
        <v>0</v>
      </c>
      <c r="M244" s="22">
        <v>0</v>
      </c>
      <c r="N244" s="125">
        <v>0</v>
      </c>
      <c r="O244" s="22">
        <v>0</v>
      </c>
      <c r="P244" s="22">
        <v>0</v>
      </c>
      <c r="Q244" s="22" t="s">
        <v>29</v>
      </c>
      <c r="R244" s="22" t="s">
        <v>68</v>
      </c>
      <c r="S244" s="134"/>
      <c r="T244" s="22">
        <v>0</v>
      </c>
      <c r="U244" s="22">
        <v>0</v>
      </c>
      <c r="V244" s="22">
        <v>1</v>
      </c>
      <c r="W244" s="23"/>
      <c r="X244" s="23"/>
      <c r="Y244" s="23"/>
    </row>
    <row r="245" spans="1:25" ht="13.2">
      <c r="A245" s="209">
        <v>1</v>
      </c>
      <c r="B245" s="132" t="s">
        <v>4388</v>
      </c>
      <c r="C245" s="33">
        <v>245</v>
      </c>
      <c r="D245" s="33">
        <v>9</v>
      </c>
      <c r="E245" s="288">
        <v>43472</v>
      </c>
      <c r="F245" s="130" t="str">
        <f>HYPERLINK("https://republika.co.id/berita/pty6l5349/alarm-bagi-orang-tua-dari-tampilan-lgbt-dalam-serial-kartun ","sumber")</f>
        <v>sumber</v>
      </c>
      <c r="G245" s="33" t="s">
        <v>1</v>
      </c>
      <c r="H245" s="33">
        <v>508</v>
      </c>
      <c r="I245" s="33">
        <v>1</v>
      </c>
      <c r="J245" s="33">
        <v>3</v>
      </c>
      <c r="K245" s="131" t="s">
        <v>4389</v>
      </c>
      <c r="L245" s="33">
        <v>0</v>
      </c>
      <c r="M245" s="147">
        <v>0</v>
      </c>
      <c r="N245" s="132">
        <v>0</v>
      </c>
      <c r="O245" s="33">
        <v>0</v>
      </c>
      <c r="P245" s="33">
        <v>0</v>
      </c>
      <c r="Q245" s="33" t="s">
        <v>29</v>
      </c>
      <c r="R245" s="33" t="s">
        <v>68</v>
      </c>
      <c r="S245" s="131" t="s">
        <v>4390</v>
      </c>
      <c r="T245" s="33">
        <v>2</v>
      </c>
      <c r="U245" s="33">
        <v>0</v>
      </c>
      <c r="V245" s="33">
        <v>0</v>
      </c>
      <c r="W245" s="24"/>
      <c r="X245" s="24"/>
      <c r="Y245" s="24"/>
    </row>
    <row r="246" spans="1:25" ht="13.2">
      <c r="A246" s="188">
        <v>1</v>
      </c>
      <c r="B246" s="22" t="s">
        <v>4391</v>
      </c>
      <c r="C246" s="22">
        <v>246</v>
      </c>
      <c r="D246" s="22">
        <v>5</v>
      </c>
      <c r="E246" s="22" t="s">
        <v>382</v>
      </c>
      <c r="F246" s="121" t="str">
        <f>HYPERLINK("https://tirto.id/preview-drama-strong-girl-bong-soon-episode-7-di-trans-tv-sore-ini-ecAa ","sumber")</f>
        <v>sumber</v>
      </c>
      <c r="G246" s="22" t="s">
        <v>1</v>
      </c>
      <c r="H246" s="22">
        <v>647</v>
      </c>
      <c r="I246" s="22">
        <v>5</v>
      </c>
      <c r="J246" s="22">
        <v>3</v>
      </c>
      <c r="K246" s="123"/>
      <c r="L246" s="22">
        <v>0</v>
      </c>
      <c r="M246" s="22">
        <v>0</v>
      </c>
      <c r="N246" s="125">
        <v>0</v>
      </c>
      <c r="O246" s="22">
        <v>0</v>
      </c>
      <c r="P246" s="22">
        <v>0</v>
      </c>
      <c r="Q246" s="22"/>
      <c r="R246" s="22"/>
      <c r="S246" s="134"/>
      <c r="T246" s="22">
        <v>0</v>
      </c>
      <c r="U246" s="22">
        <v>0</v>
      </c>
      <c r="V246" s="22">
        <v>0</v>
      </c>
      <c r="W246" s="23"/>
      <c r="X246" s="23"/>
      <c r="Y246" s="23"/>
    </row>
    <row r="247" spans="1:25" ht="13.2">
      <c r="A247" s="188">
        <v>1</v>
      </c>
      <c r="B247" s="22" t="s">
        <v>1512</v>
      </c>
      <c r="C247" s="22">
        <v>247</v>
      </c>
      <c r="D247" s="22">
        <v>2</v>
      </c>
      <c r="E247" s="22" t="s">
        <v>575</v>
      </c>
      <c r="F247" s="121" t="str">
        <f>HYPERLINK("https://www.cnnindonesia.com/hiburan/20190618201106-234-404409/elton-john-akan-terima-penghargaan-dari-presiden-prancis ","sumber")</f>
        <v>sumber</v>
      </c>
      <c r="G247" s="22" t="s">
        <v>1</v>
      </c>
      <c r="H247" s="22">
        <v>285</v>
      </c>
      <c r="I247" s="22">
        <v>2</v>
      </c>
      <c r="J247" s="22">
        <v>3</v>
      </c>
      <c r="K247" s="123"/>
      <c r="L247" s="22">
        <v>0</v>
      </c>
      <c r="M247" s="22">
        <v>0</v>
      </c>
      <c r="N247" s="125">
        <v>0</v>
      </c>
      <c r="O247" s="22">
        <v>0</v>
      </c>
      <c r="P247" s="22">
        <v>0</v>
      </c>
      <c r="Q247" s="22"/>
      <c r="R247" s="22"/>
      <c r="S247" s="134"/>
      <c r="T247" s="22">
        <v>0</v>
      </c>
      <c r="U247" s="22">
        <v>0</v>
      </c>
      <c r="V247" s="22">
        <v>0</v>
      </c>
      <c r="W247" s="23"/>
      <c r="X247" s="23"/>
      <c r="Y247" s="23"/>
    </row>
    <row r="248" spans="1:25" ht="13.2">
      <c r="A248" s="209">
        <v>1</v>
      </c>
      <c r="B248" s="132" t="s">
        <v>4392</v>
      </c>
      <c r="C248" s="33">
        <v>248</v>
      </c>
      <c r="D248" s="33">
        <v>6</v>
      </c>
      <c r="E248" s="288">
        <v>43683</v>
      </c>
      <c r="F248" s="130" t="str">
        <f>HYPERLINK("https://internasional.kompas.com/read/2019/06/08/15463171/menolak-berciuman-di-depan-umum-pasangan-gay-ini-dihajar ","sumber")</f>
        <v>sumber</v>
      </c>
      <c r="G248" s="33" t="s">
        <v>1</v>
      </c>
      <c r="H248" s="33">
        <v>399</v>
      </c>
      <c r="I248" s="33">
        <v>1</v>
      </c>
      <c r="J248" s="33">
        <v>2</v>
      </c>
      <c r="K248" s="131" t="s">
        <v>4393</v>
      </c>
      <c r="L248" s="33">
        <v>-1</v>
      </c>
      <c r="M248" s="33">
        <v>-1</v>
      </c>
      <c r="N248" s="132">
        <v>0</v>
      </c>
      <c r="O248" s="33">
        <v>0</v>
      </c>
      <c r="P248" s="33">
        <v>0</v>
      </c>
      <c r="Q248" s="33" t="s">
        <v>48</v>
      </c>
      <c r="R248" s="33" t="s">
        <v>360</v>
      </c>
      <c r="S248" s="133"/>
      <c r="T248" s="33">
        <v>0</v>
      </c>
      <c r="U248" s="33">
        <v>0</v>
      </c>
      <c r="V248" s="33">
        <v>0</v>
      </c>
      <c r="W248" s="24"/>
      <c r="X248" s="24"/>
      <c r="Y248" s="24"/>
    </row>
    <row r="249" spans="1:25" ht="13.2">
      <c r="A249" s="21">
        <v>2</v>
      </c>
      <c r="B249" s="25" t="s">
        <v>4394</v>
      </c>
      <c r="C249" s="25">
        <v>249</v>
      </c>
      <c r="D249" s="25">
        <v>4</v>
      </c>
      <c r="E249" s="25" t="s">
        <v>235</v>
      </c>
      <c r="F249" s="115" t="str">
        <f>HYPERLINK("https://hot.liputan6.com/read/3995801/deddy-corbuzier-ditanya-soal-sunat-ini-risikonya-jika-dilakukan-saat-dewasa ","sumber")</f>
        <v>sumber</v>
      </c>
      <c r="G249" s="25" t="s">
        <v>1</v>
      </c>
      <c r="H249" s="25">
        <v>699</v>
      </c>
      <c r="I249" s="26"/>
      <c r="J249" s="26"/>
      <c r="K249" s="124"/>
      <c r="L249" s="26"/>
      <c r="M249" s="26"/>
      <c r="N249" s="26"/>
      <c r="O249" s="26"/>
      <c r="P249" s="26"/>
      <c r="Q249" s="26"/>
      <c r="R249" s="26"/>
      <c r="S249" s="124"/>
      <c r="T249" s="26"/>
      <c r="U249" s="26"/>
      <c r="V249" s="26"/>
      <c r="W249" s="26"/>
      <c r="X249" s="26"/>
      <c r="Y249" s="26"/>
    </row>
    <row r="250" spans="1:25" ht="13.2">
      <c r="A250" s="209">
        <v>1</v>
      </c>
      <c r="B250" s="132" t="s">
        <v>4395</v>
      </c>
      <c r="C250" s="33">
        <v>250</v>
      </c>
      <c r="D250" s="33">
        <v>1</v>
      </c>
      <c r="E250" s="33" t="s">
        <v>575</v>
      </c>
      <c r="F250" s="130" t="str">
        <f>HYPERLINK("https://hot.detik.com/book/d-4591930/tuai-kontroversi-singgung-lgbt-penulis-the-notebook-minta-maaf ","sumber")</f>
        <v>sumber</v>
      </c>
      <c r="G250" s="33" t="s">
        <v>1</v>
      </c>
      <c r="H250" s="33">
        <v>406</v>
      </c>
      <c r="I250" s="33">
        <v>1</v>
      </c>
      <c r="J250" s="33">
        <v>2</v>
      </c>
      <c r="K250" s="131" t="s">
        <v>4396</v>
      </c>
      <c r="L250" s="33">
        <v>-1</v>
      </c>
      <c r="M250" s="33">
        <v>-1</v>
      </c>
      <c r="N250" s="132">
        <v>0</v>
      </c>
      <c r="O250" s="33">
        <v>0</v>
      </c>
      <c r="P250" s="33">
        <v>0</v>
      </c>
      <c r="Q250" s="33">
        <v>0</v>
      </c>
      <c r="R250" s="33">
        <v>1</v>
      </c>
      <c r="S250" s="133"/>
      <c r="T250" s="33">
        <v>0</v>
      </c>
      <c r="U250" s="33">
        <v>0</v>
      </c>
      <c r="V250" s="33">
        <v>0</v>
      </c>
      <c r="W250" s="24"/>
      <c r="X250" s="24"/>
      <c r="Y250" s="24"/>
    </row>
    <row r="251" spans="1:25" ht="13.2">
      <c r="A251" s="21">
        <v>2</v>
      </c>
      <c r="B251" s="151" t="s">
        <v>4397</v>
      </c>
      <c r="C251" s="25">
        <v>251</v>
      </c>
      <c r="D251" s="25">
        <v>10</v>
      </c>
      <c r="E251" s="25" t="s">
        <v>4398</v>
      </c>
      <c r="F251" s="115" t="str">
        <f>HYPERLINK("https://kolom.tempo.co/read/1212760/kisah-diskriminasi-seorang-polisi-lgbt ","sumber")</f>
        <v>sumber</v>
      </c>
      <c r="G251" s="25" t="s">
        <v>1</v>
      </c>
      <c r="H251" s="25">
        <v>268</v>
      </c>
      <c r="I251" s="26"/>
      <c r="J251" s="26"/>
      <c r="K251" s="124"/>
      <c r="L251" s="26"/>
      <c r="M251" s="26"/>
      <c r="N251" s="26"/>
      <c r="O251" s="26"/>
      <c r="P251" s="26"/>
      <c r="Q251" s="26"/>
      <c r="R251" s="26"/>
      <c r="S251" s="124"/>
      <c r="T251" s="26"/>
      <c r="U251" s="26"/>
      <c r="V251" s="26"/>
      <c r="W251" s="26"/>
      <c r="X251" s="26"/>
      <c r="Y251" s="26"/>
    </row>
    <row r="252" spans="1:25" ht="13.2">
      <c r="A252" s="188">
        <v>1</v>
      </c>
      <c r="B252" s="22" t="s">
        <v>4399</v>
      </c>
      <c r="C252" s="22">
        <v>252</v>
      </c>
      <c r="D252" s="22">
        <v>5</v>
      </c>
      <c r="E252" s="22" t="s">
        <v>241</v>
      </c>
      <c r="F252" s="121" t="str">
        <f>HYPERLINK("https://tirto.id/asa-timnas-wanita-italia-menghantam-balik-seksisme-di-italia-edaU ","sumber")</f>
        <v>sumber</v>
      </c>
      <c r="G252" s="22" t="s">
        <v>1</v>
      </c>
      <c r="H252" s="22">
        <v>1020</v>
      </c>
      <c r="I252" s="22">
        <v>1</v>
      </c>
      <c r="J252" s="22">
        <v>1</v>
      </c>
      <c r="K252" s="123" t="s">
        <v>4400</v>
      </c>
      <c r="L252" s="22">
        <v>0</v>
      </c>
      <c r="M252" s="22">
        <v>1</v>
      </c>
      <c r="N252" s="125">
        <v>0</v>
      </c>
      <c r="O252" s="22">
        <v>1</v>
      </c>
      <c r="P252" s="22">
        <v>0</v>
      </c>
      <c r="Q252" s="22" t="s">
        <v>2942</v>
      </c>
      <c r="R252" s="22" t="s">
        <v>721</v>
      </c>
      <c r="S252" s="134"/>
      <c r="T252" s="22">
        <v>0</v>
      </c>
      <c r="U252" s="22">
        <v>0</v>
      </c>
      <c r="V252" s="22">
        <v>1</v>
      </c>
      <c r="W252" s="23"/>
      <c r="X252" s="23"/>
      <c r="Y252" s="23"/>
    </row>
    <row r="253" spans="1:25" ht="13.2">
      <c r="A253" s="188">
        <v>1</v>
      </c>
      <c r="B253" s="22" t="s">
        <v>4401</v>
      </c>
      <c r="C253" s="22">
        <v>253</v>
      </c>
      <c r="D253" s="22">
        <v>5</v>
      </c>
      <c r="E253" s="22" t="s">
        <v>809</v>
      </c>
      <c r="F253" s="121" t="str">
        <f>HYPERLINK("https://tirto.id/megan-rapinoe-timnas-wanita-as-adalah-mimpi-buruk-donald-trump-edjq ","sumber")</f>
        <v>sumber</v>
      </c>
      <c r="G253" s="22" t="s">
        <v>1</v>
      </c>
      <c r="H253" s="22">
        <v>1114</v>
      </c>
      <c r="I253" s="22">
        <v>3</v>
      </c>
      <c r="J253" s="22">
        <v>1</v>
      </c>
      <c r="K253" s="123" t="s">
        <v>4402</v>
      </c>
      <c r="L253" s="22">
        <v>0</v>
      </c>
      <c r="M253" s="22">
        <v>0</v>
      </c>
      <c r="N253" s="125">
        <v>0</v>
      </c>
      <c r="O253" s="22">
        <v>0</v>
      </c>
      <c r="P253" s="22">
        <v>0</v>
      </c>
      <c r="Q253" s="22" t="s">
        <v>4403</v>
      </c>
      <c r="R253" s="22" t="s">
        <v>4404</v>
      </c>
      <c r="S253" s="134"/>
      <c r="T253" s="22">
        <v>0</v>
      </c>
      <c r="U253" s="22">
        <v>0</v>
      </c>
      <c r="V253" s="22">
        <v>1</v>
      </c>
      <c r="W253" s="23"/>
      <c r="X253" s="23"/>
      <c r="Y253" s="23"/>
    </row>
    <row r="254" spans="1:25" ht="13.2">
      <c r="A254" s="188">
        <v>1</v>
      </c>
      <c r="B254" s="22" t="s">
        <v>4405</v>
      </c>
      <c r="C254" s="22">
        <v>254</v>
      </c>
      <c r="D254" s="22">
        <v>3</v>
      </c>
      <c r="E254" s="222">
        <v>43503</v>
      </c>
      <c r="F254" s="121" t="str">
        <f>HYPERLINK("https://celebrity.okezone.com/read/2019/07/02/33/2073570/sesuatu-bergerak-di-perut-lucinta-luna-netizen-mungkin-cacing ","sumber")</f>
        <v>sumber</v>
      </c>
      <c r="G254" s="22" t="s">
        <v>1</v>
      </c>
      <c r="H254" s="22">
        <v>435</v>
      </c>
      <c r="I254" s="22">
        <v>2</v>
      </c>
      <c r="J254" s="22">
        <v>3</v>
      </c>
      <c r="K254" s="123" t="s">
        <v>4406</v>
      </c>
      <c r="L254" s="22">
        <v>-1</v>
      </c>
      <c r="M254" s="22">
        <v>0</v>
      </c>
      <c r="N254" s="125">
        <v>0</v>
      </c>
      <c r="O254" s="22">
        <v>0</v>
      </c>
      <c r="P254" s="22">
        <v>-1</v>
      </c>
      <c r="Q254" s="22" t="s">
        <v>21</v>
      </c>
      <c r="R254" s="22" t="s">
        <v>514</v>
      </c>
      <c r="S254" s="123" t="s">
        <v>4407</v>
      </c>
      <c r="T254" s="22">
        <v>2</v>
      </c>
      <c r="U254" s="22">
        <v>-1</v>
      </c>
      <c r="V254" s="22">
        <v>0</v>
      </c>
      <c r="W254" s="23"/>
      <c r="X254" s="23"/>
      <c r="Y254" s="23"/>
    </row>
    <row r="255" spans="1:25" ht="13.2">
      <c r="A255" s="209">
        <v>1</v>
      </c>
      <c r="B255" s="132" t="s">
        <v>2393</v>
      </c>
      <c r="C255" s="33">
        <v>255</v>
      </c>
      <c r="D255" s="33">
        <v>1</v>
      </c>
      <c r="E255" s="33" t="s">
        <v>2394</v>
      </c>
      <c r="F255" s="130" t="str">
        <f>HYPERLINK("https://news.detik.com/bbc-world/d-4627771/di-irak-pelecehan-seksual-lebih-banyak-dialami-pria-daripada-wanita ","sumber")</f>
        <v>sumber</v>
      </c>
      <c r="G255" s="33" t="s">
        <v>1</v>
      </c>
      <c r="H255" s="33">
        <v>768</v>
      </c>
      <c r="I255" s="33">
        <v>2</v>
      </c>
      <c r="J255" s="33">
        <v>3</v>
      </c>
      <c r="K255" s="131" t="s">
        <v>4408</v>
      </c>
      <c r="L255" s="33">
        <v>0</v>
      </c>
      <c r="M255" s="33">
        <v>0</v>
      </c>
      <c r="N255" s="132">
        <v>0</v>
      </c>
      <c r="O255" s="33">
        <v>0</v>
      </c>
      <c r="P255" s="33">
        <v>0</v>
      </c>
      <c r="Q255" s="33" t="s">
        <v>182</v>
      </c>
      <c r="R255" s="33" t="s">
        <v>160</v>
      </c>
      <c r="S255" s="133"/>
      <c r="T255" s="33">
        <v>0</v>
      </c>
      <c r="U255" s="33">
        <v>0</v>
      </c>
      <c r="V255" s="33">
        <v>1</v>
      </c>
      <c r="W255" s="24"/>
      <c r="X255" s="24"/>
      <c r="Y255" s="24"/>
    </row>
    <row r="256" spans="1:25" ht="13.2">
      <c r="A256" s="209">
        <v>1</v>
      </c>
      <c r="B256" s="132" t="s">
        <v>1536</v>
      </c>
      <c r="C256" s="33">
        <v>256</v>
      </c>
      <c r="D256" s="33">
        <v>10</v>
      </c>
      <c r="E256" s="33" t="s">
        <v>839</v>
      </c>
      <c r="F256" s="130" t="str">
        <f>HYPERLINK("https://metro.tempo.co/read/1228494/perda-anti-lgbt-di-depok-anggota-dprd-pertanyakan-banyak-hal ","sumber")</f>
        <v>sumber</v>
      </c>
      <c r="G256" s="33" t="s">
        <v>1</v>
      </c>
      <c r="H256" s="33">
        <v>30</v>
      </c>
      <c r="I256" s="33">
        <v>1</v>
      </c>
      <c r="J256" s="33">
        <v>3</v>
      </c>
      <c r="K256" s="131" t="s">
        <v>4409</v>
      </c>
      <c r="L256" s="33">
        <v>0</v>
      </c>
      <c r="M256" s="33">
        <v>1</v>
      </c>
      <c r="N256" s="132">
        <v>0</v>
      </c>
      <c r="O256" s="33">
        <v>0</v>
      </c>
      <c r="P256" s="33">
        <v>0</v>
      </c>
      <c r="Q256" s="33" t="s">
        <v>21</v>
      </c>
      <c r="R256" s="33" t="s">
        <v>1416</v>
      </c>
      <c r="S256" s="133"/>
      <c r="T256" s="33">
        <v>0</v>
      </c>
      <c r="U256" s="33">
        <v>0</v>
      </c>
      <c r="V256" s="33">
        <v>1</v>
      </c>
      <c r="W256" s="24"/>
      <c r="X256" s="24"/>
      <c r="Y256" s="24"/>
    </row>
    <row r="257" spans="1:25" ht="13.2">
      <c r="A257" s="21">
        <v>2</v>
      </c>
      <c r="B257" s="25" t="s">
        <v>4410</v>
      </c>
      <c r="C257" s="25">
        <v>257</v>
      </c>
      <c r="D257" s="25">
        <v>3</v>
      </c>
      <c r="E257" s="234">
        <v>43592</v>
      </c>
      <c r="F257" s="115" t="str">
        <f>HYPERLINK("https://celebrity.okezone.com/read/2019/07/05/205/2075263/comeback-aida-saskia-gabungkan-dangdut-dan-edm ","sumber")</f>
        <v>sumber</v>
      </c>
      <c r="G257" s="25" t="s">
        <v>1</v>
      </c>
      <c r="H257" s="25">
        <v>291</v>
      </c>
      <c r="I257" s="26"/>
      <c r="J257" s="26"/>
      <c r="K257" s="124"/>
      <c r="L257" s="26"/>
      <c r="M257" s="26"/>
      <c r="N257" s="26"/>
      <c r="O257" s="26"/>
      <c r="P257" s="26"/>
      <c r="Q257" s="26"/>
      <c r="R257" s="26"/>
      <c r="S257" s="124"/>
      <c r="T257" s="26"/>
      <c r="U257" s="26"/>
      <c r="V257" s="26"/>
      <c r="W257" s="26"/>
      <c r="X257" s="26"/>
      <c r="Y257" s="26"/>
    </row>
    <row r="258" spans="1:25" ht="13.2">
      <c r="A258" s="21">
        <v>2</v>
      </c>
      <c r="B258" s="25" t="s">
        <v>4411</v>
      </c>
      <c r="C258" s="25">
        <v>258</v>
      </c>
      <c r="D258" s="25">
        <v>4</v>
      </c>
      <c r="E258" s="234">
        <v>43623</v>
      </c>
      <c r="F258" s="115" t="str">
        <f>HYPERLINK("https://www.liputan6.com/tekno/read/4006168/sempat-hilang-seorang-wanita-temukan-suaminya-muncul-di-aplikasi-tiktok ","sumber")</f>
        <v>sumber</v>
      </c>
      <c r="G258" s="25" t="s">
        <v>1</v>
      </c>
      <c r="H258" s="25">
        <v>497</v>
      </c>
      <c r="I258" s="26"/>
      <c r="J258" s="26"/>
      <c r="K258" s="124"/>
      <c r="L258" s="26"/>
      <c r="M258" s="26"/>
      <c r="N258" s="26"/>
      <c r="O258" s="26"/>
      <c r="P258" s="26"/>
      <c r="Q258" s="26"/>
      <c r="R258" s="26"/>
      <c r="S258" s="124"/>
      <c r="T258" s="26"/>
      <c r="U258" s="26"/>
      <c r="V258" s="26"/>
      <c r="W258" s="26"/>
      <c r="X258" s="26"/>
      <c r="Y258" s="26"/>
    </row>
    <row r="259" spans="1:25" ht="13.2">
      <c r="A259" s="188">
        <v>1</v>
      </c>
      <c r="B259" s="22" t="s">
        <v>4412</v>
      </c>
      <c r="C259" s="22">
        <v>259</v>
      </c>
      <c r="D259" s="22">
        <v>7</v>
      </c>
      <c r="E259" s="222">
        <v>43745</v>
      </c>
      <c r="F259" s="121" t="str">
        <f>HYPERLINK("https://www.tribunnews.com/regional/2019/07/10/blak-blakan-kalapas-perempuan-bandung-urusi-narapidana-cenderung-lesbian ","sumber")</f>
        <v>sumber</v>
      </c>
      <c r="G259" s="22" t="s">
        <v>1</v>
      </c>
      <c r="H259" s="22">
        <v>287</v>
      </c>
      <c r="I259" s="22">
        <v>1</v>
      </c>
      <c r="J259" s="22">
        <v>3</v>
      </c>
      <c r="K259" s="123" t="s">
        <v>4413</v>
      </c>
      <c r="L259" s="22">
        <v>0</v>
      </c>
      <c r="M259" s="22">
        <v>-1</v>
      </c>
      <c r="N259" s="125">
        <v>0</v>
      </c>
      <c r="O259" s="22">
        <v>0</v>
      </c>
      <c r="P259" s="22">
        <v>-1</v>
      </c>
      <c r="Q259" s="22" t="s">
        <v>29</v>
      </c>
      <c r="R259" s="22" t="s">
        <v>653</v>
      </c>
      <c r="S259" s="123" t="s">
        <v>4414</v>
      </c>
      <c r="T259" s="22">
        <v>1</v>
      </c>
      <c r="U259" s="22">
        <v>0</v>
      </c>
      <c r="V259" s="22">
        <v>0</v>
      </c>
      <c r="W259" s="23"/>
      <c r="X259" s="23"/>
      <c r="Y259" s="23"/>
    </row>
    <row r="260" spans="1:25" ht="13.2">
      <c r="A260" s="188">
        <v>1</v>
      </c>
      <c r="B260" s="22" t="s">
        <v>4415</v>
      </c>
      <c r="C260" s="22">
        <v>260</v>
      </c>
      <c r="D260" s="22">
        <v>4</v>
      </c>
      <c r="E260" s="222">
        <v>43806</v>
      </c>
      <c r="F260" s="121" t="str">
        <f>HYPERLINK("https://www.liputan6.com/news/read/4010573/12-juli-2008-terungkapnya-pembunuhan-berantai-ryan-jombang ","sumber")</f>
        <v>sumber</v>
      </c>
      <c r="G260" s="22" t="s">
        <v>1</v>
      </c>
      <c r="H260" s="22">
        <v>1060</v>
      </c>
      <c r="I260" s="22">
        <v>1</v>
      </c>
      <c r="J260" s="22">
        <v>2</v>
      </c>
      <c r="K260" s="123" t="s">
        <v>4416</v>
      </c>
      <c r="L260" s="22">
        <v>0</v>
      </c>
      <c r="M260" s="22">
        <v>1</v>
      </c>
      <c r="N260" s="125">
        <v>0</v>
      </c>
      <c r="O260" s="22">
        <v>0</v>
      </c>
      <c r="P260" s="22">
        <v>0</v>
      </c>
      <c r="Q260" s="22" t="s">
        <v>21</v>
      </c>
      <c r="R260" s="22" t="s">
        <v>99</v>
      </c>
      <c r="S260" s="134"/>
      <c r="T260" s="22">
        <v>0</v>
      </c>
      <c r="U260" s="22">
        <v>0</v>
      </c>
      <c r="V260" s="22">
        <v>1</v>
      </c>
      <c r="W260" s="23"/>
      <c r="X260" s="23"/>
      <c r="Y260" s="23"/>
    </row>
    <row r="261" spans="1:25" ht="14.4">
      <c r="A261" s="117">
        <v>1</v>
      </c>
      <c r="B261" s="294" t="s">
        <v>821</v>
      </c>
      <c r="C261" s="22">
        <v>261</v>
      </c>
      <c r="D261" s="22">
        <v>9</v>
      </c>
      <c r="E261" s="222">
        <v>43806</v>
      </c>
      <c r="F261" s="121" t="str">
        <f>HYPERLINK("https://www.suara.com/news/2019/07/12/164539/soal-disorientasi-seksual-di-lapas-kemenkumham-pertimbangkan-bilik-asmara ","sumber")</f>
        <v>sumber</v>
      </c>
      <c r="G261" s="22" t="s">
        <v>1</v>
      </c>
      <c r="H261" s="22">
        <v>341</v>
      </c>
      <c r="I261" s="22">
        <v>4</v>
      </c>
      <c r="J261" s="22">
        <v>3</v>
      </c>
      <c r="K261" s="123" t="s">
        <v>4417</v>
      </c>
      <c r="L261" s="22">
        <v>0</v>
      </c>
      <c r="M261" s="22">
        <v>0</v>
      </c>
      <c r="N261" s="125">
        <v>0</v>
      </c>
      <c r="O261" s="22">
        <v>0</v>
      </c>
      <c r="P261" s="22">
        <v>0</v>
      </c>
      <c r="Q261" s="22" t="s">
        <v>182</v>
      </c>
      <c r="R261" s="22" t="s">
        <v>30</v>
      </c>
      <c r="S261" s="123" t="s">
        <v>4418</v>
      </c>
      <c r="T261" s="22">
        <v>3</v>
      </c>
      <c r="U261" s="22">
        <v>0</v>
      </c>
      <c r="V261" s="22">
        <v>1</v>
      </c>
      <c r="W261" s="23"/>
      <c r="X261" s="23"/>
      <c r="Y261" s="23"/>
    </row>
    <row r="262" spans="1:25" ht="13.2">
      <c r="A262" s="188">
        <v>1</v>
      </c>
      <c r="B262" s="22" t="s">
        <v>824</v>
      </c>
      <c r="C262" s="22">
        <v>262</v>
      </c>
      <c r="D262" s="22">
        <v>5</v>
      </c>
      <c r="E262" s="222">
        <v>43806</v>
      </c>
      <c r="F262" s="121" t="str">
        <f>HYPERLINK("https://tirto.id/memisahkan-napi-lgbt-itu-diskriminatif-dan-tak-masuk-akal-ed6i ","sumber")</f>
        <v>sumber</v>
      </c>
      <c r="G262" s="22" t="s">
        <v>1</v>
      </c>
      <c r="H262" s="22">
        <v>507</v>
      </c>
      <c r="I262" s="22">
        <v>4</v>
      </c>
      <c r="J262" s="22">
        <v>3</v>
      </c>
      <c r="K262" s="123" t="s">
        <v>4419</v>
      </c>
      <c r="L262" s="22">
        <v>0</v>
      </c>
      <c r="M262" s="22">
        <v>0</v>
      </c>
      <c r="N262" s="125">
        <v>0</v>
      </c>
      <c r="O262" s="22">
        <v>0</v>
      </c>
      <c r="P262" s="22">
        <v>0</v>
      </c>
      <c r="Q262" s="22" t="s">
        <v>21</v>
      </c>
      <c r="R262" s="22" t="s">
        <v>739</v>
      </c>
      <c r="S262" s="134"/>
      <c r="T262" s="22">
        <v>0</v>
      </c>
      <c r="U262" s="22">
        <v>0</v>
      </c>
      <c r="V262" s="22">
        <v>1</v>
      </c>
      <c r="W262" s="23"/>
      <c r="X262" s="23"/>
      <c r="Y262" s="23"/>
    </row>
    <row r="263" spans="1:25" ht="13.2">
      <c r="A263" s="188">
        <v>1</v>
      </c>
      <c r="B263" s="22" t="s">
        <v>4420</v>
      </c>
      <c r="C263" s="22">
        <v>263</v>
      </c>
      <c r="D263" s="22">
        <v>10</v>
      </c>
      <c r="E263" s="22" t="s">
        <v>833</v>
      </c>
      <c r="F263" s="121" t="str">
        <f>HYPERLINK("https://metro.tempo.co/read/1226832/tolak-raperda-anti-lgbt-dkr-depok-usulkan-perda-hivaids ","sumber")</f>
        <v>sumber</v>
      </c>
      <c r="G263" s="22" t="s">
        <v>1</v>
      </c>
      <c r="H263" s="22">
        <v>6</v>
      </c>
      <c r="I263" s="22">
        <v>4</v>
      </c>
      <c r="J263" s="22">
        <v>3</v>
      </c>
      <c r="K263" s="123" t="s">
        <v>4421</v>
      </c>
      <c r="L263" s="22">
        <v>0</v>
      </c>
      <c r="M263" s="22">
        <v>0</v>
      </c>
      <c r="N263" s="125">
        <v>0</v>
      </c>
      <c r="O263" s="22">
        <v>0</v>
      </c>
      <c r="P263" s="22">
        <v>0</v>
      </c>
      <c r="Q263" s="22">
        <v>0</v>
      </c>
      <c r="R263" s="22">
        <v>1</v>
      </c>
      <c r="S263" s="134"/>
      <c r="T263" s="22">
        <v>0</v>
      </c>
      <c r="U263" s="22">
        <v>0</v>
      </c>
      <c r="V263" s="22">
        <v>1</v>
      </c>
      <c r="W263" s="23"/>
      <c r="X263" s="23"/>
      <c r="Y263" s="23"/>
    </row>
    <row r="264" spans="1:25" ht="13.2">
      <c r="A264" s="188">
        <v>1</v>
      </c>
      <c r="B264" s="22" t="s">
        <v>4422</v>
      </c>
      <c r="C264" s="22">
        <v>264</v>
      </c>
      <c r="D264" s="22">
        <v>5</v>
      </c>
      <c r="E264" s="22" t="s">
        <v>610</v>
      </c>
      <c r="F264" s="121" t="str">
        <f>HYPERLINK("https://tirto.id/pemimpin-pesantren-waria-raih-penghargaan-sebagai-pejuang-ham-eeN7 ","sumber")</f>
        <v>sumber</v>
      </c>
      <c r="G264" s="22" t="s">
        <v>1</v>
      </c>
      <c r="H264" s="22">
        <v>439</v>
      </c>
      <c r="I264" s="22">
        <v>2</v>
      </c>
      <c r="J264" s="22">
        <v>3</v>
      </c>
      <c r="K264" s="123" t="s">
        <v>4423</v>
      </c>
      <c r="L264" s="22">
        <v>0</v>
      </c>
      <c r="M264" s="22">
        <v>0</v>
      </c>
      <c r="N264" s="125">
        <v>0</v>
      </c>
      <c r="O264" s="22">
        <v>0</v>
      </c>
      <c r="P264" s="22">
        <v>0</v>
      </c>
      <c r="Q264" s="22" t="s">
        <v>68</v>
      </c>
      <c r="R264" s="22" t="s">
        <v>160</v>
      </c>
      <c r="S264" s="134"/>
      <c r="T264" s="22">
        <v>0</v>
      </c>
      <c r="U264" s="22">
        <v>0</v>
      </c>
      <c r="V264" s="22">
        <v>1</v>
      </c>
      <c r="W264" s="23"/>
      <c r="X264" s="23"/>
      <c r="Y264" s="23"/>
    </row>
    <row r="265" spans="1:25" ht="13.2">
      <c r="A265" s="21">
        <v>2</v>
      </c>
      <c r="B265" s="25" t="s">
        <v>3460</v>
      </c>
      <c r="C265" s="25">
        <v>265</v>
      </c>
      <c r="D265" s="25">
        <v>9</v>
      </c>
      <c r="E265" s="25" t="s">
        <v>399</v>
      </c>
      <c r="F265" s="115" t="str">
        <f>HYPERLINK("https://internasional.republika.co.id/berita/pv1qut15000/raih-dukungan-politik-kaum-muda-saudi-gunakan-musik-pop ","sumber")</f>
        <v>sumber</v>
      </c>
      <c r="G265" s="25" t="s">
        <v>1</v>
      </c>
      <c r="H265" s="25">
        <v>768</v>
      </c>
      <c r="I265" s="26"/>
      <c r="J265" s="26"/>
      <c r="K265" s="124"/>
      <c r="L265" s="26"/>
      <c r="M265" s="26"/>
      <c r="N265" s="26"/>
      <c r="O265" s="26"/>
      <c r="P265" s="26"/>
      <c r="Q265" s="26"/>
      <c r="R265" s="26"/>
      <c r="S265" s="124"/>
      <c r="T265" s="26"/>
      <c r="U265" s="26"/>
      <c r="V265" s="26"/>
      <c r="W265" s="26"/>
      <c r="X265" s="26"/>
      <c r="Y265" s="26"/>
    </row>
    <row r="266" spans="1:25" ht="13.2">
      <c r="A266" s="188">
        <v>1</v>
      </c>
      <c r="B266" s="22" t="s">
        <v>4424</v>
      </c>
      <c r="C266" s="22">
        <v>266</v>
      </c>
      <c r="D266" s="22">
        <v>6</v>
      </c>
      <c r="E266" s="22" t="s">
        <v>2047</v>
      </c>
      <c r="F266" s="121" t="str">
        <f>HYPERLINK("https://entertainment.kompas.com/read/2019/07/26/143547610/program-brownis-transtv-terancam-dihentikan-kpi ","sumber")</f>
        <v>sumber</v>
      </c>
      <c r="G266" s="22" t="s">
        <v>1</v>
      </c>
      <c r="H266" s="22">
        <v>410</v>
      </c>
      <c r="I266" s="22">
        <v>1</v>
      </c>
      <c r="J266" s="22">
        <v>3</v>
      </c>
      <c r="K266" s="123" t="s">
        <v>4425</v>
      </c>
      <c r="L266" s="22">
        <v>0</v>
      </c>
      <c r="M266" s="22">
        <v>-1</v>
      </c>
      <c r="N266" s="125">
        <v>0</v>
      </c>
      <c r="O266" s="22">
        <v>0</v>
      </c>
      <c r="P266" s="22">
        <v>0</v>
      </c>
      <c r="Q266" s="22">
        <v>0</v>
      </c>
      <c r="R266" s="22">
        <v>-1</v>
      </c>
      <c r="S266" s="123" t="s">
        <v>4426</v>
      </c>
      <c r="T266" s="22">
        <v>1</v>
      </c>
      <c r="U266" s="22">
        <v>0</v>
      </c>
      <c r="V266" s="22">
        <v>0</v>
      </c>
      <c r="W266" s="23"/>
      <c r="X266" s="23"/>
      <c r="Y266" s="23"/>
    </row>
    <row r="267" spans="1:25" ht="13.2">
      <c r="A267" s="209">
        <v>1</v>
      </c>
      <c r="B267" s="132" t="s">
        <v>4427</v>
      </c>
      <c r="C267" s="33">
        <v>267</v>
      </c>
      <c r="D267" s="33">
        <v>2</v>
      </c>
      <c r="E267" s="288">
        <v>43504</v>
      </c>
      <c r="F267" s="130" t="str">
        <f>HYPERLINK("https://www.cnnindonesia.com/nasional/20190802162919-20-417870/akun-twitter-tni-unggah-komik-soal-bahaya-lgbt ","sumber")</f>
        <v>sumber</v>
      </c>
      <c r="G267" s="33" t="s">
        <v>1</v>
      </c>
      <c r="H267" s="33">
        <v>263</v>
      </c>
      <c r="I267" s="33">
        <v>2</v>
      </c>
      <c r="J267" s="33">
        <v>3</v>
      </c>
      <c r="K267" s="131" t="s">
        <v>4428</v>
      </c>
      <c r="L267" s="33">
        <v>-1</v>
      </c>
      <c r="M267" s="33">
        <v>0</v>
      </c>
      <c r="N267" s="132">
        <v>0</v>
      </c>
      <c r="O267" s="33">
        <v>0</v>
      </c>
      <c r="P267" s="33">
        <v>0</v>
      </c>
      <c r="Q267" s="33" t="s">
        <v>29</v>
      </c>
      <c r="R267" s="33" t="s">
        <v>653</v>
      </c>
      <c r="S267" s="133"/>
      <c r="T267" s="33">
        <v>0</v>
      </c>
      <c r="U267" s="33">
        <v>0</v>
      </c>
      <c r="V267" s="33">
        <v>1</v>
      </c>
      <c r="W267" s="24"/>
      <c r="X267" s="24"/>
      <c r="Y267" s="24"/>
    </row>
    <row r="268" spans="1:25" ht="13.2">
      <c r="A268" s="209">
        <v>1</v>
      </c>
      <c r="B268" s="132" t="s">
        <v>4429</v>
      </c>
      <c r="C268" s="33">
        <v>268</v>
      </c>
      <c r="D268" s="33">
        <v>2</v>
      </c>
      <c r="E268" s="288">
        <v>43624</v>
      </c>
      <c r="F268" s="130" t="str">
        <f>HYPERLINK("https://www.cnnindonesia.com/gaya-hidup/20190806114435-277-418803/valentina-sampaiomodel-transgender-pertama-victorias-secret ","sumber")</f>
        <v>sumber</v>
      </c>
      <c r="G268" s="33" t="s">
        <v>1</v>
      </c>
      <c r="H268" s="33">
        <v>230</v>
      </c>
      <c r="I268" s="33">
        <v>3</v>
      </c>
      <c r="J268" s="33">
        <v>3</v>
      </c>
      <c r="K268" s="131" t="s">
        <v>4430</v>
      </c>
      <c r="L268" s="33">
        <v>0</v>
      </c>
      <c r="M268" s="33">
        <v>0</v>
      </c>
      <c r="N268" s="132">
        <v>0</v>
      </c>
      <c r="O268" s="33">
        <v>0</v>
      </c>
      <c r="P268" s="33">
        <v>0</v>
      </c>
      <c r="Q268" s="33" t="s">
        <v>792</v>
      </c>
      <c r="R268" s="33" t="s">
        <v>360</v>
      </c>
      <c r="S268" s="131"/>
      <c r="T268" s="33">
        <v>0</v>
      </c>
      <c r="U268" s="33">
        <v>0</v>
      </c>
      <c r="V268" s="33">
        <v>1</v>
      </c>
      <c r="W268" s="24"/>
      <c r="X268" s="24"/>
      <c r="Y268" s="24"/>
    </row>
    <row r="269" spans="1:25" ht="13.2">
      <c r="A269" s="188">
        <v>1</v>
      </c>
      <c r="B269" s="22" t="s">
        <v>4431</v>
      </c>
      <c r="C269" s="22">
        <v>269</v>
      </c>
      <c r="D269" s="22">
        <v>10</v>
      </c>
      <c r="E269" s="222">
        <v>43716</v>
      </c>
      <c r="F269" s="121" t="str">
        <f>HYPERLINK("https://nasional.tempo.co/read/1234040/human-rights-watch-desak-jokowi-promosikan-ham-di-periode-kedua ","sumber")</f>
        <v>sumber</v>
      </c>
      <c r="G269" s="22" t="s">
        <v>1</v>
      </c>
      <c r="H269" s="22">
        <v>560</v>
      </c>
      <c r="I269" s="22">
        <v>4</v>
      </c>
      <c r="J269" s="22">
        <v>3</v>
      </c>
      <c r="K269" s="123" t="s">
        <v>4432</v>
      </c>
      <c r="L269" s="22">
        <v>0</v>
      </c>
      <c r="M269" s="22">
        <v>0</v>
      </c>
      <c r="N269" s="125">
        <v>0</v>
      </c>
      <c r="O269" s="22">
        <v>0</v>
      </c>
      <c r="P269" s="22">
        <v>0</v>
      </c>
      <c r="Q269" s="22" t="s">
        <v>29</v>
      </c>
      <c r="R269" s="22" t="s">
        <v>160</v>
      </c>
      <c r="S269" s="123"/>
      <c r="T269" s="22">
        <v>0</v>
      </c>
      <c r="U269" s="22">
        <v>0</v>
      </c>
      <c r="V269" s="22">
        <v>1</v>
      </c>
      <c r="W269" s="23"/>
      <c r="X269" s="23"/>
      <c r="Y269" s="23"/>
    </row>
    <row r="270" spans="1:25" ht="13.2">
      <c r="A270" s="184">
        <v>1</v>
      </c>
      <c r="B270" s="185" t="s">
        <v>3480</v>
      </c>
      <c r="C270" s="22">
        <v>270</v>
      </c>
      <c r="D270" s="295">
        <v>6</v>
      </c>
      <c r="E270" s="222">
        <v>43777</v>
      </c>
      <c r="F270" s="121" t="str">
        <f>HYPERLINK("https://regional.kompas.com/read/2019/08/11/11140041/fakta-guru-ikat-dan-lecehkan-siswanya-mental-korban-terguncang-hingga ","sumber")</f>
        <v>sumber</v>
      </c>
      <c r="G270" s="22" t="s">
        <v>1</v>
      </c>
      <c r="H270" s="22">
        <v>118</v>
      </c>
      <c r="I270" s="22">
        <v>1</v>
      </c>
      <c r="J270" s="22">
        <v>3</v>
      </c>
      <c r="K270" s="123" t="s">
        <v>4433</v>
      </c>
      <c r="L270" s="22">
        <v>0</v>
      </c>
      <c r="M270" s="22">
        <v>-1</v>
      </c>
      <c r="N270" s="125">
        <v>0</v>
      </c>
      <c r="O270" s="22">
        <v>0</v>
      </c>
      <c r="P270" s="22">
        <v>0</v>
      </c>
      <c r="Q270" s="22" t="s">
        <v>21</v>
      </c>
      <c r="R270" s="22" t="s">
        <v>210</v>
      </c>
      <c r="S270" s="123" t="s">
        <v>4434</v>
      </c>
      <c r="T270" s="22">
        <v>1</v>
      </c>
      <c r="U270" s="22">
        <v>0</v>
      </c>
      <c r="V270" s="22">
        <v>0</v>
      </c>
      <c r="W270" s="23"/>
      <c r="X270" s="23"/>
      <c r="Y270" s="23"/>
    </row>
    <row r="271" spans="1:25" ht="13.2">
      <c r="A271" s="21">
        <v>2</v>
      </c>
      <c r="B271" s="25" t="s">
        <v>4435</v>
      </c>
      <c r="C271" s="25">
        <v>271</v>
      </c>
      <c r="D271" s="25">
        <v>1</v>
      </c>
      <c r="E271" s="25" t="s">
        <v>2055</v>
      </c>
      <c r="F271" s="115" t="str">
        <f>HYPERLINK("https://hot.detik.com/celeb/d-4663339/ketika-anak-donald-trump-lirik-cincin-berlian-hotman-paris ","sumber")</f>
        <v>sumber</v>
      </c>
      <c r="G271" s="25" t="s">
        <v>1</v>
      </c>
      <c r="H271" s="25">
        <v>1540</v>
      </c>
      <c r="I271" s="26"/>
      <c r="J271" s="26"/>
      <c r="K271" s="124"/>
      <c r="L271" s="26"/>
      <c r="M271" s="26"/>
      <c r="N271" s="26"/>
      <c r="O271" s="26"/>
      <c r="P271" s="26"/>
      <c r="Q271" s="26"/>
      <c r="R271" s="26"/>
      <c r="S271" s="124"/>
      <c r="T271" s="26"/>
      <c r="U271" s="26"/>
      <c r="V271" s="26"/>
      <c r="W271" s="26"/>
      <c r="X271" s="26"/>
      <c r="Y271" s="26"/>
    </row>
    <row r="272" spans="1:25" ht="13.2">
      <c r="A272" s="21">
        <v>2</v>
      </c>
      <c r="B272" s="25" t="s">
        <v>4436</v>
      </c>
      <c r="C272" s="25">
        <v>272</v>
      </c>
      <c r="D272" s="25">
        <v>10</v>
      </c>
      <c r="E272" s="25" t="s">
        <v>2437</v>
      </c>
      <c r="F272" s="115" t="str">
        <f>HYPERLINK("https://tekno.tempo.co/read/1237570/penelitian-baru-homo-sapiens-ke-mongolia-lebih-awal-10-000-tahun ","sumber")</f>
        <v>sumber</v>
      </c>
      <c r="G272" s="25" t="s">
        <v>1</v>
      </c>
      <c r="H272" s="25">
        <v>413</v>
      </c>
      <c r="I272" s="26"/>
      <c r="J272" s="26"/>
      <c r="K272" s="124"/>
      <c r="L272" s="26"/>
      <c r="M272" s="26"/>
      <c r="N272" s="26"/>
      <c r="O272" s="26"/>
      <c r="P272" s="26"/>
      <c r="Q272" s="26"/>
      <c r="R272" s="26"/>
      <c r="S272" s="116"/>
      <c r="T272" s="26"/>
      <c r="U272" s="26"/>
      <c r="V272" s="26"/>
      <c r="W272" s="26"/>
      <c r="X272" s="26"/>
      <c r="Y272" s="26"/>
    </row>
    <row r="273" spans="1:25" ht="13.2">
      <c r="A273" s="188">
        <v>1</v>
      </c>
      <c r="B273" s="22" t="s">
        <v>3491</v>
      </c>
      <c r="C273" s="22">
        <v>273</v>
      </c>
      <c r="D273" s="22">
        <v>7</v>
      </c>
      <c r="E273" s="22" t="s">
        <v>2437</v>
      </c>
      <c r="F273" s="121" t="str">
        <f>HYPERLINK("https://www.tribunnews.com/seleb/2019/08/19/nama-asli-lucinta-luna-yang-tertera-di-ktpnya-akhirnya-terungkap ","sumber")</f>
        <v>sumber</v>
      </c>
      <c r="G273" s="22" t="s">
        <v>1</v>
      </c>
      <c r="H273" s="22">
        <v>168</v>
      </c>
      <c r="I273" s="22">
        <v>2</v>
      </c>
      <c r="J273" s="22">
        <v>3</v>
      </c>
      <c r="K273" s="123" t="s">
        <v>4437</v>
      </c>
      <c r="L273" s="22">
        <v>-1</v>
      </c>
      <c r="M273" s="22">
        <v>0</v>
      </c>
      <c r="N273" s="22">
        <v>-1</v>
      </c>
      <c r="O273" s="22">
        <v>0</v>
      </c>
      <c r="P273" s="22">
        <v>-1</v>
      </c>
      <c r="Q273" s="22" t="s">
        <v>29</v>
      </c>
      <c r="R273" s="22" t="s">
        <v>29</v>
      </c>
      <c r="S273" s="123" t="s">
        <v>4438</v>
      </c>
      <c r="T273" s="22">
        <v>1</v>
      </c>
      <c r="U273" s="22">
        <v>0</v>
      </c>
      <c r="V273" s="22">
        <v>0</v>
      </c>
      <c r="W273" s="23"/>
      <c r="X273" s="23"/>
      <c r="Y273" s="23"/>
    </row>
    <row r="274" spans="1:25" ht="13.2">
      <c r="A274" s="21">
        <v>2</v>
      </c>
      <c r="B274" s="25" t="s">
        <v>4439</v>
      </c>
      <c r="C274" s="25">
        <v>274</v>
      </c>
      <c r="D274" s="25">
        <v>2</v>
      </c>
      <c r="E274" s="25" t="s">
        <v>274</v>
      </c>
      <c r="F274" s="115" t="str">
        <f>HYPERLINK("https://www.cnnindonesia.com/internasional/20190825132125-134-424431/bubarkan-massa-anti-g7-polisi-prancis-gunakan-gas-air-mata ","sumber")</f>
        <v>sumber</v>
      </c>
      <c r="G274" s="25" t="s">
        <v>1</v>
      </c>
      <c r="H274" s="25">
        <v>381</v>
      </c>
      <c r="I274" s="26"/>
      <c r="J274" s="26"/>
      <c r="K274" s="124"/>
      <c r="L274" s="26"/>
      <c r="M274" s="26"/>
      <c r="N274" s="26"/>
      <c r="O274" s="26"/>
      <c r="P274" s="26"/>
      <c r="Q274" s="26"/>
      <c r="R274" s="26"/>
      <c r="S274" s="116"/>
      <c r="T274" s="26"/>
      <c r="U274" s="26"/>
      <c r="V274" s="26"/>
      <c r="W274" s="26"/>
      <c r="X274" s="26"/>
      <c r="Y274" s="26"/>
    </row>
    <row r="275" spans="1:25" ht="13.2">
      <c r="A275" s="21">
        <v>2</v>
      </c>
      <c r="B275" s="25" t="s">
        <v>4440</v>
      </c>
      <c r="C275" s="25">
        <v>275</v>
      </c>
      <c r="D275" s="25">
        <v>3</v>
      </c>
      <c r="E275" s="25" t="s">
        <v>278</v>
      </c>
      <c r="F275" s="115" t="str">
        <f>HYPERLINK("https://celebrity.okezone.com/read/2019/08/26/33/2096793/tessa-mariska-enggan-ikut-campur-dan-sebut-nama-nikita-mirzani ","sumber")</f>
        <v>sumber</v>
      </c>
      <c r="G275" s="25" t="s">
        <v>1</v>
      </c>
      <c r="H275" s="25">
        <v>345</v>
      </c>
      <c r="I275" s="26"/>
      <c r="J275" s="26"/>
      <c r="K275" s="124"/>
      <c r="L275" s="26"/>
      <c r="M275" s="26"/>
      <c r="N275" s="26"/>
      <c r="O275" s="26"/>
      <c r="P275" s="26"/>
      <c r="Q275" s="26"/>
      <c r="R275" s="26"/>
      <c r="S275" s="124"/>
      <c r="T275" s="26"/>
      <c r="U275" s="26"/>
      <c r="V275" s="26"/>
      <c r="W275" s="26"/>
      <c r="X275" s="26"/>
      <c r="Y275" s="26"/>
    </row>
    <row r="276" spans="1:25" ht="13.2">
      <c r="A276" s="188">
        <v>1</v>
      </c>
      <c r="B276" s="22" t="s">
        <v>4441</v>
      </c>
      <c r="C276" s="22">
        <v>276</v>
      </c>
      <c r="D276" s="22">
        <v>3</v>
      </c>
      <c r="E276" s="222">
        <v>43505</v>
      </c>
      <c r="F276" s="121" t="str">
        <f>HYPERLINK("https://news.okezone.com/read/2019/09/02/340/2099544/mahasiswa-dan-dosen-diduga-gay-digerebek-warga-berduaan-di-kamar ","sumber")</f>
        <v>sumber</v>
      </c>
      <c r="G276" s="22" t="s">
        <v>1</v>
      </c>
      <c r="H276" s="22">
        <v>222</v>
      </c>
      <c r="I276" s="22">
        <v>1</v>
      </c>
      <c r="J276" s="22">
        <v>3</v>
      </c>
      <c r="K276" s="123" t="s">
        <v>4442</v>
      </c>
      <c r="L276" s="22">
        <v>0</v>
      </c>
      <c r="M276" s="22">
        <v>-1</v>
      </c>
      <c r="N276" s="22">
        <v>-1</v>
      </c>
      <c r="O276" s="22">
        <v>0</v>
      </c>
      <c r="P276" s="22">
        <v>0</v>
      </c>
      <c r="Q276" s="22">
        <v>0</v>
      </c>
      <c r="R276" s="22">
        <v>-1</v>
      </c>
      <c r="S276" s="123"/>
      <c r="T276" s="22">
        <v>0</v>
      </c>
      <c r="U276" s="22">
        <v>0</v>
      </c>
      <c r="V276" s="22">
        <v>0</v>
      </c>
      <c r="W276" s="23"/>
      <c r="X276" s="23"/>
      <c r="Y276" s="23"/>
    </row>
    <row r="277" spans="1:25" ht="13.2">
      <c r="A277" s="188">
        <v>1</v>
      </c>
      <c r="B277" s="22" t="s">
        <v>4443</v>
      </c>
      <c r="C277" s="22">
        <v>277</v>
      </c>
      <c r="D277" s="22">
        <v>2</v>
      </c>
      <c r="E277" s="222">
        <v>43533</v>
      </c>
      <c r="F277" s="121" t="str">
        <f>HYPERLINK("https://www.cnnindonesia.com/gaya-hidup/20190902150712-284-426832/studi-bantah-ada-gen-penyebab-gay ","sumber")</f>
        <v>sumber</v>
      </c>
      <c r="G277" s="22" t="s">
        <v>1</v>
      </c>
      <c r="H277" s="22">
        <v>310</v>
      </c>
      <c r="I277" s="22">
        <v>2</v>
      </c>
      <c r="J277" s="22">
        <v>3</v>
      </c>
      <c r="K277" s="123" t="s">
        <v>4444</v>
      </c>
      <c r="L277" s="22">
        <v>0</v>
      </c>
      <c r="M277" s="22">
        <v>0</v>
      </c>
      <c r="N277" s="125">
        <v>0</v>
      </c>
      <c r="O277" s="22">
        <v>0</v>
      </c>
      <c r="P277" s="22">
        <v>0</v>
      </c>
      <c r="Q277" s="22" t="s">
        <v>29</v>
      </c>
      <c r="R277" s="22" t="s">
        <v>182</v>
      </c>
      <c r="S277" s="123"/>
      <c r="T277" s="22">
        <v>0</v>
      </c>
      <c r="U277" s="22">
        <v>0</v>
      </c>
      <c r="V277" s="22">
        <v>1</v>
      </c>
      <c r="W277" s="23"/>
      <c r="X277" s="23"/>
      <c r="Y277" s="23"/>
    </row>
    <row r="278" spans="1:25" ht="13.2">
      <c r="A278" s="188">
        <v>1</v>
      </c>
      <c r="B278" s="22" t="s">
        <v>4445</v>
      </c>
      <c r="C278" s="22">
        <v>278</v>
      </c>
      <c r="D278" s="22">
        <v>7</v>
      </c>
      <c r="E278" s="22" t="s">
        <v>305</v>
      </c>
      <c r="F278" s="121" t="str">
        <f>HYPERLINK("https://www.tribunnews.com/seleb/2019/09/26/cerita-gebby-vesta-pilih-jadi-transgender-sempat-dikira-wanita-tulen-hingga-didukung-keluarga ","sumber")</f>
        <v>sumber</v>
      </c>
      <c r="G278" s="22" t="s">
        <v>1</v>
      </c>
      <c r="H278" s="22">
        <v>205</v>
      </c>
      <c r="I278" s="22">
        <v>2</v>
      </c>
      <c r="J278" s="22">
        <v>3</v>
      </c>
      <c r="K278" s="123" t="s">
        <v>4446</v>
      </c>
      <c r="L278" s="22">
        <v>0</v>
      </c>
      <c r="M278" s="22">
        <v>0</v>
      </c>
      <c r="N278" s="125">
        <v>0</v>
      </c>
      <c r="O278" s="22">
        <v>0</v>
      </c>
      <c r="P278" s="22">
        <v>0</v>
      </c>
      <c r="Q278" s="22">
        <v>2</v>
      </c>
      <c r="R278" s="22">
        <v>1</v>
      </c>
      <c r="S278" s="134"/>
      <c r="T278" s="22">
        <v>0</v>
      </c>
      <c r="U278" s="22">
        <v>0</v>
      </c>
      <c r="V278" s="22">
        <v>0</v>
      </c>
      <c r="W278" s="23"/>
      <c r="X278" s="23"/>
      <c r="Y278" s="23"/>
    </row>
    <row r="279" spans="1:25" ht="13.2">
      <c r="A279" s="188">
        <v>1</v>
      </c>
      <c r="B279" s="22" t="s">
        <v>4447</v>
      </c>
      <c r="C279" s="22">
        <v>279</v>
      </c>
      <c r="D279" s="22">
        <v>3</v>
      </c>
      <c r="E279" s="22" t="s">
        <v>2656</v>
      </c>
      <c r="F279" s="121" t="str">
        <f>HYPERLINK("https://celebrity.okezone.com/read/2019/09/28/33/2110523/pengakuan-terbaru-lucinta-luna-soal-sosok-muhammad-fatah ","sumber")</f>
        <v>sumber</v>
      </c>
      <c r="G279" s="22" t="s">
        <v>1</v>
      </c>
      <c r="H279" s="22">
        <v>346</v>
      </c>
      <c r="I279" s="22">
        <v>2</v>
      </c>
      <c r="J279" s="22">
        <v>3</v>
      </c>
      <c r="K279" s="123" t="s">
        <v>4314</v>
      </c>
      <c r="L279" s="22">
        <v>-1</v>
      </c>
      <c r="M279" s="22">
        <v>0</v>
      </c>
      <c r="N279" s="22">
        <v>-1</v>
      </c>
      <c r="O279" s="22">
        <v>0</v>
      </c>
      <c r="P279" s="22">
        <v>0</v>
      </c>
      <c r="Q279" s="22">
        <v>0</v>
      </c>
      <c r="R279" s="22">
        <v>0</v>
      </c>
      <c r="S279" s="134"/>
      <c r="T279" s="22">
        <v>0</v>
      </c>
      <c r="U279" s="22">
        <v>0</v>
      </c>
      <c r="V279" s="22">
        <v>0</v>
      </c>
      <c r="W279" s="23"/>
      <c r="X279" s="23"/>
      <c r="Y279" s="23"/>
    </row>
    <row r="280" spans="1:25" ht="13.2">
      <c r="A280" s="21">
        <v>2</v>
      </c>
      <c r="B280" s="25" t="s">
        <v>4448</v>
      </c>
      <c r="C280" s="25">
        <v>280</v>
      </c>
      <c r="D280" s="25">
        <v>2</v>
      </c>
      <c r="E280" s="234">
        <v>43617</v>
      </c>
      <c r="F280" s="115" t="str">
        <f>HYPERLINK("https://www.cnnindonesia.com/nasional/20190106203829-12-358830/pengusaha-berinisial-r-yang-pesan-vanessa-angel-dibebaskan ","sumber")</f>
        <v>sumber</v>
      </c>
      <c r="G280" s="25" t="s">
        <v>1</v>
      </c>
      <c r="H280" s="25">
        <v>443</v>
      </c>
      <c r="I280" s="26"/>
      <c r="J280" s="26"/>
      <c r="K280" s="124"/>
      <c r="L280" s="26"/>
      <c r="M280" s="26"/>
      <c r="N280" s="26"/>
      <c r="O280" s="26"/>
      <c r="P280" s="26"/>
      <c r="Q280" s="26"/>
      <c r="R280" s="26"/>
      <c r="S280" s="124"/>
      <c r="T280" s="26"/>
      <c r="U280" s="26"/>
      <c r="V280" s="26"/>
      <c r="W280" s="26"/>
      <c r="X280" s="26"/>
      <c r="Y280" s="26"/>
    </row>
    <row r="281" spans="1:25" ht="13.2">
      <c r="A281" s="21">
        <v>2</v>
      </c>
      <c r="B281" s="25" t="s">
        <v>4449</v>
      </c>
      <c r="C281" s="25">
        <v>281</v>
      </c>
      <c r="D281" s="25">
        <v>7</v>
      </c>
      <c r="E281" s="234">
        <v>43617</v>
      </c>
      <c r="F281" s="115" t="str">
        <f>HYPERLINK("http://www.tribunnews.com/seleb/2019/01/06/sebelum-berangkat-ke-surabaya-vanessa-angel-titip-pesan-untuk-sang-kekasih-lewat-manajer ","sumber")</f>
        <v>sumber</v>
      </c>
      <c r="G281" s="25" t="s">
        <v>1</v>
      </c>
      <c r="H281" s="25">
        <v>217</v>
      </c>
      <c r="I281" s="26"/>
      <c r="J281" s="26"/>
      <c r="K281" s="124"/>
      <c r="L281" s="26"/>
      <c r="M281" s="26"/>
      <c r="N281" s="26"/>
      <c r="O281" s="26"/>
      <c r="P281" s="26"/>
      <c r="Q281" s="26"/>
      <c r="R281" s="26"/>
      <c r="S281" s="124"/>
      <c r="T281" s="26"/>
      <c r="U281" s="26"/>
      <c r="V281" s="26"/>
      <c r="W281" s="26"/>
      <c r="X281" s="26"/>
      <c r="Y281" s="26"/>
    </row>
    <row r="282" spans="1:25" ht="13.2">
      <c r="A282" s="21">
        <v>2</v>
      </c>
      <c r="B282" s="25" t="s">
        <v>4450</v>
      </c>
      <c r="C282" s="25">
        <v>282</v>
      </c>
      <c r="D282" s="25">
        <v>6</v>
      </c>
      <c r="E282" s="234">
        <v>43647</v>
      </c>
      <c r="F282" s="115" t="str">
        <f>HYPERLINK("https://regional.kompas.com/read/2019/01/07/09341361/dilepas-polisi-artis-va-masih-dikenai-wajib-lapor ","sumber")</f>
        <v>sumber</v>
      </c>
      <c r="G282" s="25" t="s">
        <v>1</v>
      </c>
      <c r="H282" s="25">
        <v>245</v>
      </c>
      <c r="I282" s="26"/>
      <c r="J282" s="26"/>
      <c r="K282" s="124"/>
      <c r="L282" s="26"/>
      <c r="M282" s="26"/>
      <c r="N282" s="26"/>
      <c r="O282" s="26"/>
      <c r="P282" s="26"/>
      <c r="Q282" s="26"/>
      <c r="R282" s="26"/>
      <c r="S282" s="124"/>
      <c r="T282" s="26"/>
      <c r="U282" s="26"/>
      <c r="V282" s="26"/>
      <c r="W282" s="26"/>
      <c r="X282" s="26"/>
      <c r="Y282" s="26"/>
    </row>
    <row r="283" spans="1:25" ht="13.2">
      <c r="A283" s="21">
        <v>2</v>
      </c>
      <c r="B283" s="25" t="s">
        <v>3518</v>
      </c>
      <c r="C283" s="25">
        <v>283</v>
      </c>
      <c r="D283" s="25">
        <v>3</v>
      </c>
      <c r="E283" s="234">
        <v>43647</v>
      </c>
      <c r="F283" s="115" t="str">
        <f>HYPERLINK("https://news.okezone.com/read/2019/01/07/519/2001006/ditanya-ada-pejabat-pelanggan-psk-artis-kapolda-jatim-tersenyum ","sumber")</f>
        <v>sumber</v>
      </c>
      <c r="G283" s="25" t="s">
        <v>1</v>
      </c>
      <c r="H283" s="25">
        <v>315</v>
      </c>
      <c r="I283" s="26"/>
      <c r="J283" s="26"/>
      <c r="K283" s="124"/>
      <c r="L283" s="26"/>
      <c r="M283" s="26"/>
      <c r="N283" s="26"/>
      <c r="O283" s="26"/>
      <c r="P283" s="26"/>
      <c r="Q283" s="26"/>
      <c r="R283" s="26"/>
      <c r="S283" s="124"/>
      <c r="T283" s="26"/>
      <c r="U283" s="26"/>
      <c r="V283" s="26"/>
      <c r="W283" s="26"/>
      <c r="X283" s="26"/>
      <c r="Y283" s="26"/>
    </row>
    <row r="284" spans="1:25" ht="13.2">
      <c r="A284" s="209">
        <v>1</v>
      </c>
      <c r="B284" s="132" t="s">
        <v>4451</v>
      </c>
      <c r="C284" s="33">
        <v>284</v>
      </c>
      <c r="D284" s="33">
        <v>1</v>
      </c>
      <c r="E284" s="288">
        <v>43678</v>
      </c>
      <c r="F284" s="130" t="str">
        <f>HYPERLINK("https://news.detik.com/berita-jawa-tengah/d-4375370/rektor-ugm-dapat-7-pertanyaan-terkait-dugaan-maladministrasi-apa-saja ","sumber")</f>
        <v>sumber</v>
      </c>
      <c r="G284" s="33" t="s">
        <v>1</v>
      </c>
      <c r="H284" s="33">
        <v>312</v>
      </c>
      <c r="I284" s="33">
        <v>1</v>
      </c>
      <c r="J284" s="33">
        <v>1</v>
      </c>
      <c r="K284" s="131" t="s">
        <v>4452</v>
      </c>
      <c r="L284" s="33">
        <v>0</v>
      </c>
      <c r="M284" s="33">
        <v>-1</v>
      </c>
      <c r="N284" s="33">
        <v>0</v>
      </c>
      <c r="O284" s="33">
        <v>1</v>
      </c>
      <c r="P284" s="33">
        <v>0</v>
      </c>
      <c r="Q284" s="33">
        <v>0</v>
      </c>
      <c r="R284" s="33">
        <v>0</v>
      </c>
      <c r="S284" s="133"/>
      <c r="T284" s="33">
        <v>0</v>
      </c>
      <c r="U284" s="33">
        <v>0</v>
      </c>
      <c r="V284" s="33">
        <v>0</v>
      </c>
      <c r="W284" s="24"/>
      <c r="X284" s="24"/>
      <c r="Y284" s="24"/>
    </row>
    <row r="285" spans="1:25" ht="13.2">
      <c r="A285" s="209">
        <v>1</v>
      </c>
      <c r="B285" s="132" t="s">
        <v>4453</v>
      </c>
      <c r="C285" s="33">
        <v>285</v>
      </c>
      <c r="D285" s="33">
        <v>4</v>
      </c>
      <c r="E285" s="288">
        <v>43497</v>
      </c>
      <c r="F285" s="130" t="str">
        <f>HYPERLINK("https://www.liputan6.com/news/read/3861636/mengaku-diperkosa-atasan-eks-staf-dewan-pengawas-bpjs-tk-datangi-bareskrim ","sumber")</f>
        <v>sumber</v>
      </c>
      <c r="G285" s="33" t="s">
        <v>1</v>
      </c>
      <c r="H285" s="33">
        <v>341</v>
      </c>
      <c r="I285" s="33">
        <v>1</v>
      </c>
      <c r="J285" s="33">
        <v>1</v>
      </c>
      <c r="K285" s="131" t="s">
        <v>4454</v>
      </c>
      <c r="L285" s="33">
        <v>0</v>
      </c>
      <c r="M285" s="33">
        <v>-1</v>
      </c>
      <c r="N285" s="132">
        <v>0</v>
      </c>
      <c r="O285" s="33">
        <v>1</v>
      </c>
      <c r="P285" s="33">
        <v>0</v>
      </c>
      <c r="Q285" s="33">
        <v>0</v>
      </c>
      <c r="R285" s="33">
        <v>1</v>
      </c>
      <c r="S285" s="133"/>
      <c r="T285" s="33">
        <v>0</v>
      </c>
      <c r="U285" s="33">
        <v>0</v>
      </c>
      <c r="V285" s="33">
        <v>0</v>
      </c>
      <c r="W285" s="24"/>
      <c r="X285" s="24"/>
      <c r="Y285" s="24"/>
    </row>
    <row r="286" spans="1:25" ht="13.2">
      <c r="A286" s="21">
        <v>2</v>
      </c>
      <c r="B286" s="25" t="s">
        <v>4455</v>
      </c>
      <c r="C286" s="25">
        <v>286</v>
      </c>
      <c r="D286" s="25">
        <v>4</v>
      </c>
      <c r="E286" s="234">
        <v>43739</v>
      </c>
      <c r="F286" s="115" t="str">
        <f>HYPERLINK("https://www.liputan6.com/showbiz/read/3867382/beredar-foto-saipul-jamil-video-call-dengan-pria-tanpa-baju ","sumber")</f>
        <v>sumber</v>
      </c>
      <c r="G286" s="25" t="s">
        <v>1</v>
      </c>
      <c r="H286" s="25">
        <v>245</v>
      </c>
      <c r="I286" s="26"/>
      <c r="J286" s="26"/>
      <c r="K286" s="124"/>
      <c r="L286" s="26"/>
      <c r="M286" s="26"/>
      <c r="N286" s="26"/>
      <c r="O286" s="26"/>
      <c r="P286" s="26"/>
      <c r="Q286" s="26"/>
      <c r="R286" s="26"/>
      <c r="S286" s="124"/>
      <c r="T286" s="26"/>
      <c r="U286" s="26"/>
      <c r="V286" s="26"/>
      <c r="W286" s="26"/>
      <c r="X286" s="26"/>
      <c r="Y286" s="26"/>
    </row>
    <row r="287" spans="1:25" ht="13.2">
      <c r="A287" s="188">
        <v>1</v>
      </c>
      <c r="B287" s="22" t="s">
        <v>4456</v>
      </c>
      <c r="C287" s="22">
        <v>287</v>
      </c>
      <c r="D287" s="22">
        <v>5</v>
      </c>
      <c r="E287" s="222">
        <v>43770</v>
      </c>
      <c r="F287" s="121" t="str">
        <f>HYPERLINK("https://tirto.id/rahaf-alqunun-simbol-perjuangan-hak-perempuan-di-arab-saudi-dd7f ","sumber")</f>
        <v>sumber</v>
      </c>
      <c r="G287" s="22" t="s">
        <v>1</v>
      </c>
      <c r="H287" s="22">
        <v>436</v>
      </c>
      <c r="I287" s="22">
        <v>1</v>
      </c>
      <c r="J287" s="22">
        <v>1</v>
      </c>
      <c r="K287" s="123" t="s">
        <v>4457</v>
      </c>
      <c r="L287" s="22">
        <v>0</v>
      </c>
      <c r="M287" s="22">
        <v>1</v>
      </c>
      <c r="N287" s="125">
        <v>0</v>
      </c>
      <c r="O287" s="22">
        <v>1</v>
      </c>
      <c r="P287" s="22">
        <v>0</v>
      </c>
      <c r="Q287" s="22" t="s">
        <v>87</v>
      </c>
      <c r="R287" s="22" t="s">
        <v>160</v>
      </c>
      <c r="S287" s="134"/>
      <c r="T287" s="22">
        <v>0</v>
      </c>
      <c r="U287" s="22">
        <v>0</v>
      </c>
      <c r="V287" s="22">
        <v>1</v>
      </c>
      <c r="W287" s="23"/>
      <c r="X287" s="23"/>
      <c r="Y287" s="23"/>
    </row>
    <row r="288" spans="1:25" ht="13.2">
      <c r="A288" s="188">
        <v>1</v>
      </c>
      <c r="B288" s="22" t="s">
        <v>4458</v>
      </c>
      <c r="C288" s="22">
        <v>288</v>
      </c>
      <c r="D288" s="22">
        <v>5</v>
      </c>
      <c r="E288" s="222">
        <v>43800</v>
      </c>
      <c r="F288" s="121" t="str">
        <f>HYPERLINK("https://tirto.id/diminta-datangkan-artis-va-tersangka-muncikari-mengaku-jadi-korban-debG ","sumber")</f>
        <v>sumber</v>
      </c>
      <c r="G288" s="22" t="s">
        <v>1</v>
      </c>
      <c r="H288" s="22">
        <v>352</v>
      </c>
      <c r="I288" s="22">
        <v>1</v>
      </c>
      <c r="J288" s="22">
        <v>1</v>
      </c>
      <c r="K288" s="123" t="s">
        <v>4459</v>
      </c>
      <c r="L288" s="22">
        <v>0</v>
      </c>
      <c r="M288" s="22">
        <v>-1</v>
      </c>
      <c r="N288" s="125">
        <v>0</v>
      </c>
      <c r="O288" s="22">
        <v>1</v>
      </c>
      <c r="P288" s="22">
        <v>0</v>
      </c>
      <c r="Q288" s="22" t="s">
        <v>29</v>
      </c>
      <c r="R288" s="22" t="s">
        <v>141</v>
      </c>
      <c r="S288" s="134"/>
      <c r="T288" s="22">
        <v>0</v>
      </c>
      <c r="U288" s="22">
        <v>0</v>
      </c>
      <c r="V288" s="22">
        <v>1</v>
      </c>
      <c r="W288" s="23"/>
      <c r="X288" s="23"/>
      <c r="Y288" s="23"/>
    </row>
    <row r="289" spans="1:25" ht="13.2">
      <c r="A289" s="188">
        <v>1</v>
      </c>
      <c r="B289" s="22" t="s">
        <v>4460</v>
      </c>
      <c r="C289" s="22">
        <v>289</v>
      </c>
      <c r="D289" s="22">
        <v>7</v>
      </c>
      <c r="E289" s="22" t="s">
        <v>666</v>
      </c>
      <c r="F289" s="121" t="str">
        <f>HYPERLINK("http://www.tribunnews.com/section/2019/01/18/geram-vanessa-angel-terlibat-prostitusi-anwar-fuady-hukum-seberat-beratnya-bikin-malu ","sumber")</f>
        <v>sumber</v>
      </c>
      <c r="G289" s="22" t="s">
        <v>1</v>
      </c>
      <c r="H289" s="22">
        <v>187</v>
      </c>
      <c r="I289" s="22">
        <v>1</v>
      </c>
      <c r="J289" s="22">
        <v>1</v>
      </c>
      <c r="K289" s="123" t="s">
        <v>4461</v>
      </c>
      <c r="L289" s="22">
        <v>0</v>
      </c>
      <c r="M289" s="22">
        <v>-1</v>
      </c>
      <c r="N289" s="125">
        <v>0</v>
      </c>
      <c r="O289" s="22">
        <v>1</v>
      </c>
      <c r="P289" s="22">
        <v>0</v>
      </c>
      <c r="Q289" s="22" t="s">
        <v>29</v>
      </c>
      <c r="R289" s="22" t="s">
        <v>53</v>
      </c>
      <c r="S289" s="134"/>
      <c r="T289" s="22">
        <v>0</v>
      </c>
      <c r="U289" s="22">
        <v>0</v>
      </c>
      <c r="V289" s="22">
        <v>1</v>
      </c>
      <c r="W289" s="23"/>
      <c r="X289" s="23"/>
      <c r="Y289" s="23"/>
    </row>
    <row r="290" spans="1:25" ht="13.2">
      <c r="A290" s="21">
        <v>2</v>
      </c>
      <c r="B290" s="25" t="s">
        <v>4462</v>
      </c>
      <c r="C290" s="25">
        <v>290</v>
      </c>
      <c r="D290" s="25">
        <v>7</v>
      </c>
      <c r="E290" s="25" t="s">
        <v>670</v>
      </c>
      <c r="F290" s="115" t="str">
        <f>HYPERLINK("http://www.tribunnews.com/seleb/2019/01/19/artis-lain-terlibat-prostitusi-versi-robby-abbas-bintang-iklan-sabun-baru-keluar-dari-penjara ","sumber")</f>
        <v>sumber</v>
      </c>
      <c r="G290" s="25" t="s">
        <v>1</v>
      </c>
      <c r="H290" s="25">
        <v>151</v>
      </c>
      <c r="I290" s="26"/>
      <c r="J290" s="26"/>
      <c r="K290" s="116" t="s">
        <v>4463</v>
      </c>
      <c r="L290" s="26"/>
      <c r="M290" s="26"/>
      <c r="N290" s="26"/>
      <c r="O290" s="26"/>
      <c r="P290" s="26"/>
      <c r="Q290" s="26"/>
      <c r="R290" s="26"/>
      <c r="S290" s="124"/>
      <c r="T290" s="26"/>
      <c r="U290" s="26"/>
      <c r="V290" s="26"/>
      <c r="W290" s="26"/>
      <c r="X290" s="26"/>
      <c r="Y290" s="26"/>
    </row>
    <row r="291" spans="1:25" ht="13.2">
      <c r="A291" s="21">
        <v>2</v>
      </c>
      <c r="B291" s="25" t="s">
        <v>4464</v>
      </c>
      <c r="C291" s="25">
        <v>291</v>
      </c>
      <c r="D291" s="25">
        <v>2</v>
      </c>
      <c r="E291" s="25" t="s">
        <v>651</v>
      </c>
      <c r="F291" s="115" t="str">
        <f>HYPERLINK("https://www.cnnindonesia.com/hiburan/20190124112640-234-363428/sutradara-bohemian-rhapsody-dituduh-lakukan-pelecehan ","sumber")</f>
        <v>sumber</v>
      </c>
      <c r="G291" s="25" t="s">
        <v>1</v>
      </c>
      <c r="H291" s="25">
        <v>409</v>
      </c>
      <c r="I291" s="26"/>
      <c r="J291" s="26"/>
      <c r="K291" s="124"/>
      <c r="L291" s="26"/>
      <c r="M291" s="26"/>
      <c r="N291" s="26"/>
      <c r="O291" s="26"/>
      <c r="P291" s="26"/>
      <c r="Q291" s="26"/>
      <c r="R291" s="26"/>
      <c r="S291" s="124"/>
      <c r="T291" s="26"/>
      <c r="U291" s="26"/>
      <c r="V291" s="26"/>
      <c r="W291" s="26"/>
      <c r="X291" s="26"/>
      <c r="Y291" s="26"/>
    </row>
    <row r="292" spans="1:25" ht="14.4">
      <c r="A292" s="148">
        <v>1</v>
      </c>
      <c r="B292" s="149" t="s">
        <v>4465</v>
      </c>
      <c r="C292" s="33">
        <v>292</v>
      </c>
      <c r="D292" s="33">
        <v>3</v>
      </c>
      <c r="E292" s="288">
        <v>43739</v>
      </c>
      <c r="F292" s="130" t="str">
        <f>HYPERLINK("https://celebrity.okezone.com/read/2019/01/10/33/2002787/muncikari-es-akui-mempromosikan-vanessa-angel-karena-pertemanan ","sumber")</f>
        <v>sumber</v>
      </c>
      <c r="G292" s="33" t="s">
        <v>1</v>
      </c>
      <c r="H292" s="33">
        <v>293</v>
      </c>
      <c r="I292" s="33">
        <v>1</v>
      </c>
      <c r="J292" s="33">
        <v>1</v>
      </c>
      <c r="K292" s="131" t="s">
        <v>4466</v>
      </c>
      <c r="L292" s="33">
        <v>0</v>
      </c>
      <c r="M292" s="33">
        <v>-1</v>
      </c>
      <c r="N292" s="132">
        <v>0</v>
      </c>
      <c r="O292" s="33">
        <v>0</v>
      </c>
      <c r="P292" s="33">
        <v>0</v>
      </c>
      <c r="Q292" s="33">
        <v>0</v>
      </c>
      <c r="R292" s="33">
        <v>0</v>
      </c>
      <c r="S292" s="133"/>
      <c r="T292" s="33">
        <v>0</v>
      </c>
      <c r="U292" s="33">
        <v>0</v>
      </c>
      <c r="V292" s="33">
        <v>1</v>
      </c>
      <c r="W292" s="24"/>
      <c r="X292" s="24"/>
      <c r="Y292" s="24"/>
    </row>
    <row r="293" spans="1:25" ht="14.4">
      <c r="A293" s="211">
        <v>1</v>
      </c>
      <c r="B293" s="46" t="s">
        <v>4467</v>
      </c>
      <c r="C293" s="33">
        <v>293</v>
      </c>
      <c r="D293" s="33">
        <v>4</v>
      </c>
      <c r="E293" s="288">
        <v>43556</v>
      </c>
      <c r="F293" s="130" t="str">
        <f>HYPERLINK("https://www.liputan6.com/regional/read/3862837/mabuk-arak-jowo-gadis-teler-diperkosa-2-pemuda-di-kediri ","sumber")</f>
        <v>sumber</v>
      </c>
      <c r="G293" s="33" t="s">
        <v>1</v>
      </c>
      <c r="H293" s="33">
        <v>237</v>
      </c>
      <c r="I293" s="33">
        <v>1</v>
      </c>
      <c r="J293" s="33">
        <v>1</v>
      </c>
      <c r="K293" s="131" t="s">
        <v>4468</v>
      </c>
      <c r="L293" s="33">
        <v>0</v>
      </c>
      <c r="M293" s="33">
        <v>-1</v>
      </c>
      <c r="N293" s="132">
        <v>0</v>
      </c>
      <c r="O293" s="33">
        <v>0</v>
      </c>
      <c r="P293" s="33">
        <v>0</v>
      </c>
      <c r="Q293" s="33">
        <v>0</v>
      </c>
      <c r="R293" s="33">
        <v>0</v>
      </c>
      <c r="S293" s="131" t="s">
        <v>4469</v>
      </c>
      <c r="T293" s="33">
        <v>1</v>
      </c>
      <c r="U293" s="33">
        <v>0</v>
      </c>
      <c r="V293" s="33">
        <v>0</v>
      </c>
      <c r="W293" s="24"/>
      <c r="X293" s="24"/>
      <c r="Y293" s="24"/>
    </row>
    <row r="294" spans="1:25" ht="13.2">
      <c r="A294" s="188">
        <v>1</v>
      </c>
      <c r="B294" s="22" t="s">
        <v>4470</v>
      </c>
      <c r="C294" s="22">
        <v>294</v>
      </c>
      <c r="D294" s="22">
        <v>1</v>
      </c>
      <c r="E294" s="22" t="s">
        <v>55</v>
      </c>
      <c r="F294" s="121" t="str">
        <f>HYPERLINK("https://news.detik.com/berita/d-4401349/pengakuan-asri-bandar-sabu-pembunuh-dan-pembakar-mayat-inah ","sumber")</f>
        <v>sumber</v>
      </c>
      <c r="G294" s="22" t="s">
        <v>1</v>
      </c>
      <c r="H294" s="22">
        <v>332</v>
      </c>
      <c r="I294" s="22">
        <v>1</v>
      </c>
      <c r="J294" s="22">
        <v>1</v>
      </c>
      <c r="K294" s="123" t="s">
        <v>4471</v>
      </c>
      <c r="L294" s="22">
        <v>0</v>
      </c>
      <c r="M294" s="22">
        <v>-1</v>
      </c>
      <c r="N294" s="125">
        <v>0</v>
      </c>
      <c r="O294" s="22">
        <v>1</v>
      </c>
      <c r="P294" s="22">
        <v>0</v>
      </c>
      <c r="Q294" s="22">
        <v>0</v>
      </c>
      <c r="R294" s="22">
        <v>-1</v>
      </c>
      <c r="S294" s="134"/>
      <c r="T294" s="22">
        <v>0</v>
      </c>
      <c r="U294" s="22">
        <v>0</v>
      </c>
      <c r="V294" s="22">
        <v>0</v>
      </c>
      <c r="W294" s="23"/>
      <c r="X294" s="23"/>
      <c r="Y294" s="23"/>
    </row>
    <row r="295" spans="1:25" ht="13.2">
      <c r="A295" s="209">
        <v>1</v>
      </c>
      <c r="B295" s="132" t="s">
        <v>4472</v>
      </c>
      <c r="C295" s="33">
        <v>295</v>
      </c>
      <c r="D295" s="33">
        <v>8</v>
      </c>
      <c r="E295" s="288">
        <v>43678</v>
      </c>
      <c r="F295" s="130" t="str">
        <f>HYPERLINK("https://www.suara.com/news/2019/01/08/172032/buntut-prostitusi-online-vanessa-angel-2-mucikari-artis-dan-model-buron ","sumber")</f>
        <v>sumber</v>
      </c>
      <c r="G295" s="33" t="s">
        <v>1</v>
      </c>
      <c r="H295" s="33">
        <v>312</v>
      </c>
      <c r="I295" s="33">
        <v>1</v>
      </c>
      <c r="J295" s="33">
        <v>1</v>
      </c>
      <c r="K295" s="131" t="s">
        <v>4473</v>
      </c>
      <c r="L295" s="33">
        <v>0</v>
      </c>
      <c r="M295" s="33">
        <v>-1</v>
      </c>
      <c r="N295" s="132">
        <v>0</v>
      </c>
      <c r="O295" s="33">
        <v>0</v>
      </c>
      <c r="P295" s="33">
        <v>0</v>
      </c>
      <c r="Q295" s="33">
        <v>0</v>
      </c>
      <c r="R295" s="33">
        <v>0</v>
      </c>
      <c r="S295" s="133"/>
      <c r="T295" s="33">
        <v>0</v>
      </c>
      <c r="U295" s="33">
        <v>0</v>
      </c>
      <c r="V295" s="33">
        <v>1</v>
      </c>
      <c r="W295" s="24"/>
      <c r="X295" s="24"/>
      <c r="Y295" s="24"/>
    </row>
    <row r="296" spans="1:25" ht="13.2">
      <c r="A296" s="21">
        <v>2</v>
      </c>
      <c r="B296" s="25" t="s">
        <v>4474</v>
      </c>
      <c r="C296" s="25">
        <v>296</v>
      </c>
      <c r="D296" s="25">
        <v>6</v>
      </c>
      <c r="E296" s="234">
        <v>43526</v>
      </c>
      <c r="F296" s="115" t="str">
        <f>HYPERLINK("https://entertainment.kompas.com/read/2019/02/03/093814510/chris-pratt-janjikan-guardians-of-the-galaxy-vol-3 ","sumber")</f>
        <v>sumber</v>
      </c>
      <c r="G296" s="25" t="s">
        <v>1</v>
      </c>
      <c r="H296" s="25">
        <v>242</v>
      </c>
      <c r="I296" s="26"/>
      <c r="J296" s="26"/>
      <c r="K296" s="124"/>
      <c r="L296" s="26"/>
      <c r="M296" s="26"/>
      <c r="N296" s="26"/>
      <c r="O296" s="26"/>
      <c r="P296" s="26"/>
      <c r="Q296" s="26"/>
      <c r="R296" s="26"/>
      <c r="S296" s="124"/>
      <c r="T296" s="26"/>
      <c r="U296" s="26"/>
      <c r="V296" s="26"/>
      <c r="W296" s="26"/>
      <c r="X296" s="26"/>
      <c r="Y296" s="26"/>
    </row>
    <row r="297" spans="1:25" ht="13.2">
      <c r="A297" s="188">
        <v>1</v>
      </c>
      <c r="B297" s="22" t="s">
        <v>4475</v>
      </c>
      <c r="C297" s="22">
        <v>297</v>
      </c>
      <c r="D297" s="22">
        <v>1</v>
      </c>
      <c r="E297" s="222">
        <v>43557</v>
      </c>
      <c r="F297" s="121" t="str">
        <f>HYPERLINK("https://news.detik.com/berita/d-4413011/prostitusi-live-show-jajakan-pelajar-sma-anggota-grup-dipatok-rp-1-juta ","sumber")</f>
        <v>sumber</v>
      </c>
      <c r="G297" s="22" t="s">
        <v>1</v>
      </c>
      <c r="H297" s="22">
        <v>230</v>
      </c>
      <c r="I297" s="22">
        <v>1</v>
      </c>
      <c r="J297" s="22">
        <v>1</v>
      </c>
      <c r="K297" s="123" t="s">
        <v>4476</v>
      </c>
      <c r="L297" s="22">
        <v>0</v>
      </c>
      <c r="M297" s="22">
        <v>-1</v>
      </c>
      <c r="N297" s="125">
        <v>0</v>
      </c>
      <c r="O297" s="22">
        <v>0</v>
      </c>
      <c r="P297" s="22">
        <v>0</v>
      </c>
      <c r="Q297" s="22">
        <v>0</v>
      </c>
      <c r="R297" s="22">
        <v>0</v>
      </c>
      <c r="S297" s="134"/>
      <c r="T297" s="22">
        <v>0</v>
      </c>
      <c r="U297" s="22">
        <v>0</v>
      </c>
      <c r="V297" s="22">
        <v>0</v>
      </c>
      <c r="W297" s="23"/>
      <c r="X297" s="23"/>
      <c r="Y297" s="23"/>
    </row>
    <row r="298" spans="1:25" ht="13.2">
      <c r="A298" s="209">
        <v>1</v>
      </c>
      <c r="B298" s="132" t="s">
        <v>4477</v>
      </c>
      <c r="C298" s="33">
        <v>298</v>
      </c>
      <c r="D298" s="33">
        <v>10</v>
      </c>
      <c r="E298" s="288">
        <v>43771</v>
      </c>
      <c r="F298" s="130" t="str">
        <f>HYPERLINK("https://nasional.tempo.co/read/1174618/ketua-dpr-targetkan-ruu-pks-disahkan-sebelum-pemilu ","sumber")</f>
        <v>sumber</v>
      </c>
      <c r="G298" s="33" t="s">
        <v>1</v>
      </c>
      <c r="H298" s="33">
        <v>394</v>
      </c>
      <c r="I298" s="33">
        <v>4</v>
      </c>
      <c r="J298" s="33">
        <v>1</v>
      </c>
      <c r="K298" s="131" t="s">
        <v>4478</v>
      </c>
      <c r="L298" s="33">
        <v>0</v>
      </c>
      <c r="M298" s="33">
        <v>0</v>
      </c>
      <c r="N298" s="132">
        <v>0</v>
      </c>
      <c r="O298" s="33">
        <v>0</v>
      </c>
      <c r="P298" s="33">
        <v>0</v>
      </c>
      <c r="Q298" s="33" t="s">
        <v>29</v>
      </c>
      <c r="R298" s="33" t="s">
        <v>748</v>
      </c>
      <c r="S298" s="133"/>
      <c r="T298" s="33">
        <v>0</v>
      </c>
      <c r="U298" s="33">
        <v>0</v>
      </c>
      <c r="V298" s="33">
        <v>1</v>
      </c>
      <c r="W298" s="24"/>
      <c r="X298" s="24"/>
      <c r="Y298" s="24"/>
    </row>
    <row r="299" spans="1:25" ht="13.2">
      <c r="A299" s="188">
        <v>1</v>
      </c>
      <c r="B299" s="22" t="s">
        <v>4479</v>
      </c>
      <c r="C299" s="22">
        <v>299</v>
      </c>
      <c r="D299" s="22">
        <v>8</v>
      </c>
      <c r="E299" s="222">
        <v>43679</v>
      </c>
      <c r="F299" s="121" t="str">
        <f>HYPERLINK("https://www.suara.com/entertainment/2019/02/08/220143/terseret-prostitusi-maulia-lestari-minta-maaf-ke-yayasan-puteri-indonesia ","sumber")</f>
        <v>sumber</v>
      </c>
      <c r="G299" s="22" t="s">
        <v>1</v>
      </c>
      <c r="H299" s="22">
        <v>242</v>
      </c>
      <c r="I299" s="22">
        <v>1</v>
      </c>
      <c r="J299" s="22">
        <v>1</v>
      </c>
      <c r="K299" s="123" t="s">
        <v>4480</v>
      </c>
      <c r="L299" s="22">
        <v>0</v>
      </c>
      <c r="M299" s="22">
        <v>-1</v>
      </c>
      <c r="N299" s="125">
        <v>0</v>
      </c>
      <c r="O299" s="22">
        <v>0</v>
      </c>
      <c r="P299" s="22">
        <v>0</v>
      </c>
      <c r="Q299" s="22">
        <v>2</v>
      </c>
      <c r="R299" s="22">
        <v>0</v>
      </c>
      <c r="S299" s="134"/>
      <c r="T299" s="22">
        <v>0</v>
      </c>
      <c r="U299" s="22">
        <v>0</v>
      </c>
      <c r="V299" s="22">
        <v>0</v>
      </c>
      <c r="W299" s="23"/>
      <c r="X299" s="23"/>
      <c r="Y299" s="23"/>
    </row>
    <row r="300" spans="1:25" ht="13.2">
      <c r="A300" s="188">
        <v>1</v>
      </c>
      <c r="B300" s="22" t="s">
        <v>4481</v>
      </c>
      <c r="C300" s="22">
        <v>300</v>
      </c>
      <c r="D300" s="22">
        <v>7</v>
      </c>
      <c r="E300" s="222">
        <v>43679</v>
      </c>
      <c r="F300" s="121" t="str">
        <f>HYPERLINK("http://www.tribunnews.com/nasional/2019/02/08/ruu-p-ks-melegalkan-lgbt-dan-perzinahan-hoax-itu ","sumber")</f>
        <v>sumber</v>
      </c>
      <c r="G300" s="22" t="s">
        <v>1</v>
      </c>
      <c r="H300" s="22">
        <v>287</v>
      </c>
      <c r="I300" s="22">
        <v>4</v>
      </c>
      <c r="J300" s="22">
        <v>1</v>
      </c>
      <c r="K300" s="123" t="s">
        <v>4482</v>
      </c>
      <c r="L300" s="22">
        <v>0</v>
      </c>
      <c r="M300" s="22">
        <v>0</v>
      </c>
      <c r="N300" s="125">
        <v>0</v>
      </c>
      <c r="O300" s="22">
        <v>0</v>
      </c>
      <c r="P300" s="22">
        <v>0</v>
      </c>
      <c r="Q300" s="22">
        <v>0</v>
      </c>
      <c r="R300" s="22">
        <v>1</v>
      </c>
      <c r="S300" s="134"/>
      <c r="T300" s="22">
        <v>0</v>
      </c>
      <c r="U300" s="22">
        <v>0</v>
      </c>
      <c r="V300" s="22">
        <v>1</v>
      </c>
      <c r="W300" s="23"/>
      <c r="X300" s="23"/>
      <c r="Y300" s="23"/>
    </row>
    <row r="301" spans="1:25" ht="13.2">
      <c r="A301" s="188">
        <v>1</v>
      </c>
      <c r="B301" s="22" t="s">
        <v>1606</v>
      </c>
      <c r="C301" s="22">
        <v>301</v>
      </c>
      <c r="D301" s="22">
        <v>6</v>
      </c>
      <c r="E301" s="22" t="s">
        <v>444</v>
      </c>
      <c r="F301" s="121" t="str">
        <f>HYPERLINK("https://nasional.kompas.com/read/2019/02/19/21170041/korban-dugaan-pelecehan-seksual-dewas-bpjs-tk-harap-ruu-pks-segera-disahkan ","sumber")</f>
        <v>sumber</v>
      </c>
      <c r="G301" s="22" t="s">
        <v>1</v>
      </c>
      <c r="H301" s="22">
        <v>253</v>
      </c>
      <c r="I301" s="22">
        <v>4</v>
      </c>
      <c r="J301" s="22">
        <v>1</v>
      </c>
      <c r="K301" s="123" t="s">
        <v>4483</v>
      </c>
      <c r="L301" s="22">
        <v>0</v>
      </c>
      <c r="M301" s="22">
        <v>0</v>
      </c>
      <c r="N301" s="125">
        <v>0</v>
      </c>
      <c r="O301" s="22">
        <v>1</v>
      </c>
      <c r="P301" s="22">
        <v>0</v>
      </c>
      <c r="Q301" s="22">
        <v>2</v>
      </c>
      <c r="R301" s="22">
        <v>1</v>
      </c>
      <c r="S301" s="134"/>
      <c r="T301" s="22">
        <v>0</v>
      </c>
      <c r="U301" s="22">
        <v>0</v>
      </c>
      <c r="V301" s="22">
        <v>1</v>
      </c>
      <c r="W301" s="23"/>
      <c r="X301" s="23"/>
      <c r="Y301" s="23"/>
    </row>
    <row r="302" spans="1:25" ht="13.2">
      <c r="A302" s="188">
        <v>1</v>
      </c>
      <c r="B302" s="22" t="s">
        <v>3570</v>
      </c>
      <c r="C302" s="22">
        <v>302</v>
      </c>
      <c r="D302" s="22">
        <v>2</v>
      </c>
      <c r="E302" s="22" t="s">
        <v>457</v>
      </c>
      <c r="F302" s="121" t="str">
        <f>HYPERLINK("https://www.cnnindonesia.com/nasional/20190219213252-12-370863/perbuatan-maksiat-eks-pejabat-bpjs-tk-disebut-coba-ditutupi ","sumber")</f>
        <v>sumber</v>
      </c>
      <c r="G302" s="22" t="s">
        <v>1</v>
      </c>
      <c r="H302" s="22">
        <v>452</v>
      </c>
      <c r="I302" s="22">
        <v>1</v>
      </c>
      <c r="J302" s="22">
        <v>1</v>
      </c>
      <c r="K302" s="123" t="s">
        <v>4484</v>
      </c>
      <c r="L302" s="22">
        <v>0</v>
      </c>
      <c r="M302" s="22">
        <v>-1</v>
      </c>
      <c r="N302" s="125">
        <v>0</v>
      </c>
      <c r="O302" s="22">
        <v>1</v>
      </c>
      <c r="P302" s="22">
        <v>0</v>
      </c>
      <c r="Q302" s="22" t="s">
        <v>68</v>
      </c>
      <c r="R302" s="22" t="s">
        <v>160</v>
      </c>
      <c r="S302" s="134"/>
      <c r="T302" s="22">
        <v>0</v>
      </c>
      <c r="U302" s="22">
        <v>0</v>
      </c>
      <c r="V302" s="22">
        <v>0</v>
      </c>
      <c r="W302" s="23"/>
      <c r="X302" s="23"/>
      <c r="Y302" s="23"/>
    </row>
    <row r="303" spans="1:25" ht="13.2">
      <c r="A303" s="188">
        <v>1</v>
      </c>
      <c r="B303" s="22" t="s">
        <v>1611</v>
      </c>
      <c r="C303" s="22">
        <v>304</v>
      </c>
      <c r="D303" s="22">
        <v>2</v>
      </c>
      <c r="E303" s="22" t="s">
        <v>437</v>
      </c>
      <c r="F303" s="121" t="str">
        <f>HYPERLINK("https://www.cnnindonesia.com/hiburan/20190224115921-234-372164/kasus-pelecehan-seksual-r-kelly-dituntut-jaminan-rp14-miliar ","sumber")</f>
        <v>sumber</v>
      </c>
      <c r="G303" s="22" t="s">
        <v>1</v>
      </c>
      <c r="H303" s="22">
        <v>371</v>
      </c>
      <c r="I303" s="22">
        <v>1</v>
      </c>
      <c r="J303" s="22">
        <v>1</v>
      </c>
      <c r="K303" s="123" t="s">
        <v>4485</v>
      </c>
      <c r="L303" s="22">
        <v>-1</v>
      </c>
      <c r="M303" s="22">
        <v>-1</v>
      </c>
      <c r="N303" s="125">
        <v>0</v>
      </c>
      <c r="O303" s="22">
        <v>0</v>
      </c>
      <c r="P303" s="22">
        <v>0</v>
      </c>
      <c r="Q303" s="22">
        <v>0</v>
      </c>
      <c r="R303" s="22">
        <v>-1</v>
      </c>
      <c r="S303" s="134"/>
      <c r="T303" s="22">
        <v>0</v>
      </c>
      <c r="U303" s="22">
        <v>0</v>
      </c>
      <c r="V303" s="22">
        <v>0</v>
      </c>
      <c r="W303" s="23"/>
      <c r="X303" s="23"/>
      <c r="Y303" s="23"/>
    </row>
    <row r="304" spans="1:25" ht="13.2">
      <c r="A304" s="209">
        <v>1</v>
      </c>
      <c r="B304" s="132" t="s">
        <v>4486</v>
      </c>
      <c r="C304" s="33">
        <v>305</v>
      </c>
      <c r="D304" s="33">
        <v>3</v>
      </c>
      <c r="E304" s="33" t="s">
        <v>464</v>
      </c>
      <c r="F304" s="130" t="str">
        <f>HYPERLINK("https://news.okezone.com/read/2019/02/25/512/2022538/predator-anak-yang-hamili-bocah-sd-dibekuk-polisi ","sumber")</f>
        <v>sumber</v>
      </c>
      <c r="G304" s="33" t="s">
        <v>1</v>
      </c>
      <c r="H304" s="33">
        <v>346</v>
      </c>
      <c r="I304" s="33">
        <v>1</v>
      </c>
      <c r="J304" s="33">
        <v>1</v>
      </c>
      <c r="K304" s="131" t="s">
        <v>4487</v>
      </c>
      <c r="L304" s="33">
        <v>0</v>
      </c>
      <c r="M304" s="33">
        <v>-1</v>
      </c>
      <c r="N304" s="132">
        <v>0</v>
      </c>
      <c r="O304" s="33">
        <v>0</v>
      </c>
      <c r="P304" s="33">
        <v>0</v>
      </c>
      <c r="Q304" s="33">
        <v>0</v>
      </c>
      <c r="R304" s="33">
        <v>1</v>
      </c>
      <c r="S304" s="131" t="s">
        <v>4488</v>
      </c>
      <c r="T304" s="33">
        <v>1</v>
      </c>
      <c r="U304" s="33">
        <v>-1</v>
      </c>
      <c r="V304" s="33">
        <v>0</v>
      </c>
      <c r="W304" s="24"/>
      <c r="X304" s="24"/>
      <c r="Y304" s="24"/>
    </row>
    <row r="305" spans="1:25" ht="13.2">
      <c r="A305" s="188">
        <v>1</v>
      </c>
      <c r="B305" s="22" t="s">
        <v>4489</v>
      </c>
      <c r="C305" s="22">
        <v>306</v>
      </c>
      <c r="D305" s="22">
        <v>5</v>
      </c>
      <c r="E305" s="222">
        <v>43558</v>
      </c>
      <c r="F305" s="121" t="str">
        <f>HYPERLINK("https://tirto.id/michael-jakson-estate-rilis-film-usai-penayangan-leaving-neverland-dikt ","sumber")</f>
        <v>sumber</v>
      </c>
      <c r="G305" s="22" t="s">
        <v>1</v>
      </c>
      <c r="H305" s="22">
        <v>374</v>
      </c>
      <c r="I305" s="22">
        <v>1</v>
      </c>
      <c r="J305" s="22">
        <v>1</v>
      </c>
      <c r="K305" s="123" t="s">
        <v>4490</v>
      </c>
      <c r="L305" s="22">
        <v>-1</v>
      </c>
      <c r="M305" s="22">
        <v>1</v>
      </c>
      <c r="N305" s="125">
        <v>0</v>
      </c>
      <c r="O305" s="22">
        <v>0</v>
      </c>
      <c r="P305" s="22">
        <v>0</v>
      </c>
      <c r="Q305" s="22" t="s">
        <v>29</v>
      </c>
      <c r="R305" s="22" t="s">
        <v>53</v>
      </c>
      <c r="S305" s="134"/>
      <c r="T305" s="22">
        <v>0</v>
      </c>
      <c r="U305" s="22">
        <v>0</v>
      </c>
      <c r="V305" s="22">
        <v>0</v>
      </c>
      <c r="W305" s="23"/>
      <c r="X305" s="23"/>
      <c r="Y305" s="23"/>
    </row>
    <row r="306" spans="1:25" ht="13.2">
      <c r="A306" s="188">
        <v>1</v>
      </c>
      <c r="B306" s="22" t="s">
        <v>4491</v>
      </c>
      <c r="C306" s="22">
        <v>307</v>
      </c>
      <c r="D306" s="22">
        <v>9</v>
      </c>
      <c r="E306" s="222">
        <v>43680</v>
      </c>
      <c r="F306" s="121" t="str">
        <f>HYPERLINK("https://internasional.republika.co.id/berita/internasional/asia/po1vcy382/suara-hari-perempuan-internasional-di-berbagai-belahan-dunia ","sumber")</f>
        <v>sumber</v>
      </c>
      <c r="G306" s="22" t="s">
        <v>1</v>
      </c>
      <c r="H306" s="22">
        <v>757</v>
      </c>
      <c r="I306" s="22">
        <v>3</v>
      </c>
      <c r="J306" s="22">
        <v>1</v>
      </c>
      <c r="K306" s="123" t="s">
        <v>4492</v>
      </c>
      <c r="L306" s="22">
        <v>0</v>
      </c>
      <c r="M306" s="22">
        <v>0</v>
      </c>
      <c r="N306" s="125">
        <v>0</v>
      </c>
      <c r="O306" s="22">
        <v>0</v>
      </c>
      <c r="P306" s="22">
        <v>0</v>
      </c>
      <c r="Q306" s="22" t="s">
        <v>29</v>
      </c>
      <c r="R306" s="22" t="s">
        <v>160</v>
      </c>
      <c r="S306" s="134"/>
      <c r="T306" s="22">
        <v>0</v>
      </c>
      <c r="U306" s="22">
        <v>0</v>
      </c>
      <c r="V306" s="22">
        <v>1</v>
      </c>
      <c r="W306" s="23"/>
      <c r="X306" s="23"/>
      <c r="Y306" s="23"/>
    </row>
    <row r="307" spans="1:25" ht="13.2">
      <c r="A307" s="209">
        <v>1</v>
      </c>
      <c r="B307" s="132" t="s">
        <v>4493</v>
      </c>
      <c r="C307" s="33">
        <v>308</v>
      </c>
      <c r="D307" s="33">
        <v>7</v>
      </c>
      <c r="E307" s="288">
        <v>43772</v>
      </c>
      <c r="F307" s="130" t="str">
        <f>HYPERLINK("http://www.tribunnews.com/regional/2019/03/11/begal-payudara-dua-orang-gadis-pria-beristri-diamuk-massa ","sumber")</f>
        <v>sumber</v>
      </c>
      <c r="G307" s="33" t="s">
        <v>1</v>
      </c>
      <c r="H307" s="33">
        <v>105</v>
      </c>
      <c r="I307" s="33">
        <v>1</v>
      </c>
      <c r="J307" s="33">
        <v>1</v>
      </c>
      <c r="K307" s="131" t="s">
        <v>4494</v>
      </c>
      <c r="L307" s="33">
        <v>0</v>
      </c>
      <c r="M307" s="33">
        <v>-1</v>
      </c>
      <c r="N307" s="132">
        <v>0</v>
      </c>
      <c r="O307" s="33">
        <v>0</v>
      </c>
      <c r="P307" s="33">
        <v>0</v>
      </c>
      <c r="Q307" s="33" t="s">
        <v>29</v>
      </c>
      <c r="R307" s="33" t="s">
        <v>160</v>
      </c>
      <c r="S307" s="133"/>
      <c r="T307" s="33">
        <v>0</v>
      </c>
      <c r="U307" s="33">
        <v>0</v>
      </c>
      <c r="V307" s="33">
        <v>1</v>
      </c>
      <c r="W307" s="24"/>
      <c r="X307" s="24"/>
      <c r="Y307" s="24"/>
    </row>
    <row r="308" spans="1:25" ht="13.2">
      <c r="A308" s="188">
        <v>1</v>
      </c>
      <c r="B308" s="22" t="s">
        <v>4495</v>
      </c>
      <c r="C308" s="22">
        <v>309</v>
      </c>
      <c r="D308" s="22">
        <v>7</v>
      </c>
      <c r="E308" s="22" t="s">
        <v>127</v>
      </c>
      <c r="F308" s="121" t="str">
        <f>HYPERLINK("http://www.tribunnews.com/regional/2019/03/26/tawarkan-layanan-kencan-bertarif-rp-22-juta-lewat-whatsapp-mucikari-di-tegal-tertangkap ","sumber")</f>
        <v>sumber</v>
      </c>
      <c r="G308" s="22" t="s">
        <v>1</v>
      </c>
      <c r="H308" s="22">
        <v>293</v>
      </c>
      <c r="I308" s="22">
        <v>1</v>
      </c>
      <c r="J308" s="22">
        <v>1</v>
      </c>
      <c r="K308" s="123" t="s">
        <v>4496</v>
      </c>
      <c r="L308" s="22">
        <v>0</v>
      </c>
      <c r="M308" s="22">
        <v>-1</v>
      </c>
      <c r="N308" s="125">
        <v>0</v>
      </c>
      <c r="O308" s="22">
        <v>0</v>
      </c>
      <c r="P308" s="22">
        <v>0</v>
      </c>
      <c r="Q308" s="22">
        <v>0</v>
      </c>
      <c r="R308" s="22">
        <v>0</v>
      </c>
      <c r="S308" s="134"/>
      <c r="T308" s="22">
        <v>0</v>
      </c>
      <c r="U308" s="22">
        <v>0</v>
      </c>
      <c r="V308" s="22">
        <v>0</v>
      </c>
      <c r="W308" s="23"/>
      <c r="X308" s="23"/>
      <c r="Y308" s="23"/>
    </row>
    <row r="309" spans="1:25" ht="13.2">
      <c r="A309" s="188">
        <v>1</v>
      </c>
      <c r="B309" s="22" t="s">
        <v>4497</v>
      </c>
      <c r="C309" s="22">
        <v>310</v>
      </c>
      <c r="D309" s="22">
        <v>2</v>
      </c>
      <c r="E309" s="22" t="s">
        <v>504</v>
      </c>
      <c r="F309" s="121" t="str">
        <f>HYPERLINK("https://www.cnnindonesia.com/nasional/20190329181123-12-381853/pengacara-vanessa-angel-ajukan-praperadilan ","sumber")</f>
        <v>sumber</v>
      </c>
      <c r="G309" s="22" t="s">
        <v>1</v>
      </c>
      <c r="H309" s="22">
        <v>337</v>
      </c>
      <c r="I309" s="22">
        <v>1</v>
      </c>
      <c r="J309" s="22">
        <v>1</v>
      </c>
      <c r="K309" s="123" t="s">
        <v>4498</v>
      </c>
      <c r="L309" s="22">
        <v>0</v>
      </c>
      <c r="M309" s="22">
        <v>-1</v>
      </c>
      <c r="N309" s="125">
        <v>0</v>
      </c>
      <c r="O309" s="22">
        <v>0</v>
      </c>
      <c r="P309" s="22">
        <v>0</v>
      </c>
      <c r="Q309" s="22" t="s">
        <v>29</v>
      </c>
      <c r="R309" s="22" t="s">
        <v>68</v>
      </c>
      <c r="S309" s="134"/>
      <c r="T309" s="22">
        <v>0</v>
      </c>
      <c r="U309" s="22">
        <v>0</v>
      </c>
      <c r="V309" s="22">
        <v>1</v>
      </c>
      <c r="W309" s="23"/>
      <c r="X309" s="23"/>
      <c r="Y309" s="23"/>
    </row>
    <row r="310" spans="1:25" ht="13.2">
      <c r="A310" s="209">
        <v>1</v>
      </c>
      <c r="B310" s="132" t="s">
        <v>4499</v>
      </c>
      <c r="C310" s="33">
        <v>311</v>
      </c>
      <c r="D310" s="33">
        <v>10</v>
      </c>
      <c r="E310" s="288">
        <v>43527</v>
      </c>
      <c r="F310" s="130" t="str">
        <f>HYPERLINK("https://dunia.tempo.co/read/1181402/6-negara-ini-dapat-nilai-sempurna-untuk-hak-perempuan-indonesia ","sumber")</f>
        <v>sumber</v>
      </c>
      <c r="G310" s="33" t="s">
        <v>1</v>
      </c>
      <c r="H310" s="33">
        <v>389</v>
      </c>
      <c r="I310" s="33">
        <v>5</v>
      </c>
      <c r="J310" s="33">
        <v>1</v>
      </c>
      <c r="K310" s="131"/>
      <c r="L310" s="33">
        <v>-1</v>
      </c>
      <c r="M310" s="33">
        <v>0</v>
      </c>
      <c r="N310" s="132">
        <v>0</v>
      </c>
      <c r="O310" s="33">
        <v>0</v>
      </c>
      <c r="P310" s="33">
        <v>0</v>
      </c>
      <c r="Q310" s="33"/>
      <c r="R310" s="33"/>
      <c r="S310" s="133"/>
      <c r="T310" s="33">
        <v>0</v>
      </c>
      <c r="U310" s="33">
        <v>0</v>
      </c>
      <c r="V310" s="33">
        <v>1</v>
      </c>
      <c r="W310" s="24"/>
      <c r="X310" s="24"/>
      <c r="Y310" s="24"/>
    </row>
    <row r="311" spans="1:25" ht="13.2">
      <c r="A311" s="21">
        <v>2</v>
      </c>
      <c r="B311" s="25" t="s">
        <v>4500</v>
      </c>
      <c r="C311" s="25">
        <v>312</v>
      </c>
      <c r="D311" s="25">
        <v>8</v>
      </c>
      <c r="E311" s="234">
        <v>43500</v>
      </c>
      <c r="F311" s="115" t="str">
        <f>HYPERLINK("https://www.suara.com/entertainment/2019/04/02/180604/dipindah-ke-rutan-medaeng-kondisi-vanessa-angel-drop ","sumber")</f>
        <v>sumber</v>
      </c>
      <c r="G311" s="25" t="s">
        <v>1</v>
      </c>
      <c r="H311" s="25">
        <v>137</v>
      </c>
      <c r="I311" s="26"/>
      <c r="J311" s="26"/>
      <c r="K311" s="124"/>
      <c r="L311" s="26"/>
      <c r="M311" s="26"/>
      <c r="N311" s="26"/>
      <c r="O311" s="26"/>
      <c r="P311" s="26"/>
      <c r="Q311" s="26"/>
      <c r="R311" s="26"/>
      <c r="S311" s="124"/>
      <c r="T311" s="26"/>
      <c r="U311" s="26"/>
      <c r="V311" s="26"/>
      <c r="W311" s="26"/>
      <c r="X311" s="26"/>
      <c r="Y311" s="26"/>
    </row>
    <row r="312" spans="1:25" ht="13.2">
      <c r="A312" s="188">
        <v>1</v>
      </c>
      <c r="B312" s="22" t="s">
        <v>4501</v>
      </c>
      <c r="C312" s="22">
        <v>313</v>
      </c>
      <c r="D312" s="22">
        <v>5</v>
      </c>
      <c r="E312" s="222">
        <v>43500</v>
      </c>
      <c r="F312" s="121" t="str">
        <f>HYPERLINK("https://tirto.id/dewas-bpjs-tk-tak-hadir-sidang-gugatan-korban-pelecehan-seksual-dkUF ","sumber")</f>
        <v>sumber</v>
      </c>
      <c r="G312" s="22" t="s">
        <v>1</v>
      </c>
      <c r="H312" s="22">
        <v>359</v>
      </c>
      <c r="I312" s="22">
        <v>1</v>
      </c>
      <c r="J312" s="22">
        <v>1</v>
      </c>
      <c r="K312" s="123" t="s">
        <v>4502</v>
      </c>
      <c r="L312" s="22">
        <v>0</v>
      </c>
      <c r="M312" s="22">
        <v>-1</v>
      </c>
      <c r="N312" s="22">
        <v>-1</v>
      </c>
      <c r="O312" s="22">
        <v>0</v>
      </c>
      <c r="P312" s="22">
        <v>0</v>
      </c>
      <c r="Q312" s="22">
        <v>0</v>
      </c>
      <c r="R312" s="22">
        <v>1</v>
      </c>
      <c r="S312" s="134"/>
      <c r="T312" s="22">
        <v>0</v>
      </c>
      <c r="U312" s="22">
        <v>0</v>
      </c>
      <c r="V312" s="22">
        <v>0</v>
      </c>
      <c r="W312" s="23"/>
      <c r="X312" s="23"/>
      <c r="Y312" s="23"/>
    </row>
    <row r="313" spans="1:25" ht="13.2">
      <c r="A313" s="188">
        <v>1</v>
      </c>
      <c r="B313" s="22" t="s">
        <v>145</v>
      </c>
      <c r="C313" s="22">
        <v>314</v>
      </c>
      <c r="D313" s="22">
        <v>3</v>
      </c>
      <c r="E313" s="222">
        <v>43528</v>
      </c>
      <c r="F313" s="121" t="str">
        <f>HYPERLINK("https://celebrity.okezone.com/read/2019/04/03/33/2038760/setelah-dada-diremas-cupi-cupita-alami-insiden-baju-melorot-di-atas-panggung ","sumber")</f>
        <v>sumber</v>
      </c>
      <c r="G313" s="22" t="s">
        <v>1</v>
      </c>
      <c r="H313" s="22">
        <v>362</v>
      </c>
      <c r="I313" s="22">
        <v>1</v>
      </c>
      <c r="J313" s="22">
        <v>1</v>
      </c>
      <c r="K313" s="123" t="s">
        <v>4503</v>
      </c>
      <c r="L313" s="22">
        <v>-1</v>
      </c>
      <c r="M313" s="22">
        <v>1</v>
      </c>
      <c r="N313" s="125">
        <v>0</v>
      </c>
      <c r="O313" s="22">
        <v>-1</v>
      </c>
      <c r="P313" s="22">
        <v>-1</v>
      </c>
      <c r="Q313" s="22" t="s">
        <v>87</v>
      </c>
      <c r="R313" s="22" t="s">
        <v>141</v>
      </c>
      <c r="S313" s="134"/>
      <c r="T313" s="22">
        <v>0</v>
      </c>
      <c r="U313" s="22">
        <v>0</v>
      </c>
      <c r="V313" s="22">
        <v>0</v>
      </c>
      <c r="W313" s="23"/>
      <c r="X313" s="23"/>
      <c r="Y313" s="23"/>
    </row>
    <row r="314" spans="1:25" ht="13.2">
      <c r="A314" s="188">
        <v>1</v>
      </c>
      <c r="B314" s="22" t="s">
        <v>4504</v>
      </c>
      <c r="C314" s="22">
        <v>315</v>
      </c>
      <c r="D314" s="22">
        <v>1</v>
      </c>
      <c r="E314" s="222">
        <v>43589</v>
      </c>
      <c r="F314" s="121" t="str">
        <f>HYPERLINK("https://news.detik.com/berita-jawa-timur/d-4498363/klaim-kabupaten-layak-anak-3-bulan-5-anak-diperkosa-di-bondowoso ","sumber")</f>
        <v>sumber</v>
      </c>
      <c r="G314" s="22" t="s">
        <v>1</v>
      </c>
      <c r="H314" s="22">
        <v>255</v>
      </c>
      <c r="I314" s="22">
        <v>4</v>
      </c>
      <c r="J314" s="22">
        <v>1</v>
      </c>
      <c r="K314" s="123" t="s">
        <v>4505</v>
      </c>
      <c r="L314" s="22">
        <v>0</v>
      </c>
      <c r="M314" s="22">
        <v>0</v>
      </c>
      <c r="N314" s="125">
        <v>0</v>
      </c>
      <c r="O314" s="22">
        <v>0</v>
      </c>
      <c r="P314" s="22">
        <v>0</v>
      </c>
      <c r="Q314" s="22">
        <v>1</v>
      </c>
      <c r="R314" s="22">
        <v>1</v>
      </c>
      <c r="S314" s="134"/>
      <c r="T314" s="22">
        <v>0</v>
      </c>
      <c r="U314" s="22">
        <v>0</v>
      </c>
      <c r="V314" s="22">
        <v>1</v>
      </c>
      <c r="W314" s="23"/>
      <c r="X314" s="23"/>
      <c r="Y314" s="23"/>
    </row>
    <row r="315" spans="1:25" ht="13.2">
      <c r="A315" s="21">
        <v>2</v>
      </c>
      <c r="B315" s="25" t="s">
        <v>4506</v>
      </c>
      <c r="C315" s="25">
        <v>316</v>
      </c>
      <c r="D315" s="25">
        <v>2</v>
      </c>
      <c r="E315" s="26"/>
      <c r="F315" s="115" t="str">
        <f>HYPERLINK("https://www.cnnindonesia.com/nasional/20190406171058-32-383938/gus-irfan-soal-bendera-sandi-pbnu-gunakan-nu-itu-lebih-parah ","sumber")</f>
        <v>sumber</v>
      </c>
      <c r="G315" s="25" t="s">
        <v>1</v>
      </c>
      <c r="H315" s="25">
        <v>505</v>
      </c>
      <c r="I315" s="26"/>
      <c r="J315" s="26"/>
      <c r="K315" s="124"/>
      <c r="L315" s="26"/>
      <c r="M315" s="26"/>
      <c r="N315" s="26"/>
      <c r="O315" s="26"/>
      <c r="P315" s="26"/>
      <c r="Q315" s="26"/>
      <c r="R315" s="26"/>
      <c r="S315" s="124"/>
      <c r="T315" s="26"/>
      <c r="U315" s="26"/>
      <c r="V315" s="26"/>
      <c r="W315" s="26"/>
      <c r="X315" s="26"/>
      <c r="Y315" s="26"/>
    </row>
    <row r="316" spans="1:25" ht="13.2">
      <c r="A316" s="209">
        <v>1</v>
      </c>
      <c r="B316" s="132" t="s">
        <v>4507</v>
      </c>
      <c r="C316" s="33">
        <v>317</v>
      </c>
      <c r="D316" s="33">
        <v>3</v>
      </c>
      <c r="E316" s="33" t="s">
        <v>734</v>
      </c>
      <c r="F316" s="130" t="str">
        <f>HYPERLINK("https://news.okezone.com/read/2019/04/12/338/2042797/negara-harus-jamin-keamanan-bagi-perempuan-dari-kejahatan-jalanan ","sumber")</f>
        <v>sumber</v>
      </c>
      <c r="G316" s="33" t="s">
        <v>1</v>
      </c>
      <c r="H316" s="33">
        <v>276</v>
      </c>
      <c r="I316" s="33">
        <v>4</v>
      </c>
      <c r="J316" s="33">
        <v>1</v>
      </c>
      <c r="K316" s="131" t="s">
        <v>4508</v>
      </c>
      <c r="L316" s="33">
        <v>0</v>
      </c>
      <c r="M316" s="33">
        <v>0</v>
      </c>
      <c r="N316" s="132">
        <v>0</v>
      </c>
      <c r="O316" s="33">
        <v>0</v>
      </c>
      <c r="P316" s="33">
        <v>0</v>
      </c>
      <c r="Q316" s="33">
        <v>1</v>
      </c>
      <c r="R316" s="33">
        <v>1</v>
      </c>
      <c r="S316" s="133"/>
      <c r="T316" s="33">
        <v>0</v>
      </c>
      <c r="U316" s="33">
        <v>0</v>
      </c>
      <c r="V316" s="33">
        <v>1</v>
      </c>
      <c r="W316" s="24"/>
      <c r="X316" s="24"/>
      <c r="Y316" s="24"/>
    </row>
    <row r="317" spans="1:25" ht="13.2">
      <c r="A317" s="188">
        <v>1</v>
      </c>
      <c r="B317" s="22" t="s">
        <v>4509</v>
      </c>
      <c r="C317" s="22">
        <v>318</v>
      </c>
      <c r="D317" s="22">
        <v>8</v>
      </c>
      <c r="E317" s="222">
        <v>43620</v>
      </c>
      <c r="F317" s="121" t="str">
        <f>HYPERLINK("https://www.suara.com/news/2019/04/06/052225/kampanye-di-gunungkidul-sandiaga-bahas-soal-masalah-kesehatan-jiwa ","sumber")</f>
        <v>sumber</v>
      </c>
      <c r="G317" s="22" t="s">
        <v>1</v>
      </c>
      <c r="H317" s="22">
        <v>269</v>
      </c>
      <c r="I317" s="22">
        <v>4</v>
      </c>
      <c r="J317" s="22">
        <v>2</v>
      </c>
      <c r="K317" s="123" t="s">
        <v>4510</v>
      </c>
      <c r="L317" s="22">
        <v>0</v>
      </c>
      <c r="M317" s="22">
        <v>0</v>
      </c>
      <c r="N317" s="125">
        <v>0</v>
      </c>
      <c r="O317" s="22">
        <v>0</v>
      </c>
      <c r="P317" s="22">
        <v>0</v>
      </c>
      <c r="Q317" s="22">
        <v>0</v>
      </c>
      <c r="R317" s="22">
        <v>1</v>
      </c>
      <c r="S317" s="134"/>
      <c r="T317" s="22">
        <v>0</v>
      </c>
      <c r="U317" s="22">
        <v>0</v>
      </c>
      <c r="V317" s="22">
        <v>1</v>
      </c>
      <c r="W317" s="23"/>
      <c r="X317" s="23"/>
      <c r="Y317" s="23"/>
    </row>
    <row r="318" spans="1:25" ht="13.2">
      <c r="A318" s="209">
        <v>1</v>
      </c>
      <c r="B318" s="132" t="s">
        <v>4511</v>
      </c>
      <c r="C318" s="33">
        <v>319</v>
      </c>
      <c r="D318" s="33">
        <v>10</v>
      </c>
      <c r="E318" s="33" t="s">
        <v>2937</v>
      </c>
      <c r="F318" s="130" t="str">
        <f>HYPERLINK("https://bisnis.tempo.co/read/1199797/lima-pelecehan-seksual-yang-terjadi-di-transportasi-publik ","sumber")</f>
        <v>sumber</v>
      </c>
      <c r="G318" s="33" t="s">
        <v>1</v>
      </c>
      <c r="H318" s="33"/>
      <c r="I318" s="33">
        <v>5</v>
      </c>
      <c r="J318" s="33">
        <v>1</v>
      </c>
      <c r="K318" s="131" t="s">
        <v>4512</v>
      </c>
      <c r="L318" s="33">
        <v>0</v>
      </c>
      <c r="M318" s="33">
        <v>0</v>
      </c>
      <c r="N318" s="132">
        <v>0</v>
      </c>
      <c r="O318" s="33">
        <v>0</v>
      </c>
      <c r="P318" s="33">
        <v>0</v>
      </c>
      <c r="Q318" s="33" t="s">
        <v>4513</v>
      </c>
      <c r="R318" s="33" t="s">
        <v>664</v>
      </c>
      <c r="S318" s="133"/>
      <c r="T318" s="33">
        <v>0</v>
      </c>
      <c r="U318" s="33">
        <v>0</v>
      </c>
      <c r="V318" s="33">
        <v>1</v>
      </c>
      <c r="W318" s="24"/>
      <c r="X318" s="24"/>
      <c r="Y318" s="24"/>
    </row>
    <row r="319" spans="1:25" ht="13.2">
      <c r="A319" s="188">
        <v>1</v>
      </c>
      <c r="B319" s="22" t="s">
        <v>4514</v>
      </c>
      <c r="C319" s="22">
        <v>320</v>
      </c>
      <c r="D319" s="22">
        <v>2</v>
      </c>
      <c r="E319" s="22" t="s">
        <v>516</v>
      </c>
      <c r="F319" s="121" t="str">
        <f>HYPERLINK("https://www.cnnindonesia.com/hiburan/20190412182311-220-385831/hbo-bantah-tarik-film-dokumenter-leaving-neverland ","sumber")</f>
        <v>sumber</v>
      </c>
      <c r="G319" s="22" t="s">
        <v>1</v>
      </c>
      <c r="H319" s="22">
        <v>329</v>
      </c>
      <c r="I319" s="22">
        <v>4</v>
      </c>
      <c r="J319" s="22">
        <v>1</v>
      </c>
      <c r="K319" s="123" t="s">
        <v>4515</v>
      </c>
      <c r="L319" s="22">
        <v>-1</v>
      </c>
      <c r="M319" s="22">
        <v>0</v>
      </c>
      <c r="N319" s="125">
        <v>0</v>
      </c>
      <c r="O319" s="22">
        <v>0</v>
      </c>
      <c r="P319" s="22">
        <v>0</v>
      </c>
      <c r="Q319" s="22">
        <v>0</v>
      </c>
      <c r="R319" s="22">
        <v>0</v>
      </c>
      <c r="S319" s="134"/>
      <c r="T319" s="22">
        <v>0</v>
      </c>
      <c r="U319" s="22">
        <v>0</v>
      </c>
      <c r="V319" s="22">
        <v>1</v>
      </c>
      <c r="W319" s="23"/>
      <c r="X319" s="23"/>
      <c r="Y319" s="23"/>
    </row>
    <row r="320" spans="1:25" ht="13.2">
      <c r="A320" s="188">
        <v>1</v>
      </c>
      <c r="B320" s="22" t="s">
        <v>4516</v>
      </c>
      <c r="C320" s="22">
        <v>321</v>
      </c>
      <c r="D320" s="22">
        <v>5</v>
      </c>
      <c r="E320" s="22" t="s">
        <v>516</v>
      </c>
      <c r="F320" s="121" t="str">
        <f>HYPERLINK("https://tirto.id/katie-bouman-lubang-hitam-dunia-sains-bukanlah-dunia-laki-laki-dlYJ ","sumber")</f>
        <v>sumber</v>
      </c>
      <c r="G320" s="22" t="s">
        <v>1</v>
      </c>
      <c r="H320" s="22">
        <v>1425</v>
      </c>
      <c r="I320" s="22">
        <v>2</v>
      </c>
      <c r="J320" s="22">
        <v>1</v>
      </c>
      <c r="K320" s="123" t="s">
        <v>4517</v>
      </c>
      <c r="L320" s="22">
        <v>0</v>
      </c>
      <c r="M320" s="22">
        <v>0</v>
      </c>
      <c r="N320" s="125">
        <v>0</v>
      </c>
      <c r="O320" s="22">
        <v>0</v>
      </c>
      <c r="P320" s="22">
        <v>0</v>
      </c>
      <c r="Q320" s="22" t="s">
        <v>29</v>
      </c>
      <c r="R320" s="22" t="s">
        <v>160</v>
      </c>
      <c r="S320" s="134"/>
      <c r="T320" s="22">
        <v>0</v>
      </c>
      <c r="U320" s="22">
        <v>0</v>
      </c>
      <c r="V320" s="22">
        <v>1</v>
      </c>
      <c r="W320" s="23"/>
      <c r="X320" s="23"/>
      <c r="Y320" s="23"/>
    </row>
    <row r="321" spans="1:25" ht="13.2">
      <c r="A321" s="188">
        <v>1</v>
      </c>
      <c r="B321" s="22" t="s">
        <v>4518</v>
      </c>
      <c r="C321" s="22">
        <v>322</v>
      </c>
      <c r="D321" s="22">
        <v>7</v>
      </c>
      <c r="E321" s="22" t="s">
        <v>516</v>
      </c>
      <c r="F321" s="121" t="str">
        <f>HYPERLINK("http://www.tribunnews.com/seleb/2019/04/14/terungkap-di-balik-keceriaan-dan-senyum-vanessa-angel-di-rutan-medaeng-bathinnya-tertekan ","sumber")</f>
        <v>sumber</v>
      </c>
      <c r="G321" s="22" t="s">
        <v>1</v>
      </c>
      <c r="H321" s="22">
        <v>223</v>
      </c>
      <c r="I321" s="22">
        <v>2</v>
      </c>
      <c r="J321" s="22">
        <v>1</v>
      </c>
      <c r="K321" s="123" t="s">
        <v>4519</v>
      </c>
      <c r="L321" s="22">
        <v>0</v>
      </c>
      <c r="M321" s="22">
        <v>0</v>
      </c>
      <c r="N321" s="125">
        <v>0</v>
      </c>
      <c r="O321" s="22">
        <v>0</v>
      </c>
      <c r="P321" s="22">
        <v>0</v>
      </c>
      <c r="Q321" s="22" t="s">
        <v>21</v>
      </c>
      <c r="R321" s="22" t="s">
        <v>1046</v>
      </c>
      <c r="S321" s="134"/>
      <c r="T321" s="22">
        <v>0</v>
      </c>
      <c r="U321" s="22">
        <v>0</v>
      </c>
      <c r="V321" s="22">
        <v>1</v>
      </c>
      <c r="W321" s="23"/>
      <c r="X321" s="23"/>
      <c r="Y321" s="23"/>
    </row>
    <row r="322" spans="1:25" ht="13.2">
      <c r="A322" s="188">
        <v>1</v>
      </c>
      <c r="B322" s="22" t="s">
        <v>4520</v>
      </c>
      <c r="C322" s="22">
        <v>323</v>
      </c>
      <c r="D322" s="22">
        <v>10</v>
      </c>
      <c r="E322" s="22" t="s">
        <v>157</v>
      </c>
      <c r="F322" s="121" t="str">
        <f>HYPERLINK("https://bisnis.tempo.co/read/1198088/antisipasi-kejahatan-driver-wanita-gojek-diajari-bela-diri ","sumber")</f>
        <v>sumber</v>
      </c>
      <c r="G322" s="22" t="s">
        <v>1</v>
      </c>
      <c r="H322" s="22">
        <v>244</v>
      </c>
      <c r="I322" s="22">
        <v>4</v>
      </c>
      <c r="J322" s="22">
        <v>1</v>
      </c>
      <c r="K322" s="123" t="s">
        <v>4521</v>
      </c>
      <c r="L322" s="22">
        <v>0</v>
      </c>
      <c r="M322" s="22">
        <v>0</v>
      </c>
      <c r="N322" s="125">
        <v>0</v>
      </c>
      <c r="O322" s="22">
        <v>0</v>
      </c>
      <c r="P322" s="22">
        <v>0</v>
      </c>
      <c r="Q322" s="22" t="s">
        <v>29</v>
      </c>
      <c r="R322" s="22" t="s">
        <v>160</v>
      </c>
      <c r="S322" s="134"/>
      <c r="T322" s="22">
        <v>0</v>
      </c>
      <c r="U322" s="22">
        <v>0</v>
      </c>
      <c r="V322" s="22">
        <v>1</v>
      </c>
      <c r="W322" s="23"/>
      <c r="X322" s="23"/>
      <c r="Y322" s="23"/>
    </row>
    <row r="323" spans="1:25" ht="13.2">
      <c r="A323" s="188">
        <v>1</v>
      </c>
      <c r="B323" s="22" t="s">
        <v>4522</v>
      </c>
      <c r="C323" s="22">
        <v>324</v>
      </c>
      <c r="D323" s="22">
        <v>8</v>
      </c>
      <c r="E323" s="22" t="s">
        <v>165</v>
      </c>
      <c r="F323" s="121" t="str">
        <f>HYPERLINK("https://www.suara.com/entertainment/2019/04/24/180036/usai-skandal-seksual-park-yoochun-terbukti-konsumsi-narkoba ","sumber")</f>
        <v>sumber</v>
      </c>
      <c r="G323" s="22" t="s">
        <v>1</v>
      </c>
      <c r="H323" s="22">
        <v>188</v>
      </c>
      <c r="I323" s="22">
        <v>1</v>
      </c>
      <c r="J323" s="22">
        <v>1</v>
      </c>
      <c r="K323" s="123"/>
      <c r="L323" s="22">
        <v>-1</v>
      </c>
      <c r="M323" s="22">
        <v>0</v>
      </c>
      <c r="N323" s="125">
        <v>0</v>
      </c>
      <c r="O323" s="22">
        <v>0</v>
      </c>
      <c r="P323" s="22">
        <v>0</v>
      </c>
      <c r="Q323" s="22"/>
      <c r="R323" s="22"/>
      <c r="S323" s="134"/>
      <c r="T323" s="22">
        <v>0</v>
      </c>
      <c r="U323" s="22">
        <v>0</v>
      </c>
      <c r="V323" s="22">
        <v>0</v>
      </c>
      <c r="W323" s="23"/>
      <c r="X323" s="23"/>
      <c r="Y323" s="23"/>
    </row>
    <row r="324" spans="1:25" ht="13.2">
      <c r="A324" s="209">
        <v>1</v>
      </c>
      <c r="B324" s="132" t="s">
        <v>4523</v>
      </c>
      <c r="C324" s="33">
        <v>325</v>
      </c>
      <c r="D324" s="33">
        <v>8</v>
      </c>
      <c r="E324" s="33" t="s">
        <v>521</v>
      </c>
      <c r="F324" s="130" t="str">
        <f>HYPERLINK("https://www.suara.com/health/2019/04/25/145800/budaya-victim-blaming-sederet-kasus-pelecehan-seksual-yang-salahkan-korban ","sumber")</f>
        <v>sumber</v>
      </c>
      <c r="G324" s="33" t="s">
        <v>1</v>
      </c>
      <c r="H324" s="33">
        <v>534</v>
      </c>
      <c r="I324" s="33">
        <v>5</v>
      </c>
      <c r="J324" s="33">
        <v>1</v>
      </c>
      <c r="K324" s="131" t="s">
        <v>4524</v>
      </c>
      <c r="L324" s="33">
        <v>0</v>
      </c>
      <c r="M324" s="33">
        <v>0</v>
      </c>
      <c r="N324" s="132">
        <v>0</v>
      </c>
      <c r="O324" s="33">
        <v>0</v>
      </c>
      <c r="P324" s="33">
        <v>0</v>
      </c>
      <c r="Q324" s="33" t="s">
        <v>4525</v>
      </c>
      <c r="R324" s="33" t="s">
        <v>4526</v>
      </c>
      <c r="S324" s="133"/>
      <c r="T324" s="33">
        <v>0</v>
      </c>
      <c r="U324" s="33">
        <v>0</v>
      </c>
      <c r="V324" s="33">
        <v>1</v>
      </c>
      <c r="W324" s="24"/>
      <c r="X324" s="24"/>
      <c r="Y324" s="24"/>
    </row>
    <row r="325" spans="1:25" ht="13.2">
      <c r="A325" s="188">
        <v>1</v>
      </c>
      <c r="B325" s="22" t="s">
        <v>4527</v>
      </c>
      <c r="C325" s="22">
        <v>326</v>
      </c>
      <c r="D325" s="22">
        <v>5</v>
      </c>
      <c r="E325" s="22" t="s">
        <v>2937</v>
      </c>
      <c r="F325" s="121" t="str">
        <f>HYPERLINK("https://tirto.id/keuskupan-new-york-rilis-120-nama-pastor-terkait-kekerasan-seksual-dndV ","sumber")</f>
        <v>sumber</v>
      </c>
      <c r="G325" s="22" t="s">
        <v>1</v>
      </c>
      <c r="H325" s="22">
        <v>447</v>
      </c>
      <c r="I325" s="22">
        <v>4</v>
      </c>
      <c r="J325" s="22">
        <v>1</v>
      </c>
      <c r="K325" s="123" t="s">
        <v>4528</v>
      </c>
      <c r="L325" s="22">
        <v>0</v>
      </c>
      <c r="M325" s="22">
        <v>0</v>
      </c>
      <c r="N325" s="125">
        <v>0</v>
      </c>
      <c r="O325" s="22">
        <v>0</v>
      </c>
      <c r="P325" s="22">
        <v>0</v>
      </c>
      <c r="Q325" s="22" t="s">
        <v>106</v>
      </c>
      <c r="R325" s="22" t="s">
        <v>360</v>
      </c>
      <c r="S325" s="134"/>
      <c r="T325" s="22">
        <v>0</v>
      </c>
      <c r="U325" s="22">
        <v>0</v>
      </c>
      <c r="V325" s="22">
        <v>1</v>
      </c>
      <c r="W325" s="23"/>
      <c r="X325" s="23"/>
      <c r="Y325" s="23"/>
    </row>
    <row r="326" spans="1:25" ht="13.2">
      <c r="A326" s="188">
        <v>1</v>
      </c>
      <c r="B326" s="22" t="s">
        <v>1643</v>
      </c>
      <c r="C326" s="22">
        <v>327</v>
      </c>
      <c r="D326" s="22">
        <v>1</v>
      </c>
      <c r="E326" s="22" t="s">
        <v>2018</v>
      </c>
      <c r="F326" s="121" t="str">
        <f>HYPERLINK("https://news.detik.com/berita/d-4528135/ruu-pks-tokoh-agama-yang-memperkosa-minimal-dipenjara-12-tahun ","sumber")</f>
        <v>sumber</v>
      </c>
      <c r="G326" s="22" t="s">
        <v>1</v>
      </c>
      <c r="H326" s="22">
        <v>441</v>
      </c>
      <c r="I326" s="22">
        <v>4</v>
      </c>
      <c r="J326" s="22">
        <v>1</v>
      </c>
      <c r="K326" s="123"/>
      <c r="L326" s="22">
        <v>-1</v>
      </c>
      <c r="M326" s="22">
        <v>0</v>
      </c>
      <c r="N326" s="125">
        <v>0</v>
      </c>
      <c r="O326" s="22">
        <v>0</v>
      </c>
      <c r="P326" s="22">
        <v>0</v>
      </c>
      <c r="Q326" s="22"/>
      <c r="R326" s="22"/>
      <c r="S326" s="134"/>
      <c r="T326" s="22">
        <v>0</v>
      </c>
      <c r="U326" s="22">
        <v>0</v>
      </c>
      <c r="V326" s="22">
        <v>1</v>
      </c>
      <c r="W326" s="23"/>
      <c r="X326" s="23"/>
      <c r="Y326" s="23"/>
    </row>
    <row r="327" spans="1:25" ht="13.2">
      <c r="A327" s="188">
        <v>1</v>
      </c>
      <c r="B327" s="22" t="s">
        <v>4529</v>
      </c>
      <c r="C327" s="22">
        <v>328</v>
      </c>
      <c r="D327" s="22">
        <v>7</v>
      </c>
      <c r="E327" s="22" t="s">
        <v>354</v>
      </c>
      <c r="F327" s="121" t="str">
        <f>HYPERLINK("http://www.tribunnews.com/regional/2019/04/29/psk-yang-diamankan-di-balikpapan-ternyata-masih-berusia-16-tahun-dan-berstatus-pelajar-sma ","sumber")</f>
        <v>sumber</v>
      </c>
      <c r="G327" s="22" t="s">
        <v>1</v>
      </c>
      <c r="H327" s="22">
        <v>198</v>
      </c>
      <c r="I327" s="22">
        <v>1</v>
      </c>
      <c r="J327" s="22">
        <v>1</v>
      </c>
      <c r="K327" s="123" t="s">
        <v>4530</v>
      </c>
      <c r="L327" s="22">
        <v>0</v>
      </c>
      <c r="M327" s="22">
        <v>-1</v>
      </c>
      <c r="N327" s="22">
        <v>-1</v>
      </c>
      <c r="O327" s="22">
        <v>0</v>
      </c>
      <c r="P327" s="22">
        <v>-1</v>
      </c>
      <c r="Q327" s="22">
        <v>0</v>
      </c>
      <c r="R327" s="22">
        <v>-1</v>
      </c>
      <c r="S327" s="134"/>
      <c r="T327" s="22">
        <v>0</v>
      </c>
      <c r="U327" s="22">
        <v>0</v>
      </c>
      <c r="V327" s="22">
        <v>0</v>
      </c>
      <c r="W327" s="23"/>
      <c r="X327" s="23"/>
      <c r="Y327" s="23"/>
    </row>
    <row r="328" spans="1:25" ht="13.2">
      <c r="A328" s="188">
        <v>1</v>
      </c>
      <c r="B328" s="22" t="s">
        <v>2551</v>
      </c>
      <c r="C328" s="22">
        <v>329</v>
      </c>
      <c r="D328" s="22">
        <v>8</v>
      </c>
      <c r="E328" s="222">
        <v>43529</v>
      </c>
      <c r="F328" s="121" t="str">
        <f>HYPERLINK("https://banten.suara.com/read/2019/05/03/181348/lewat-air-doa-bunga-ungkap-dosa-sang-guru-ngaji-cabul ","sumber")</f>
        <v>sumber</v>
      </c>
      <c r="G328" s="22" t="s">
        <v>1</v>
      </c>
      <c r="H328" s="22">
        <v>257</v>
      </c>
      <c r="I328" s="22">
        <v>1</v>
      </c>
      <c r="J328" s="22">
        <v>1</v>
      </c>
      <c r="K328" s="123" t="s">
        <v>4531</v>
      </c>
      <c r="L328" s="22">
        <v>0</v>
      </c>
      <c r="M328" s="22">
        <v>-1</v>
      </c>
      <c r="N328" s="125">
        <v>0</v>
      </c>
      <c r="O328" s="22">
        <v>0</v>
      </c>
      <c r="P328" s="22">
        <v>0</v>
      </c>
      <c r="Q328" s="22">
        <v>0</v>
      </c>
      <c r="R328" s="22">
        <v>1</v>
      </c>
      <c r="S328" s="134"/>
      <c r="T328" s="22">
        <v>0</v>
      </c>
      <c r="U328" s="22">
        <v>0</v>
      </c>
      <c r="V328" s="22">
        <v>1</v>
      </c>
      <c r="W328" s="23"/>
      <c r="X328" s="23"/>
      <c r="Y328" s="23"/>
    </row>
    <row r="329" spans="1:25" ht="13.2">
      <c r="A329" s="209">
        <v>1</v>
      </c>
      <c r="B329" s="132" t="s">
        <v>4532</v>
      </c>
      <c r="C329" s="33">
        <v>330</v>
      </c>
      <c r="D329" s="33">
        <v>4</v>
      </c>
      <c r="E329" s="288">
        <v>43774</v>
      </c>
      <c r="F329" s="130" t="str">
        <f>HYPERLINK("https://www.liputan6.com/bola/read/3963277/striker-persija-kapok-dua-kali-terlibat-kasus-dugaan-pelecehan ","sumber")</f>
        <v>sumber</v>
      </c>
      <c r="G329" s="33" t="s">
        <v>1</v>
      </c>
      <c r="H329" s="33">
        <v>308</v>
      </c>
      <c r="I329" s="33">
        <v>2</v>
      </c>
      <c r="J329" s="33">
        <v>1</v>
      </c>
      <c r="K329" s="131" t="s">
        <v>4533</v>
      </c>
      <c r="L329" s="33">
        <v>0</v>
      </c>
      <c r="M329" s="33">
        <v>0</v>
      </c>
      <c r="N329" s="132">
        <v>0</v>
      </c>
      <c r="O329" s="33">
        <v>0</v>
      </c>
      <c r="P329" s="33">
        <v>0</v>
      </c>
      <c r="Q329" s="33">
        <v>0</v>
      </c>
      <c r="R329" s="33">
        <v>1</v>
      </c>
      <c r="S329" s="133"/>
      <c r="T329" s="33">
        <v>0</v>
      </c>
      <c r="U329" s="33">
        <v>0</v>
      </c>
      <c r="V329" s="33">
        <v>1</v>
      </c>
      <c r="W329" s="24"/>
      <c r="X329" s="24"/>
      <c r="Y329" s="24"/>
    </row>
    <row r="330" spans="1:25" ht="13.2">
      <c r="A330" s="188">
        <v>1</v>
      </c>
      <c r="B330" s="22" t="s">
        <v>4534</v>
      </c>
      <c r="C330" s="22">
        <v>331</v>
      </c>
      <c r="D330" s="22">
        <v>4</v>
      </c>
      <c r="E330" s="222">
        <v>43621</v>
      </c>
      <c r="F330" s="121" t="str">
        <f>HYPERLINK("https://www.liputan6.com/global/read/3958091/brunei-tunda-penerapan-hukuman-rajam-sampai-mati-untuk-seks-gay ","sumber")</f>
        <v>sumber</v>
      </c>
      <c r="G330" s="22" t="s">
        <v>1</v>
      </c>
      <c r="H330" s="22">
        <v>442</v>
      </c>
      <c r="I330" s="22">
        <v>4</v>
      </c>
      <c r="J330" s="22">
        <v>2</v>
      </c>
      <c r="K330" s="123"/>
      <c r="L330" s="22">
        <v>-1</v>
      </c>
      <c r="M330" s="22">
        <v>0</v>
      </c>
      <c r="N330" s="125">
        <v>0</v>
      </c>
      <c r="O330" s="22">
        <v>0</v>
      </c>
      <c r="P330" s="22">
        <v>0</v>
      </c>
      <c r="Q330" s="22"/>
      <c r="R330" s="22"/>
      <c r="S330" s="134"/>
      <c r="T330" s="22">
        <v>0</v>
      </c>
      <c r="U330" s="22">
        <v>0</v>
      </c>
      <c r="V330" s="22">
        <v>1</v>
      </c>
      <c r="W330" s="23"/>
      <c r="X330" s="23"/>
      <c r="Y330" s="23"/>
    </row>
    <row r="331" spans="1:25" ht="13.2">
      <c r="A331" s="209">
        <v>1</v>
      </c>
      <c r="B331" s="132" t="s">
        <v>4535</v>
      </c>
      <c r="C331" s="33">
        <v>332</v>
      </c>
      <c r="D331" s="33">
        <v>9</v>
      </c>
      <c r="E331" s="33" t="s">
        <v>2027</v>
      </c>
      <c r="F331" s="130" t="str">
        <f>HYPERLINK("https://nasional.republika.co.id/berita/nasional/hukum/ps1ceu384/majikan-sirami-air-panas-art-ini-minta-perlindungan-ke-lpsk ","sumber")</f>
        <v>sumber</v>
      </c>
      <c r="G331" s="33" t="s">
        <v>1</v>
      </c>
      <c r="H331" s="33">
        <v>338</v>
      </c>
      <c r="I331" s="33">
        <v>1</v>
      </c>
      <c r="J331" s="33">
        <v>2</v>
      </c>
      <c r="K331" s="131" t="s">
        <v>4536</v>
      </c>
      <c r="L331" s="33">
        <v>0</v>
      </c>
      <c r="M331" s="33">
        <v>-1</v>
      </c>
      <c r="N331" s="132">
        <v>0</v>
      </c>
      <c r="O331" s="33">
        <v>0</v>
      </c>
      <c r="P331" s="33">
        <v>0</v>
      </c>
      <c r="Q331" s="33">
        <v>0</v>
      </c>
      <c r="R331" s="33">
        <v>1</v>
      </c>
      <c r="S331" s="133"/>
      <c r="T331" s="33">
        <v>0</v>
      </c>
      <c r="U331" s="33">
        <v>0</v>
      </c>
      <c r="V331" s="33">
        <v>0</v>
      </c>
      <c r="W331" s="24"/>
      <c r="X331" s="24"/>
      <c r="Y331" s="24"/>
    </row>
    <row r="332" spans="1:25" ht="13.2">
      <c r="A332" s="188">
        <v>1</v>
      </c>
      <c r="B332" s="22" t="s">
        <v>4537</v>
      </c>
      <c r="C332" s="22">
        <v>333</v>
      </c>
      <c r="D332" s="22">
        <v>6</v>
      </c>
      <c r="E332" s="22" t="s">
        <v>215</v>
      </c>
      <c r="F332" s="121" t="str">
        <f>HYPERLINK("https://megapolitan.kompas.com/read/2019/05/13/13001951/masturbasi-di-hadapan-anak-kos-depok-seorang-pria-ditangkap ","sumber")</f>
        <v>sumber</v>
      </c>
      <c r="G332" s="22" t="s">
        <v>1</v>
      </c>
      <c r="H332" s="22">
        <v>203</v>
      </c>
      <c r="I332" s="22">
        <v>1</v>
      </c>
      <c r="J332" s="22">
        <v>1</v>
      </c>
      <c r="K332" s="123" t="s">
        <v>4538</v>
      </c>
      <c r="L332" s="22">
        <v>0</v>
      </c>
      <c r="M332" s="22">
        <v>-1</v>
      </c>
      <c r="N332" s="125">
        <v>0</v>
      </c>
      <c r="O332" s="22">
        <v>0</v>
      </c>
      <c r="P332" s="22">
        <v>0</v>
      </c>
      <c r="Q332" s="22">
        <v>0</v>
      </c>
      <c r="R332" s="22">
        <v>1</v>
      </c>
      <c r="S332" s="134"/>
      <c r="T332" s="22">
        <v>0</v>
      </c>
      <c r="U332" s="22">
        <v>0</v>
      </c>
      <c r="V332" s="22">
        <v>0</v>
      </c>
      <c r="W332" s="23"/>
      <c r="X332" s="23"/>
      <c r="Y332" s="23"/>
    </row>
    <row r="333" spans="1:25" ht="13.2">
      <c r="A333" s="209">
        <v>1</v>
      </c>
      <c r="B333" s="132" t="s">
        <v>4539</v>
      </c>
      <c r="C333" s="33">
        <v>334</v>
      </c>
      <c r="D333" s="33">
        <v>4</v>
      </c>
      <c r="E333" s="33" t="s">
        <v>205</v>
      </c>
      <c r="F333" s="130" t="str">
        <f>HYPERLINK("https://www.liputan6.com/global/read/3971654/lembaga-ham-perempuan-korea-utara-dipaksa-jadi-budak-seks-di-china ","sumber")</f>
        <v>sumber</v>
      </c>
      <c r="G333" s="33" t="s">
        <v>1</v>
      </c>
      <c r="H333" s="33">
        <v>290</v>
      </c>
      <c r="I333" s="33">
        <v>5</v>
      </c>
      <c r="J333" s="33">
        <v>1</v>
      </c>
      <c r="K333" s="131" t="s">
        <v>4540</v>
      </c>
      <c r="L333" s="33">
        <v>-1</v>
      </c>
      <c r="M333" s="33">
        <v>0</v>
      </c>
      <c r="N333" s="132">
        <v>0</v>
      </c>
      <c r="O333" s="33">
        <v>0</v>
      </c>
      <c r="P333" s="33">
        <v>0</v>
      </c>
      <c r="Q333" s="33">
        <v>0</v>
      </c>
      <c r="R333" s="33">
        <v>1</v>
      </c>
      <c r="S333" s="133"/>
      <c r="T333" s="33">
        <v>0</v>
      </c>
      <c r="U333" s="33">
        <v>0</v>
      </c>
      <c r="V333" s="33">
        <v>1</v>
      </c>
      <c r="W333" s="24"/>
      <c r="X333" s="24"/>
      <c r="Y333" s="24"/>
    </row>
    <row r="334" spans="1:25" ht="13.2">
      <c r="A334" s="209">
        <v>1</v>
      </c>
      <c r="B334" s="132" t="s">
        <v>4541</v>
      </c>
      <c r="C334" s="33">
        <v>335</v>
      </c>
      <c r="D334" s="33">
        <v>3</v>
      </c>
      <c r="E334" s="33" t="s">
        <v>2030</v>
      </c>
      <c r="F334" s="130" t="str">
        <f>HYPERLINK("https://news.okezone.com/read/2019/05/28/338/2061474/selain-disiram-air-keras-dan-disiksa-caca-juga-dijadikan-pembantu-ibu-angkatnya ","sumber")</f>
        <v>sumber</v>
      </c>
      <c r="G334" s="33" t="s">
        <v>1</v>
      </c>
      <c r="H334" s="33">
        <v>361</v>
      </c>
      <c r="I334" s="33">
        <v>1</v>
      </c>
      <c r="J334" s="33">
        <v>1</v>
      </c>
      <c r="K334" s="131" t="s">
        <v>4542</v>
      </c>
      <c r="L334" s="33">
        <v>0</v>
      </c>
      <c r="M334" s="33">
        <v>-1</v>
      </c>
      <c r="N334" s="33">
        <v>-1</v>
      </c>
      <c r="O334" s="33">
        <v>0</v>
      </c>
      <c r="P334" s="33">
        <v>0</v>
      </c>
      <c r="Q334" s="33">
        <v>0</v>
      </c>
      <c r="R334" s="33">
        <v>0</v>
      </c>
      <c r="S334" s="133"/>
      <c r="T334" s="33">
        <v>0</v>
      </c>
      <c r="U334" s="33">
        <v>0</v>
      </c>
      <c r="V334" s="33">
        <v>0</v>
      </c>
      <c r="W334" s="24"/>
      <c r="X334" s="24"/>
      <c r="Y334" s="24"/>
    </row>
    <row r="335" spans="1:25" ht="13.2">
      <c r="A335" s="188">
        <v>1</v>
      </c>
      <c r="B335" s="22" t="s">
        <v>4543</v>
      </c>
      <c r="C335" s="22">
        <v>336</v>
      </c>
      <c r="D335" s="22">
        <v>9</v>
      </c>
      <c r="E335" s="22" t="s">
        <v>2181</v>
      </c>
      <c r="F335" s="121" t="str">
        <f>HYPERLINK("https://senggang.republika.co.id/berita/senggang/blitz/ps9k7v414/ellen-degeneres-dorong-perempuan-ungkap-pelecehan-seksual ","sumber")</f>
        <v>sumber</v>
      </c>
      <c r="G335" s="22" t="s">
        <v>1</v>
      </c>
      <c r="H335" s="22">
        <v>372</v>
      </c>
      <c r="I335" s="22">
        <v>2</v>
      </c>
      <c r="J335" s="22">
        <v>1</v>
      </c>
      <c r="K335" s="123" t="s">
        <v>4544</v>
      </c>
      <c r="L335" s="22">
        <v>0</v>
      </c>
      <c r="M335" s="22">
        <v>0</v>
      </c>
      <c r="N335" s="125">
        <v>0</v>
      </c>
      <c r="O335" s="22">
        <v>0</v>
      </c>
      <c r="P335" s="22">
        <v>0</v>
      </c>
      <c r="Q335" s="22">
        <v>2</v>
      </c>
      <c r="R335" s="22">
        <v>1</v>
      </c>
      <c r="S335" s="134"/>
      <c r="T335" s="22">
        <v>0</v>
      </c>
      <c r="U335" s="22">
        <v>0</v>
      </c>
      <c r="V335" s="22">
        <v>1</v>
      </c>
      <c r="W335" s="23"/>
      <c r="X335" s="23"/>
      <c r="Y335" s="23"/>
    </row>
    <row r="336" spans="1:25" ht="13.2">
      <c r="A336" s="188">
        <v>1</v>
      </c>
      <c r="B336" s="22" t="s">
        <v>4545</v>
      </c>
      <c r="C336" s="22">
        <v>337</v>
      </c>
      <c r="D336" s="22">
        <v>2</v>
      </c>
      <c r="E336" s="22" t="s">
        <v>372</v>
      </c>
      <c r="F336" s="121" t="str">
        <f>HYPERLINK("https://www.cnnindonesia.com/internasional/20190529145808-113-399482/bakar-gadis-hingga-tewas-16-warga-bangladesh-diadili ","sumber")</f>
        <v>sumber</v>
      </c>
      <c r="G336" s="22" t="s">
        <v>1</v>
      </c>
      <c r="H336" s="22">
        <v>240</v>
      </c>
      <c r="I336" s="22">
        <v>1</v>
      </c>
      <c r="J336" s="22">
        <v>1</v>
      </c>
      <c r="K336" s="123" t="s">
        <v>4546</v>
      </c>
      <c r="L336" s="22">
        <v>0</v>
      </c>
      <c r="M336" s="22">
        <v>-1</v>
      </c>
      <c r="N336" s="125">
        <v>0</v>
      </c>
      <c r="O336" s="22">
        <v>0</v>
      </c>
      <c r="P336" s="22">
        <v>0</v>
      </c>
      <c r="Q336" s="22" t="s">
        <v>29</v>
      </c>
      <c r="R336" s="22" t="s">
        <v>653</v>
      </c>
      <c r="S336" s="134"/>
      <c r="T336" s="22">
        <v>0</v>
      </c>
      <c r="U336" s="22">
        <v>0</v>
      </c>
      <c r="V336" s="22">
        <v>1</v>
      </c>
      <c r="W336" s="23"/>
      <c r="X336" s="23"/>
      <c r="Y336" s="23"/>
    </row>
    <row r="337" spans="1:25" ht="13.2">
      <c r="A337" s="209">
        <v>1</v>
      </c>
      <c r="B337" s="132" t="s">
        <v>4547</v>
      </c>
      <c r="C337" s="33">
        <v>338</v>
      </c>
      <c r="D337" s="33">
        <v>7</v>
      </c>
      <c r="E337" s="33" t="s">
        <v>382</v>
      </c>
      <c r="F337" s="130" t="str">
        <f>HYPERLINK("http://www.tribunnews.com/regional/2019/06/18/pria-ini-cabuli-gadis-15-tahun-di-dapur-padahal-istrinya-sedang-tidur-dalam-rumah ","sumber")</f>
        <v>sumber</v>
      </c>
      <c r="G337" s="33" t="s">
        <v>1</v>
      </c>
      <c r="H337" s="33">
        <v>122</v>
      </c>
      <c r="I337" s="33">
        <v>1</v>
      </c>
      <c r="J337" s="33">
        <v>1</v>
      </c>
      <c r="K337" s="131" t="s">
        <v>4548</v>
      </c>
      <c r="L337" s="33">
        <v>0</v>
      </c>
      <c r="M337" s="33">
        <v>1</v>
      </c>
      <c r="N337" s="132">
        <v>0</v>
      </c>
      <c r="O337" s="33">
        <v>-1</v>
      </c>
      <c r="P337" s="33">
        <v>0</v>
      </c>
      <c r="Q337" s="33" t="s">
        <v>48</v>
      </c>
      <c r="R337" s="33" t="s">
        <v>210</v>
      </c>
      <c r="S337" s="131" t="s">
        <v>4549</v>
      </c>
      <c r="T337" s="33">
        <v>2</v>
      </c>
      <c r="U337" s="33">
        <v>0</v>
      </c>
      <c r="V337" s="33">
        <v>0</v>
      </c>
      <c r="W337" s="24"/>
      <c r="X337" s="24"/>
      <c r="Y337" s="24"/>
    </row>
    <row r="338" spans="1:25" ht="13.2">
      <c r="A338" s="188">
        <v>1</v>
      </c>
      <c r="B338" s="22" t="s">
        <v>4550</v>
      </c>
      <c r="C338" s="22">
        <v>339</v>
      </c>
      <c r="D338" s="22">
        <v>7</v>
      </c>
      <c r="E338" s="222">
        <v>43805</v>
      </c>
      <c r="F338" s="121" t="str">
        <f>HYPERLINK("http://www.tribunnews.com/seleb/2019/06/12/kasus-prostitusi-online-akan-difilmkan-ayah-vanessa-angel-saya-nggak-mau-ikut-campur ","sumber")</f>
        <v>sumber</v>
      </c>
      <c r="G338" s="22" t="s">
        <v>1</v>
      </c>
      <c r="H338" s="22">
        <v>192</v>
      </c>
      <c r="I338" s="22">
        <v>2</v>
      </c>
      <c r="J338" s="22">
        <v>1</v>
      </c>
      <c r="K338" s="123" t="s">
        <v>4551</v>
      </c>
      <c r="L338" s="22">
        <v>0</v>
      </c>
      <c r="M338" s="22">
        <v>0</v>
      </c>
      <c r="N338" s="125">
        <v>0</v>
      </c>
      <c r="O338" s="22">
        <v>0</v>
      </c>
      <c r="P338" s="22">
        <v>0</v>
      </c>
      <c r="Q338" s="22" t="s">
        <v>21</v>
      </c>
      <c r="R338" s="22" t="s">
        <v>1046</v>
      </c>
      <c r="S338" s="134"/>
      <c r="T338" s="22">
        <v>0</v>
      </c>
      <c r="U338" s="22">
        <v>0</v>
      </c>
      <c r="V338" s="22">
        <v>1</v>
      </c>
      <c r="W338" s="23"/>
      <c r="X338" s="23"/>
      <c r="Y338" s="23"/>
    </row>
    <row r="339" spans="1:25" ht="13.2">
      <c r="A339" s="188">
        <v>1</v>
      </c>
      <c r="B339" s="22" t="s">
        <v>4552</v>
      </c>
      <c r="C339" s="22">
        <v>340</v>
      </c>
      <c r="D339" s="22">
        <v>1</v>
      </c>
      <c r="E339" s="22" t="s">
        <v>2370</v>
      </c>
      <c r="F339" s="121" t="str">
        <f>HYPERLINK("https://news.detik.com/berita/d-4587787/anak-di-bawah-umur-diperkosa-kakak-ipar-di-kebun-sawit-riau ","sumber")</f>
        <v>sumber</v>
      </c>
      <c r="G339" s="22" t="s">
        <v>1</v>
      </c>
      <c r="H339" s="22">
        <v>236</v>
      </c>
      <c r="I339" s="22">
        <v>1</v>
      </c>
      <c r="J339" s="22">
        <v>1</v>
      </c>
      <c r="K339" s="123" t="s">
        <v>4553</v>
      </c>
      <c r="L339" s="22">
        <v>0</v>
      </c>
      <c r="M339" s="22">
        <v>-1</v>
      </c>
      <c r="N339" s="125">
        <v>0</v>
      </c>
      <c r="O339" s="22">
        <v>0</v>
      </c>
      <c r="P339" s="22">
        <v>0</v>
      </c>
      <c r="Q339" s="22">
        <v>0</v>
      </c>
      <c r="R339" s="22">
        <v>1</v>
      </c>
      <c r="S339" s="134"/>
      <c r="T339" s="22">
        <v>0</v>
      </c>
      <c r="U339" s="22">
        <v>0</v>
      </c>
      <c r="V339" s="22">
        <v>0</v>
      </c>
      <c r="W339" s="23"/>
      <c r="X339" s="23"/>
      <c r="Y339" s="23"/>
    </row>
    <row r="340" spans="1:25" ht="13.2">
      <c r="A340" s="188">
        <v>1</v>
      </c>
      <c r="B340" s="22" t="s">
        <v>4554</v>
      </c>
      <c r="C340" s="22">
        <v>341</v>
      </c>
      <c r="D340" s="22">
        <v>4</v>
      </c>
      <c r="E340" s="22" t="s">
        <v>2370</v>
      </c>
      <c r="F340" s="121" t="str">
        <f>HYPERLINK("https://www.liputan6.com/global/read/3990637/terjerat-kasus-korupsi-eks-presiden-sudan-akan-diadili-pekan-depan ","sumber")</f>
        <v>sumber</v>
      </c>
      <c r="G340" s="22" t="s">
        <v>1</v>
      </c>
      <c r="H340" s="22">
        <v>764</v>
      </c>
      <c r="I340" s="22">
        <v>1</v>
      </c>
      <c r="J340" s="22">
        <v>1</v>
      </c>
      <c r="K340" s="123" t="s">
        <v>4555</v>
      </c>
      <c r="L340" s="22">
        <v>0</v>
      </c>
      <c r="M340" s="22">
        <v>1</v>
      </c>
      <c r="N340" s="125">
        <v>0</v>
      </c>
      <c r="O340" s="22">
        <v>0</v>
      </c>
      <c r="P340" s="22">
        <v>0</v>
      </c>
      <c r="Q340" s="22" t="s">
        <v>29</v>
      </c>
      <c r="R340" s="22" t="s">
        <v>141</v>
      </c>
      <c r="S340" s="134"/>
      <c r="T340" s="22">
        <v>0</v>
      </c>
      <c r="U340" s="22">
        <v>0</v>
      </c>
      <c r="V340" s="22">
        <v>1</v>
      </c>
      <c r="W340" s="23"/>
      <c r="X340" s="23"/>
      <c r="Y340" s="23"/>
    </row>
    <row r="341" spans="1:25" ht="14.4">
      <c r="A341" s="211">
        <v>1</v>
      </c>
      <c r="B341" s="46" t="s">
        <v>4556</v>
      </c>
      <c r="C341" s="33">
        <v>342</v>
      </c>
      <c r="D341" s="33">
        <v>5</v>
      </c>
      <c r="E341" s="33" t="s">
        <v>2231</v>
      </c>
      <c r="F341" s="130" t="str">
        <f>HYPERLINK("https://tirto.id/ketika-lelucon-seksis-tak-lucu-lagi-ec4W ","sumber")</f>
        <v>sumber</v>
      </c>
      <c r="G341" s="33" t="s">
        <v>1</v>
      </c>
      <c r="H341" s="33">
        <v>637</v>
      </c>
      <c r="I341" s="33">
        <v>1</v>
      </c>
      <c r="J341" s="33">
        <v>1</v>
      </c>
      <c r="K341" s="131" t="s">
        <v>4557</v>
      </c>
      <c r="L341" s="33">
        <v>0</v>
      </c>
      <c r="M341" s="33">
        <v>-1</v>
      </c>
      <c r="N341" s="132">
        <v>0</v>
      </c>
      <c r="O341" s="33">
        <v>0</v>
      </c>
      <c r="P341" s="33">
        <v>0</v>
      </c>
      <c r="Q341" s="33">
        <v>0</v>
      </c>
      <c r="R341" s="33">
        <v>1</v>
      </c>
      <c r="S341" s="133"/>
      <c r="T341" s="33">
        <v>0</v>
      </c>
      <c r="U341" s="33">
        <v>0</v>
      </c>
      <c r="V341" s="33">
        <v>1</v>
      </c>
      <c r="W341" s="24"/>
      <c r="X341" s="24"/>
      <c r="Y341" s="24"/>
    </row>
    <row r="342" spans="1:25" ht="13.2">
      <c r="A342" s="188">
        <v>1</v>
      </c>
      <c r="B342" s="22" t="s">
        <v>1678</v>
      </c>
      <c r="C342" s="22">
        <v>343</v>
      </c>
      <c r="D342" s="22">
        <v>2</v>
      </c>
      <c r="E342" s="22" t="s">
        <v>799</v>
      </c>
      <c r="F342" s="121" t="str">
        <f>HYPERLINK("https://www.cnnindonesia.com/nasional/20190620200713-12-405110/minta-dibebaskan-vanessa-klaim-tak-sebar-konten-asusila ","sumber")</f>
        <v>sumber</v>
      </c>
      <c r="G342" s="22" t="s">
        <v>1</v>
      </c>
      <c r="H342" s="22">
        <v>432</v>
      </c>
      <c r="I342" s="22">
        <v>1</v>
      </c>
      <c r="J342" s="22">
        <v>1</v>
      </c>
      <c r="K342" s="123" t="s">
        <v>4558</v>
      </c>
      <c r="L342" s="22">
        <v>0</v>
      </c>
      <c r="M342" s="22">
        <v>1</v>
      </c>
      <c r="N342" s="125">
        <v>0</v>
      </c>
      <c r="O342" s="22">
        <v>0</v>
      </c>
      <c r="P342" s="22">
        <v>0</v>
      </c>
      <c r="Q342" s="22" t="s">
        <v>29</v>
      </c>
      <c r="R342" s="22" t="s">
        <v>748</v>
      </c>
      <c r="S342" s="134"/>
      <c r="T342" s="22">
        <v>0</v>
      </c>
      <c r="U342" s="22">
        <v>0</v>
      </c>
      <c r="V342" s="22">
        <v>0</v>
      </c>
      <c r="W342" s="23"/>
      <c r="X342" s="23"/>
      <c r="Y342" s="23"/>
    </row>
    <row r="343" spans="1:25" ht="13.2">
      <c r="A343" s="188">
        <v>1</v>
      </c>
      <c r="B343" s="22" t="s">
        <v>4559</v>
      </c>
      <c r="C343" s="22">
        <v>344</v>
      </c>
      <c r="D343" s="22">
        <v>7</v>
      </c>
      <c r="E343" s="22" t="s">
        <v>2202</v>
      </c>
      <c r="F343" s="121" t="str">
        <f>HYPERLINK("http://www.tribunnews.com/metropolitan/2019/06/23/jenazah-remaja-di-tangerang-teridentifikasi-polisi-pastikan-tak-ada-bekas-kekerasan-seksual ","sumber")</f>
        <v>sumber</v>
      </c>
      <c r="G343" s="22" t="s">
        <v>1</v>
      </c>
      <c r="H343" s="22">
        <v>223</v>
      </c>
      <c r="I343" s="22">
        <v>1</v>
      </c>
      <c r="J343" s="22">
        <v>1</v>
      </c>
      <c r="K343" s="123" t="s">
        <v>4560</v>
      </c>
      <c r="L343" s="22">
        <v>0</v>
      </c>
      <c r="M343" s="22">
        <v>-1</v>
      </c>
      <c r="N343" s="125">
        <v>0</v>
      </c>
      <c r="O343" s="22">
        <v>0</v>
      </c>
      <c r="P343" s="22">
        <v>0</v>
      </c>
      <c r="Q343" s="22">
        <v>0</v>
      </c>
      <c r="R343" s="22">
        <v>0</v>
      </c>
      <c r="S343" s="134"/>
      <c r="T343" s="22">
        <v>0</v>
      </c>
      <c r="U343" s="22">
        <v>0</v>
      </c>
      <c r="V343" s="22">
        <v>0</v>
      </c>
      <c r="W343" s="23"/>
      <c r="X343" s="23"/>
      <c r="Y343" s="23"/>
    </row>
    <row r="344" spans="1:25" ht="13.2">
      <c r="A344" s="188">
        <v>1</v>
      </c>
      <c r="B344" s="22" t="s">
        <v>4561</v>
      </c>
      <c r="C344" s="22">
        <v>345</v>
      </c>
      <c r="D344" s="22">
        <v>6</v>
      </c>
      <c r="E344" s="22" t="s">
        <v>2035</v>
      </c>
      <c r="F344" s="121" t="str">
        <f>HYPERLINK("https://entertainment.kompas.com/read/2019/06/24/105509810/polisi-periksa-psy-terkait-tuduhan-penyediaan-psk-oleh-bos-yg ","sumber")</f>
        <v>sumber</v>
      </c>
      <c r="G344" s="22" t="s">
        <v>1</v>
      </c>
      <c r="H344" s="22">
        <v>365</v>
      </c>
      <c r="I344" s="22">
        <v>1</v>
      </c>
      <c r="J344" s="22">
        <v>1</v>
      </c>
      <c r="K344" s="123" t="s">
        <v>4562</v>
      </c>
      <c r="L344" s="22">
        <v>0</v>
      </c>
      <c r="M344" s="22">
        <v>-1</v>
      </c>
      <c r="N344" s="125">
        <v>0</v>
      </c>
      <c r="O344" s="22">
        <v>0</v>
      </c>
      <c r="P344" s="22">
        <v>0</v>
      </c>
      <c r="Q344" s="22" t="s">
        <v>29</v>
      </c>
      <c r="R344" s="22" t="s">
        <v>29</v>
      </c>
      <c r="S344" s="134"/>
      <c r="T344" s="22">
        <v>0</v>
      </c>
      <c r="U344" s="22">
        <v>0</v>
      </c>
      <c r="V344" s="22">
        <v>0</v>
      </c>
      <c r="W344" s="23"/>
      <c r="X344" s="23"/>
      <c r="Y344" s="23"/>
    </row>
    <row r="345" spans="1:25" ht="13.2">
      <c r="A345" s="188">
        <v>1</v>
      </c>
      <c r="B345" s="22" t="s">
        <v>4563</v>
      </c>
      <c r="C345" s="22">
        <v>346</v>
      </c>
      <c r="D345" s="22">
        <v>4</v>
      </c>
      <c r="E345" s="22" t="s">
        <v>2035</v>
      </c>
      <c r="F345" s="121" t="str">
        <f>HYPERLINK("https://www.liputan6.com/global/read/3997195/kisah-dokter-myanmar-lisensi-dicabut-gara-gara-pamerkan-foto-syur ","sumber")</f>
        <v>sumber</v>
      </c>
      <c r="G345" s="22" t="s">
        <v>1</v>
      </c>
      <c r="H345" s="22">
        <v>640</v>
      </c>
      <c r="I345" s="22">
        <v>1</v>
      </c>
      <c r="J345" s="22">
        <v>1</v>
      </c>
      <c r="K345" s="123" t="s">
        <v>4564</v>
      </c>
      <c r="L345" s="22">
        <v>0</v>
      </c>
      <c r="M345" s="22">
        <v>-1</v>
      </c>
      <c r="N345" s="125">
        <v>0</v>
      </c>
      <c r="O345" s="22">
        <v>0</v>
      </c>
      <c r="P345" s="22">
        <v>0</v>
      </c>
      <c r="Q345" s="22" t="s">
        <v>178</v>
      </c>
      <c r="R345" s="22" t="s">
        <v>160</v>
      </c>
      <c r="S345" s="134"/>
      <c r="T345" s="22">
        <v>0</v>
      </c>
      <c r="U345" s="22">
        <v>0</v>
      </c>
      <c r="V345" s="22">
        <v>0</v>
      </c>
      <c r="W345" s="23"/>
      <c r="X345" s="23"/>
      <c r="Y345" s="23"/>
    </row>
    <row r="346" spans="1:25" ht="14.4">
      <c r="A346" s="211">
        <v>1</v>
      </c>
      <c r="B346" s="46" t="s">
        <v>4565</v>
      </c>
      <c r="C346" s="33">
        <v>347</v>
      </c>
      <c r="D346" s="33">
        <v>3</v>
      </c>
      <c r="E346" s="33" t="s">
        <v>388</v>
      </c>
      <c r="F346" s="130" t="str">
        <f>HYPERLINK("https://news.okezone.com/read/2019/06/17/519/2067490/vanessa-angel-dituntut-6-bulan-penjara-karena-prostitusi-online ","sumber")</f>
        <v>sumber</v>
      </c>
      <c r="G346" s="33" t="s">
        <v>1</v>
      </c>
      <c r="H346" s="33">
        <v>170</v>
      </c>
      <c r="I346" s="33">
        <v>1</v>
      </c>
      <c r="J346" s="33">
        <v>1</v>
      </c>
      <c r="K346" s="131" t="s">
        <v>4566</v>
      </c>
      <c r="L346" s="33">
        <v>0</v>
      </c>
      <c r="M346" s="33">
        <v>-1</v>
      </c>
      <c r="N346" s="132">
        <v>0</v>
      </c>
      <c r="O346" s="33">
        <v>0</v>
      </c>
      <c r="P346" s="33">
        <v>0</v>
      </c>
      <c r="Q346" s="33">
        <v>0</v>
      </c>
      <c r="R346" s="33">
        <v>0</v>
      </c>
      <c r="S346" s="133"/>
      <c r="T346" s="33">
        <v>0</v>
      </c>
      <c r="U346" s="33">
        <v>0</v>
      </c>
      <c r="V346" s="33">
        <v>0</v>
      </c>
      <c r="W346" s="24"/>
      <c r="X346" s="24"/>
      <c r="Y346" s="24"/>
    </row>
    <row r="347" spans="1:25" ht="13.2">
      <c r="A347" s="188">
        <v>1</v>
      </c>
      <c r="B347" s="22" t="s">
        <v>4567</v>
      </c>
      <c r="C347" s="22">
        <v>348</v>
      </c>
      <c r="D347" s="22">
        <v>2</v>
      </c>
      <c r="E347" s="22" t="s">
        <v>2231</v>
      </c>
      <c r="F347" s="121" t="str">
        <f>HYPERLINK("https://www.cnnindonesia.com/olahraga/20190625220945-156-406451/ratu-ratu-sirkuit-jalanan-tak-lagi-dihitung-sebelah-tangan ","sumber")</f>
        <v>sumber</v>
      </c>
      <c r="G347" s="22" t="s">
        <v>1</v>
      </c>
      <c r="H347" s="22">
        <v>759</v>
      </c>
      <c r="I347" s="22">
        <v>2</v>
      </c>
      <c r="J347" s="22">
        <v>1</v>
      </c>
      <c r="K347" s="123" t="s">
        <v>4568</v>
      </c>
      <c r="L347" s="22">
        <v>0</v>
      </c>
      <c r="M347" s="22">
        <v>0</v>
      </c>
      <c r="N347" s="125">
        <v>0</v>
      </c>
      <c r="O347" s="22">
        <v>0</v>
      </c>
      <c r="P347" s="22">
        <v>0</v>
      </c>
      <c r="Q347" s="22" t="s">
        <v>1991</v>
      </c>
      <c r="R347" s="22" t="s">
        <v>360</v>
      </c>
      <c r="S347" s="134"/>
      <c r="T347" s="22">
        <v>0</v>
      </c>
      <c r="U347" s="22">
        <v>0</v>
      </c>
      <c r="V347" s="22">
        <v>1</v>
      </c>
      <c r="W347" s="23"/>
      <c r="X347" s="23"/>
      <c r="Y347" s="23"/>
    </row>
    <row r="348" spans="1:25" ht="13.2">
      <c r="A348" s="188">
        <v>1</v>
      </c>
      <c r="B348" s="22" t="s">
        <v>4569</v>
      </c>
      <c r="C348" s="22">
        <v>349</v>
      </c>
      <c r="D348" s="22">
        <v>6</v>
      </c>
      <c r="E348" s="22" t="s">
        <v>2231</v>
      </c>
      <c r="F348" s="121" t="str">
        <f>HYPERLINK("https://regional.kompas.com/read/2019/06/26/20340561/kuasa-hukum-artis-va-vonis-hakim-belum-penuhi-rasa-keadilan ","sumber")</f>
        <v>sumber</v>
      </c>
      <c r="G348" s="22" t="s">
        <v>1</v>
      </c>
      <c r="H348" s="22">
        <v>259</v>
      </c>
      <c r="I348" s="22">
        <v>1</v>
      </c>
      <c r="J348" s="22">
        <v>1</v>
      </c>
      <c r="K348" s="123" t="s">
        <v>4570</v>
      </c>
      <c r="L348" s="22">
        <v>0</v>
      </c>
      <c r="M348" s="22">
        <v>-1</v>
      </c>
      <c r="N348" s="125">
        <v>0</v>
      </c>
      <c r="O348" s="22">
        <v>0</v>
      </c>
      <c r="P348" s="22">
        <v>0</v>
      </c>
      <c r="Q348" s="22">
        <v>0</v>
      </c>
      <c r="R348" s="22">
        <v>1</v>
      </c>
      <c r="S348" s="134"/>
      <c r="T348" s="22">
        <v>0</v>
      </c>
      <c r="U348" s="22">
        <v>0</v>
      </c>
      <c r="V348" s="22">
        <v>0</v>
      </c>
      <c r="W348" s="23"/>
      <c r="X348" s="23"/>
      <c r="Y348" s="23"/>
    </row>
    <row r="349" spans="1:25" ht="13.2">
      <c r="A349" s="188">
        <v>1</v>
      </c>
      <c r="B349" s="22" t="s">
        <v>3724</v>
      </c>
      <c r="C349" s="22">
        <v>350</v>
      </c>
      <c r="D349" s="22">
        <v>7</v>
      </c>
      <c r="E349" s="22" t="s">
        <v>809</v>
      </c>
      <c r="F349" s="121" t="str">
        <f>HYPERLINK("http://www.tribunnews.com/seleb/2019/06/29/curhatan-saipul-jamil-yang-nangis-tiap-lihat-tv-dalam-penjara-saya-pernah-di-situ-sekarang-di-sini ","sumber")</f>
        <v>sumber</v>
      </c>
      <c r="G349" s="22" t="s">
        <v>1</v>
      </c>
      <c r="H349" s="22">
        <v>132</v>
      </c>
      <c r="I349" s="22">
        <v>2</v>
      </c>
      <c r="J349" s="22">
        <v>1</v>
      </c>
      <c r="K349" s="123" t="s">
        <v>4571</v>
      </c>
      <c r="L349" s="22">
        <v>0</v>
      </c>
      <c r="M349" s="22">
        <v>0</v>
      </c>
      <c r="N349" s="125">
        <v>0</v>
      </c>
      <c r="O349" s="22">
        <v>0</v>
      </c>
      <c r="P349" s="22">
        <v>0</v>
      </c>
      <c r="Q349" s="22" t="s">
        <v>29</v>
      </c>
      <c r="R349" s="22" t="s">
        <v>29</v>
      </c>
      <c r="S349" s="134"/>
      <c r="T349" s="22">
        <v>0</v>
      </c>
      <c r="U349" s="22">
        <v>0</v>
      </c>
      <c r="V349" s="22">
        <v>0</v>
      </c>
      <c r="W349" s="23"/>
      <c r="X349" s="23"/>
      <c r="Y349" s="23"/>
    </row>
    <row r="350" spans="1:25" ht="13.2">
      <c r="A350" s="188">
        <v>1</v>
      </c>
      <c r="B350" s="22" t="s">
        <v>4572</v>
      </c>
      <c r="C350" s="22">
        <v>351</v>
      </c>
      <c r="D350" s="22">
        <v>10</v>
      </c>
      <c r="E350" s="222">
        <v>43562</v>
      </c>
      <c r="F350" s="121" t="str">
        <f>HYPERLINK("https://dunia.tempo.co/read/1221213/5-mahasiswa-di-india-merekam-perkosaan-dan-menyebarkan ","sumber")</f>
        <v>sumber</v>
      </c>
      <c r="G350" s="22" t="s">
        <v>1</v>
      </c>
      <c r="H350" s="22">
        <v>274</v>
      </c>
      <c r="I350" s="22">
        <v>1</v>
      </c>
      <c r="J350" s="22">
        <v>1</v>
      </c>
      <c r="K350" s="123"/>
      <c r="L350" s="22">
        <v>0</v>
      </c>
      <c r="M350" s="22">
        <v>-1</v>
      </c>
      <c r="N350" s="125">
        <v>0</v>
      </c>
      <c r="O350" s="22">
        <v>0</v>
      </c>
      <c r="P350" s="22">
        <v>0</v>
      </c>
      <c r="Q350" s="22"/>
      <c r="R350" s="22"/>
      <c r="S350" s="134"/>
      <c r="T350" s="22">
        <v>0</v>
      </c>
      <c r="U350" s="22">
        <v>0</v>
      </c>
      <c r="V350" s="22">
        <v>0</v>
      </c>
      <c r="W350" s="23"/>
      <c r="X350" s="23"/>
      <c r="Y350" s="23"/>
    </row>
    <row r="351" spans="1:25" ht="13.2">
      <c r="A351" s="188">
        <v>1</v>
      </c>
      <c r="B351" s="22" t="s">
        <v>4573</v>
      </c>
      <c r="C351" s="22">
        <v>352</v>
      </c>
      <c r="D351" s="22">
        <v>2</v>
      </c>
      <c r="E351" s="222">
        <v>43592</v>
      </c>
      <c r="F351" s="121" t="str">
        <f>HYPERLINK("https://www.cnnindonesia.com/nasional/20190705170123-12-409508/jokowi-persilakan-baiq-nuril-ajukan-amnesti-secepatnya ","sumber")</f>
        <v>sumber</v>
      </c>
      <c r="G351" s="22" t="s">
        <v>1</v>
      </c>
      <c r="H351" s="22">
        <v>492</v>
      </c>
      <c r="I351" s="22">
        <v>4</v>
      </c>
      <c r="J351" s="22">
        <v>1</v>
      </c>
      <c r="K351" s="123" t="s">
        <v>4574</v>
      </c>
      <c r="L351" s="22">
        <v>0</v>
      </c>
      <c r="M351" s="22">
        <v>0</v>
      </c>
      <c r="N351" s="125">
        <v>0</v>
      </c>
      <c r="O351" s="22">
        <v>0</v>
      </c>
      <c r="P351" s="22">
        <v>0</v>
      </c>
      <c r="Q351" s="22" t="s">
        <v>29</v>
      </c>
      <c r="R351" s="22" t="s">
        <v>748</v>
      </c>
      <c r="S351" s="134"/>
      <c r="T351" s="22">
        <v>0</v>
      </c>
      <c r="U351" s="22">
        <v>0</v>
      </c>
      <c r="V351" s="22">
        <v>1</v>
      </c>
      <c r="W351" s="23"/>
      <c r="X351" s="23"/>
      <c r="Y351" s="23"/>
    </row>
    <row r="352" spans="1:25" ht="13.2">
      <c r="A352" s="188">
        <v>1</v>
      </c>
      <c r="B352" s="22" t="s">
        <v>1702</v>
      </c>
      <c r="C352" s="22">
        <v>353</v>
      </c>
      <c r="D352" s="22">
        <v>3</v>
      </c>
      <c r="E352" s="222">
        <v>43653</v>
      </c>
      <c r="F352" s="121" t="str">
        <f>HYPERLINK("https://news.okezone.com/read/2019/07/07/337/2075612/putusan-ma-menolak-pk-dinilai-telah-menindas-keadilan-baiq-nuril ","sumber")</f>
        <v>sumber</v>
      </c>
      <c r="G352" s="22" t="s">
        <v>1</v>
      </c>
      <c r="H352" s="22">
        <v>308</v>
      </c>
      <c r="I352" s="22">
        <v>1</v>
      </c>
      <c r="J352" s="22">
        <v>1</v>
      </c>
      <c r="K352" s="123" t="s">
        <v>4575</v>
      </c>
      <c r="L352" s="22">
        <v>0</v>
      </c>
      <c r="M352" s="22">
        <v>0</v>
      </c>
      <c r="N352" s="125">
        <v>0</v>
      </c>
      <c r="O352" s="22">
        <v>0</v>
      </c>
      <c r="P352" s="22">
        <v>0</v>
      </c>
      <c r="Q352" s="22">
        <v>0</v>
      </c>
      <c r="R352" s="22">
        <v>1</v>
      </c>
      <c r="S352" s="134"/>
      <c r="T352" s="22">
        <v>0</v>
      </c>
      <c r="U352" s="22">
        <v>0</v>
      </c>
      <c r="V352" s="22">
        <v>1</v>
      </c>
      <c r="W352" s="23"/>
      <c r="X352" s="23"/>
      <c r="Y352" s="23"/>
    </row>
    <row r="353" spans="1:25" ht="13.2">
      <c r="A353" s="188">
        <v>1</v>
      </c>
      <c r="B353" s="22" t="s">
        <v>3736</v>
      </c>
      <c r="C353" s="22">
        <v>354</v>
      </c>
      <c r="D353" s="22">
        <v>7</v>
      </c>
      <c r="E353" s="222">
        <v>43684</v>
      </c>
      <c r="F353" s="121" t="str">
        <f>HYPERLINK("https://www.tribunnews.com/nasional/2019/07/08/berita-terkini-kasus-baiq-nuril-menkumham-sebut-jokowi-beri-perhatian-serius-segera-beri-amnesti ","sumber")</f>
        <v>sumber</v>
      </c>
      <c r="G353" s="22" t="s">
        <v>1</v>
      </c>
      <c r="H353" s="22">
        <v>240</v>
      </c>
      <c r="I353" s="22">
        <v>4</v>
      </c>
      <c r="J353" s="22">
        <v>1</v>
      </c>
      <c r="K353" s="123" t="s">
        <v>4575</v>
      </c>
      <c r="L353" s="22">
        <v>0</v>
      </c>
      <c r="M353" s="22">
        <v>0</v>
      </c>
      <c r="N353" s="125">
        <v>0</v>
      </c>
      <c r="O353" s="22">
        <v>0</v>
      </c>
      <c r="P353" s="22">
        <v>0</v>
      </c>
      <c r="Q353" s="22">
        <v>0</v>
      </c>
      <c r="R353" s="22">
        <v>1</v>
      </c>
      <c r="S353" s="134"/>
      <c r="T353" s="22">
        <v>0</v>
      </c>
      <c r="U353" s="22">
        <v>0</v>
      </c>
      <c r="V353" s="22">
        <v>1</v>
      </c>
      <c r="W353" s="23"/>
      <c r="X353" s="23"/>
      <c r="Y353" s="23"/>
    </row>
    <row r="354" spans="1:25" ht="14.4">
      <c r="A354" s="211">
        <v>1</v>
      </c>
      <c r="B354" s="46" t="s">
        <v>4576</v>
      </c>
      <c r="C354" s="33">
        <v>355</v>
      </c>
      <c r="D354" s="33">
        <v>7</v>
      </c>
      <c r="E354" s="33" t="s">
        <v>399</v>
      </c>
      <c r="F354" s="130" t="str">
        <f>HYPERLINK("https://www.tribunnews.com/superskor/2019/07/23/pernah-terjerat-kasus-pelecehan-seksual-eks-manchester-city-kembali-menebar-ancaman ","sumber")</f>
        <v>sumber</v>
      </c>
      <c r="G354" s="33" t="s">
        <v>1</v>
      </c>
      <c r="H354" s="33">
        <v>127</v>
      </c>
      <c r="I354" s="33">
        <v>1</v>
      </c>
      <c r="J354" s="33">
        <v>1</v>
      </c>
      <c r="K354" s="131"/>
      <c r="L354" s="33">
        <v>-1</v>
      </c>
      <c r="M354" s="147">
        <v>0</v>
      </c>
      <c r="N354" s="132">
        <v>0</v>
      </c>
      <c r="O354" s="33">
        <v>0</v>
      </c>
      <c r="P354" s="33">
        <v>0</v>
      </c>
      <c r="Q354" s="33"/>
      <c r="R354" s="33"/>
      <c r="S354" s="133"/>
      <c r="T354" s="33">
        <v>0</v>
      </c>
      <c r="U354" s="33">
        <v>0</v>
      </c>
      <c r="V354" s="33">
        <v>0</v>
      </c>
      <c r="W354" s="24"/>
      <c r="X354" s="24"/>
      <c r="Y354" s="24"/>
    </row>
    <row r="355" spans="1:25" ht="13.2">
      <c r="A355" s="188">
        <v>1</v>
      </c>
      <c r="B355" s="22" t="s">
        <v>4577</v>
      </c>
      <c r="C355" s="22">
        <v>356</v>
      </c>
      <c r="D355" s="22">
        <v>3</v>
      </c>
      <c r="E355" s="222">
        <v>43776</v>
      </c>
      <c r="F355" s="121" t="str">
        <f>HYPERLINK("https://celebrity.okezone.com/read/2019/07/10/33/2077293/tersandung-dugaan-kekerasan-seksual-kang-ji-hwan-batalkan-semua-kegiatan ","sumber")</f>
        <v>sumber</v>
      </c>
      <c r="G355" s="22" t="s">
        <v>1</v>
      </c>
      <c r="H355" s="22">
        <v>315</v>
      </c>
      <c r="I355" s="22">
        <v>1</v>
      </c>
      <c r="J355" s="22">
        <v>1</v>
      </c>
      <c r="K355" s="123" t="s">
        <v>4578</v>
      </c>
      <c r="L355" s="22">
        <v>-1</v>
      </c>
      <c r="M355" s="22">
        <v>-1</v>
      </c>
      <c r="N355" s="125">
        <v>0</v>
      </c>
      <c r="O355" s="22">
        <v>0</v>
      </c>
      <c r="P355" s="22">
        <v>0</v>
      </c>
      <c r="Q355" s="22">
        <v>0</v>
      </c>
      <c r="R355" s="22">
        <v>0</v>
      </c>
      <c r="S355" s="134"/>
      <c r="T355" s="22">
        <v>0</v>
      </c>
      <c r="U355" s="22">
        <v>0</v>
      </c>
      <c r="V355" s="22">
        <v>0</v>
      </c>
      <c r="W355" s="23"/>
      <c r="X355" s="23"/>
      <c r="Y355" s="23"/>
    </row>
    <row r="356" spans="1:25" ht="13.2">
      <c r="A356" s="188">
        <v>1</v>
      </c>
      <c r="B356" s="22" t="s">
        <v>4579</v>
      </c>
      <c r="C356" s="22">
        <v>357</v>
      </c>
      <c r="D356" s="22">
        <v>6</v>
      </c>
      <c r="E356" s="222">
        <v>43806</v>
      </c>
      <c r="F356" s="121" t="str">
        <f>HYPERLINK("https://nasional.kompas.com/read/2019/07/12/19462601/dari-kasus-ikan-asin-galih-ginanjar-komnas-perempuan-desak-pengesahan-ruu ","sumber")</f>
        <v>sumber</v>
      </c>
      <c r="G356" s="22" t="s">
        <v>1</v>
      </c>
      <c r="H356" s="22">
        <v>274</v>
      </c>
      <c r="I356" s="22">
        <v>4</v>
      </c>
      <c r="J356" s="22">
        <v>1</v>
      </c>
      <c r="K356" s="123" t="s">
        <v>4580</v>
      </c>
      <c r="L356" s="22">
        <v>0</v>
      </c>
      <c r="M356" s="22">
        <v>0</v>
      </c>
      <c r="N356" s="125">
        <v>0</v>
      </c>
      <c r="O356" s="22">
        <v>0</v>
      </c>
      <c r="P356" s="22">
        <v>0</v>
      </c>
      <c r="Q356" s="22">
        <v>1</v>
      </c>
      <c r="R356" s="22">
        <v>1</v>
      </c>
      <c r="S356" s="134"/>
      <c r="T356" s="22">
        <v>0</v>
      </c>
      <c r="U356" s="22">
        <v>0</v>
      </c>
      <c r="V356" s="22">
        <v>1</v>
      </c>
      <c r="W356" s="23"/>
      <c r="X356" s="23"/>
      <c r="Y356" s="23"/>
    </row>
    <row r="357" spans="1:25" ht="13.2">
      <c r="A357" s="188">
        <v>1</v>
      </c>
      <c r="B357" s="22" t="s">
        <v>4581</v>
      </c>
      <c r="C357" s="22">
        <v>358</v>
      </c>
      <c r="D357" s="22">
        <v>10</v>
      </c>
      <c r="E357" s="222">
        <v>43806</v>
      </c>
      <c r="F357" s="121" t="str">
        <f>HYPERLINK("https://nasional.tempo.co/read/1224000/amnesti-baiq-nuril-bamsoet-berharap-presiden-kirim-surat-ke-dpr ","sumber")</f>
        <v>sumber</v>
      </c>
      <c r="G357" s="22" t="s">
        <v>1</v>
      </c>
      <c r="H357" s="22">
        <v>368</v>
      </c>
      <c r="I357" s="22">
        <v>4</v>
      </c>
      <c r="J357" s="22">
        <v>1</v>
      </c>
      <c r="K357" s="123" t="s">
        <v>4582</v>
      </c>
      <c r="L357" s="22">
        <v>0</v>
      </c>
      <c r="M357" s="22">
        <v>0</v>
      </c>
      <c r="N357" s="125">
        <v>0</v>
      </c>
      <c r="O357" s="22">
        <v>0</v>
      </c>
      <c r="P357" s="22">
        <v>0</v>
      </c>
      <c r="Q357" s="22" t="s">
        <v>29</v>
      </c>
      <c r="R357" s="22" t="s">
        <v>160</v>
      </c>
      <c r="S357" s="134"/>
      <c r="T357" s="22">
        <v>0</v>
      </c>
      <c r="U357" s="22">
        <v>0</v>
      </c>
      <c r="V357" s="22">
        <v>1</v>
      </c>
      <c r="W357" s="23"/>
      <c r="X357" s="23"/>
      <c r="Y357" s="23"/>
    </row>
    <row r="358" spans="1:25" ht="14.4">
      <c r="A358" s="211">
        <v>1</v>
      </c>
      <c r="B358" s="46" t="s">
        <v>4583</v>
      </c>
      <c r="C358" s="33">
        <v>359</v>
      </c>
      <c r="D358" s="33">
        <v>8</v>
      </c>
      <c r="E358" s="288">
        <v>43654</v>
      </c>
      <c r="F358" s="130" t="str">
        <f>HYPERLINK("https://jatim.suara.com/read/2019/08/07/171724/pedih-istri-menangis-meronta-ronta-tiap-suami-perkosa-putri-semata-wayang ","sumber")</f>
        <v>sumber</v>
      </c>
      <c r="G358" s="33" t="s">
        <v>1</v>
      </c>
      <c r="H358" s="33">
        <v>289</v>
      </c>
      <c r="I358" s="33">
        <v>1</v>
      </c>
      <c r="J358" s="33">
        <v>1</v>
      </c>
      <c r="K358" s="131" t="s">
        <v>4584</v>
      </c>
      <c r="L358" s="33">
        <v>0</v>
      </c>
      <c r="M358" s="33">
        <v>-1</v>
      </c>
      <c r="N358" s="132">
        <v>0</v>
      </c>
      <c r="O358" s="33">
        <v>-1</v>
      </c>
      <c r="P358" s="33">
        <v>0</v>
      </c>
      <c r="Q358" s="33">
        <v>0</v>
      </c>
      <c r="R358" s="33">
        <v>1</v>
      </c>
      <c r="S358" s="131" t="s">
        <v>4585</v>
      </c>
      <c r="T358" s="33">
        <v>1</v>
      </c>
      <c r="U358" s="33">
        <v>-1</v>
      </c>
      <c r="V358" s="33">
        <v>0</v>
      </c>
      <c r="W358" s="24"/>
      <c r="X358" s="24"/>
      <c r="Y358" s="24"/>
    </row>
    <row r="359" spans="1:25" ht="14.4">
      <c r="A359" s="211">
        <v>1</v>
      </c>
      <c r="B359" s="46" t="s">
        <v>4586</v>
      </c>
      <c r="C359" s="33">
        <v>360</v>
      </c>
      <c r="D359" s="33">
        <v>3</v>
      </c>
      <c r="E359" s="33" t="s">
        <v>2047</v>
      </c>
      <c r="F359" s="130" t="str">
        <f>HYPERLINK("https://news.okezone.com/read/2019/07/26/337/2083781/disetujui-dpr-tkn-yakin-jokowi-segera-keluarkan-amnesti-untuk-baiq-nuril ","sumber")</f>
        <v>sumber</v>
      </c>
      <c r="G359" s="33" t="s">
        <v>1</v>
      </c>
      <c r="H359" s="33">
        <v>281</v>
      </c>
      <c r="I359" s="33">
        <v>4</v>
      </c>
      <c r="J359" s="33">
        <v>1</v>
      </c>
      <c r="K359" s="131" t="s">
        <v>4587</v>
      </c>
      <c r="L359" s="33">
        <v>0</v>
      </c>
      <c r="M359" s="33">
        <v>0</v>
      </c>
      <c r="N359" s="132">
        <v>0</v>
      </c>
      <c r="O359" s="33">
        <v>0</v>
      </c>
      <c r="P359" s="33">
        <v>0</v>
      </c>
      <c r="Q359" s="33">
        <v>0</v>
      </c>
      <c r="R359" s="33">
        <v>1</v>
      </c>
      <c r="S359" s="133"/>
      <c r="T359" s="33">
        <v>0</v>
      </c>
      <c r="U359" s="33">
        <v>0</v>
      </c>
      <c r="V359" s="33">
        <v>1</v>
      </c>
      <c r="W359" s="24"/>
      <c r="X359" s="24"/>
      <c r="Y359" s="24"/>
    </row>
    <row r="360" spans="1:25" ht="14.4">
      <c r="A360" s="211">
        <v>1</v>
      </c>
      <c r="B360" s="46" t="s">
        <v>4588</v>
      </c>
      <c r="C360" s="33">
        <v>361</v>
      </c>
      <c r="D360" s="33">
        <v>4</v>
      </c>
      <c r="E360" s="288">
        <v>43745</v>
      </c>
      <c r="F360" s="130" t="str">
        <f>HYPERLINK("https://www.liputan6.com/news/read/4009572/jk-yakin-rencana-amnesti-untuk-baiq-nuril-disetujui-dpr ","sumber")</f>
        <v>sumber</v>
      </c>
      <c r="G360" s="33" t="s">
        <v>1</v>
      </c>
      <c r="H360" s="33">
        <v>211</v>
      </c>
      <c r="I360" s="33">
        <v>4</v>
      </c>
      <c r="J360" s="33">
        <v>1</v>
      </c>
      <c r="K360" s="131" t="s">
        <v>4589</v>
      </c>
      <c r="L360" s="33">
        <v>0</v>
      </c>
      <c r="M360" s="33">
        <v>0</v>
      </c>
      <c r="N360" s="132">
        <v>0</v>
      </c>
      <c r="O360" s="33">
        <v>0</v>
      </c>
      <c r="P360" s="33">
        <v>0</v>
      </c>
      <c r="Q360" s="33">
        <v>0</v>
      </c>
      <c r="R360" s="33">
        <v>1</v>
      </c>
      <c r="S360" s="133"/>
      <c r="T360" s="33">
        <v>0</v>
      </c>
      <c r="U360" s="33">
        <v>0</v>
      </c>
      <c r="V360" s="33">
        <v>1</v>
      </c>
      <c r="W360" s="24"/>
      <c r="X360" s="24"/>
      <c r="Y360" s="24"/>
    </row>
    <row r="361" spans="1:25" ht="13.2">
      <c r="A361" s="188">
        <v>1</v>
      </c>
      <c r="B361" s="22" t="s">
        <v>2596</v>
      </c>
      <c r="C361" s="22">
        <v>362</v>
      </c>
      <c r="D361" s="22">
        <v>1</v>
      </c>
      <c r="E361" s="22" t="s">
        <v>839</v>
      </c>
      <c r="F361" s="121" t="str">
        <f>HYPERLINK("https://news.detik.com/berita-jawa-timur/d-4638442/kasus-pencabulan-guru-menyeruak-pemerhati-anak-sarankan-pencegahan ","sumber")</f>
        <v>sumber</v>
      </c>
      <c r="G361" s="22" t="s">
        <v>1</v>
      </c>
      <c r="H361" s="22">
        <v>333</v>
      </c>
      <c r="I361" s="22">
        <v>1</v>
      </c>
      <c r="J361" s="22">
        <v>1</v>
      </c>
      <c r="K361" s="123" t="s">
        <v>4590</v>
      </c>
      <c r="L361" s="22">
        <v>0</v>
      </c>
      <c r="M361" s="22">
        <v>-1</v>
      </c>
      <c r="N361" s="125">
        <v>0</v>
      </c>
      <c r="O361" s="22">
        <v>1</v>
      </c>
      <c r="P361" s="22">
        <v>0</v>
      </c>
      <c r="Q361" s="22">
        <v>0</v>
      </c>
      <c r="R361" s="22">
        <v>1</v>
      </c>
      <c r="S361" s="134"/>
      <c r="T361" s="22">
        <v>0</v>
      </c>
      <c r="U361" s="22">
        <v>0</v>
      </c>
      <c r="V361" s="22">
        <v>1</v>
      </c>
      <c r="W361" s="23"/>
      <c r="X361" s="23"/>
      <c r="Y361" s="23"/>
    </row>
    <row r="362" spans="1:25" ht="13.2">
      <c r="A362" s="188">
        <v>1</v>
      </c>
      <c r="B362" s="22" t="s">
        <v>4591</v>
      </c>
      <c r="C362" s="22">
        <v>363</v>
      </c>
      <c r="D362" s="22">
        <v>1</v>
      </c>
      <c r="E362" s="22" t="s">
        <v>2587</v>
      </c>
      <c r="F362" s="121" t="str">
        <f>HYPERLINK("https://news.detik.com/berita/d-4644215/cari-korban-via-hago-tersangka-child-grooming-pasang-foto-abg-ganteng ","sumber")</f>
        <v>sumber</v>
      </c>
      <c r="G362" s="22" t="s">
        <v>1</v>
      </c>
      <c r="H362" s="22">
        <v>298</v>
      </c>
      <c r="I362" s="22">
        <v>1</v>
      </c>
      <c r="J362" s="22">
        <v>1</v>
      </c>
      <c r="K362" s="123" t="s">
        <v>4592</v>
      </c>
      <c r="L362" s="22">
        <v>0</v>
      </c>
      <c r="M362" s="22">
        <v>-1</v>
      </c>
      <c r="N362" s="125">
        <v>0</v>
      </c>
      <c r="O362" s="22">
        <v>1</v>
      </c>
      <c r="P362" s="22">
        <v>0</v>
      </c>
      <c r="Q362" s="22">
        <v>0</v>
      </c>
      <c r="R362" s="22">
        <v>-1</v>
      </c>
      <c r="S362" s="134"/>
      <c r="T362" s="22">
        <v>0</v>
      </c>
      <c r="U362" s="22">
        <v>0</v>
      </c>
      <c r="V362" s="22">
        <v>0</v>
      </c>
      <c r="W362" s="23"/>
      <c r="X362" s="23"/>
      <c r="Y362" s="23"/>
    </row>
    <row r="363" spans="1:25" ht="14.4">
      <c r="A363" s="211">
        <v>1</v>
      </c>
      <c r="B363" s="46" t="s">
        <v>4593</v>
      </c>
      <c r="C363" s="33">
        <v>364</v>
      </c>
      <c r="D363" s="33">
        <v>8</v>
      </c>
      <c r="E363" s="288">
        <v>43807</v>
      </c>
      <c r="F363" s="130" t="str">
        <f>HYPERLINK("https://www.suara.com/lifestyle/2019/08/12/092838/sara-wijayanto-ternyata-pernah-jadi-korban-kekerasan-begini-kisah-sedihnya ","sumber")</f>
        <v>sumber</v>
      </c>
      <c r="G363" s="33" t="s">
        <v>1</v>
      </c>
      <c r="H363" s="33">
        <v>245</v>
      </c>
      <c r="I363" s="33">
        <v>2</v>
      </c>
      <c r="J363" s="33">
        <v>1</v>
      </c>
      <c r="K363" s="131" t="s">
        <v>4594</v>
      </c>
      <c r="L363" s="33">
        <v>0</v>
      </c>
      <c r="M363" s="33">
        <v>0</v>
      </c>
      <c r="N363" s="132">
        <v>0</v>
      </c>
      <c r="O363" s="33">
        <v>1</v>
      </c>
      <c r="P363" s="33">
        <v>0</v>
      </c>
      <c r="Q363" s="33">
        <v>2</v>
      </c>
      <c r="R363" s="33">
        <v>1</v>
      </c>
      <c r="S363" s="133"/>
      <c r="T363" s="33">
        <v>0</v>
      </c>
      <c r="U363" s="33">
        <v>0</v>
      </c>
      <c r="V363" s="33">
        <v>0</v>
      </c>
      <c r="W363" s="24"/>
      <c r="X363" s="24"/>
      <c r="Y363" s="24"/>
    </row>
    <row r="364" spans="1:25" ht="13.2">
      <c r="A364" s="188">
        <v>1</v>
      </c>
      <c r="B364" s="22" t="s">
        <v>4595</v>
      </c>
      <c r="C364" s="22">
        <v>365</v>
      </c>
      <c r="D364" s="22">
        <v>6</v>
      </c>
      <c r="E364" s="222">
        <v>43807</v>
      </c>
      <c r="F364" s="121" t="str">
        <f>HYPERLINK("https://megapolitan.kompas.com/read/2019/08/12/17100031/polisi-buru-pelaku-pelecehan-seksual-di-bintaro-mulai-dari-rumah-hingga ","sumber")</f>
        <v>sumber</v>
      </c>
      <c r="G364" s="22" t="s">
        <v>1</v>
      </c>
      <c r="H364" s="22">
        <v>222</v>
      </c>
      <c r="I364" s="22">
        <v>1</v>
      </c>
      <c r="J364" s="22">
        <v>1</v>
      </c>
      <c r="K364" s="123" t="s">
        <v>4596</v>
      </c>
      <c r="L364" s="22">
        <v>0</v>
      </c>
      <c r="M364" s="22">
        <v>-1</v>
      </c>
      <c r="N364" s="22">
        <v>-1</v>
      </c>
      <c r="O364" s="22">
        <v>1</v>
      </c>
      <c r="P364" s="22">
        <v>0</v>
      </c>
      <c r="Q364" s="22" t="s">
        <v>21</v>
      </c>
      <c r="R364" s="22" t="s">
        <v>1552</v>
      </c>
      <c r="S364" s="134"/>
      <c r="T364" s="22">
        <v>0</v>
      </c>
      <c r="U364" s="22">
        <v>0</v>
      </c>
      <c r="V364" s="22">
        <v>0</v>
      </c>
      <c r="W364" s="23"/>
      <c r="X364" s="23"/>
      <c r="Y364" s="23"/>
    </row>
    <row r="365" spans="1:25" ht="13.2">
      <c r="A365" s="21">
        <v>2</v>
      </c>
      <c r="B365" s="25" t="s">
        <v>1729</v>
      </c>
      <c r="C365" s="25">
        <v>366</v>
      </c>
      <c r="D365" s="25">
        <v>4</v>
      </c>
      <c r="E365" s="25" t="s">
        <v>2055</v>
      </c>
      <c r="F365" s="115" t="str">
        <f>HYPERLINK("https://www.liputan6.com/global/read/4036256/disidang-pelaku-serangan-teroris-masjid-di-norwegia-mengaku-tak-bersalah ","sumber")</f>
        <v>sumber</v>
      </c>
      <c r="G365" s="25" t="s">
        <v>1</v>
      </c>
      <c r="H365" s="25">
        <v>586</v>
      </c>
      <c r="I365" s="26"/>
      <c r="J365" s="26"/>
      <c r="K365" s="124"/>
      <c r="L365" s="26"/>
      <c r="M365" s="26"/>
      <c r="N365" s="26"/>
      <c r="O365" s="26"/>
      <c r="P365" s="26"/>
      <c r="Q365" s="26"/>
      <c r="R365" s="26"/>
      <c r="S365" s="124"/>
      <c r="T365" s="26"/>
      <c r="U365" s="26"/>
      <c r="V365" s="26"/>
      <c r="W365" s="26"/>
      <c r="X365" s="26"/>
      <c r="Y365" s="26"/>
    </row>
    <row r="366" spans="1:25" ht="14.4">
      <c r="A366" s="211">
        <v>1</v>
      </c>
      <c r="B366" s="46" t="s">
        <v>4597</v>
      </c>
      <c r="C366" s="33">
        <v>367</v>
      </c>
      <c r="D366" s="33">
        <v>2</v>
      </c>
      <c r="E366" s="33" t="s">
        <v>278</v>
      </c>
      <c r="F366" s="130" t="str">
        <f>HYPERLINK("https://www.cnnindonesia.com/nasional/20190826185125-20-424795/idi-jatim-soroti-ketiadaan-kompetensi-pelaksanaan-kebiri ","sumber")</f>
        <v>sumber</v>
      </c>
      <c r="G366" s="33" t="s">
        <v>1</v>
      </c>
      <c r="H366" s="33">
        <v>166</v>
      </c>
      <c r="I366" s="33">
        <v>4</v>
      </c>
      <c r="J366" s="33">
        <v>1</v>
      </c>
      <c r="K366" s="131" t="s">
        <v>4598</v>
      </c>
      <c r="L366" s="33">
        <v>0</v>
      </c>
      <c r="M366" s="33">
        <v>0</v>
      </c>
      <c r="N366" s="132">
        <v>0</v>
      </c>
      <c r="O366" s="33">
        <v>0</v>
      </c>
      <c r="P366" s="33">
        <v>0</v>
      </c>
      <c r="Q366" s="33" t="s">
        <v>21</v>
      </c>
      <c r="R366" s="33" t="s">
        <v>1416</v>
      </c>
      <c r="S366" s="133"/>
      <c r="T366" s="33">
        <v>0</v>
      </c>
      <c r="U366" s="33">
        <v>0</v>
      </c>
      <c r="V366" s="33">
        <v>1</v>
      </c>
      <c r="W366" s="24"/>
      <c r="X366" s="24"/>
      <c r="Y366" s="24"/>
    </row>
    <row r="367" spans="1:25" ht="13.2">
      <c r="A367" s="21">
        <v>2</v>
      </c>
      <c r="B367" s="25" t="s">
        <v>4599</v>
      </c>
      <c r="C367" s="25">
        <v>368</v>
      </c>
      <c r="D367" s="26"/>
      <c r="E367" s="25" t="s">
        <v>2437</v>
      </c>
      <c r="F367" s="115" t="str">
        <f>HYPERLINK("https://nasional.republika.co.id/berita/pwh8xt428/wiranto-ada-pernyataan-negatif-soal-pelecehan-bendera ","sumber")</f>
        <v>sumber</v>
      </c>
      <c r="G367" s="25" t="s">
        <v>1</v>
      </c>
      <c r="H367" s="25">
        <v>87</v>
      </c>
      <c r="I367" s="26"/>
      <c r="J367" s="26"/>
      <c r="K367" s="124"/>
      <c r="L367" s="26"/>
      <c r="M367" s="26"/>
      <c r="N367" s="26"/>
      <c r="O367" s="26"/>
      <c r="P367" s="26"/>
      <c r="Q367" s="26"/>
      <c r="R367" s="26"/>
      <c r="S367" s="124"/>
      <c r="T367" s="26"/>
      <c r="U367" s="26"/>
      <c r="V367" s="26"/>
      <c r="W367" s="26"/>
      <c r="X367" s="26"/>
      <c r="Y367" s="26"/>
    </row>
    <row r="368" spans="1:25" ht="14.4">
      <c r="A368" s="148">
        <v>1</v>
      </c>
      <c r="B368" s="149" t="s">
        <v>4600</v>
      </c>
      <c r="C368" s="33">
        <v>369</v>
      </c>
      <c r="D368" s="33">
        <v>8</v>
      </c>
      <c r="E368" s="33" t="s">
        <v>2444</v>
      </c>
      <c r="F368" s="130" t="str">
        <f>HYPERLINK("https://www.suara.com/health/2019/08/28/163000/pro-kontra-kebiri-kimia-pada-predator-anak-ini-dampak-jangka-panjangnya ","sumber")</f>
        <v>sumber</v>
      </c>
      <c r="G368" s="33" t="s">
        <v>1</v>
      </c>
      <c r="H368" s="33">
        <v>226</v>
      </c>
      <c r="I368" s="33">
        <v>4</v>
      </c>
      <c r="J368" s="33">
        <v>1</v>
      </c>
      <c r="K368" s="131" t="s">
        <v>4601</v>
      </c>
      <c r="L368" s="33">
        <v>0</v>
      </c>
      <c r="M368" s="33">
        <v>0</v>
      </c>
      <c r="N368" s="132">
        <v>0</v>
      </c>
      <c r="O368" s="33">
        <v>0</v>
      </c>
      <c r="P368" s="33">
        <v>0</v>
      </c>
      <c r="Q368" s="33">
        <v>0</v>
      </c>
      <c r="R368" s="33">
        <v>1</v>
      </c>
      <c r="S368" s="133"/>
      <c r="T368" s="33">
        <v>0</v>
      </c>
      <c r="U368" s="33">
        <v>0</v>
      </c>
      <c r="V368" s="33">
        <v>1</v>
      </c>
      <c r="W368" s="24"/>
      <c r="X368" s="24"/>
      <c r="Y368" s="24"/>
    </row>
    <row r="369" spans="1:25" ht="14.4">
      <c r="A369" s="211">
        <v>1</v>
      </c>
      <c r="B369" s="46" t="s">
        <v>4602</v>
      </c>
      <c r="C369" s="33">
        <v>370</v>
      </c>
      <c r="D369" s="33">
        <v>4</v>
      </c>
      <c r="E369" s="33" t="s">
        <v>274</v>
      </c>
      <c r="F369" s="130" t="str">
        <f>HYPERLINK("https://www.liputan6.com/news/read/4046460/kejaksaan-mencari-eksekutor-kebiri-kimia-terhadap-pemerkosa-12-bocah-di-mojokerto ","sumber")</f>
        <v>sumber</v>
      </c>
      <c r="G369" s="33" t="s">
        <v>1</v>
      </c>
      <c r="H369" s="132">
        <v>871</v>
      </c>
      <c r="I369" s="33">
        <v>1</v>
      </c>
      <c r="J369" s="33">
        <v>1</v>
      </c>
      <c r="K369" s="131" t="s">
        <v>4603</v>
      </c>
      <c r="L369" s="33">
        <v>0</v>
      </c>
      <c r="M369" s="33">
        <v>-1</v>
      </c>
      <c r="N369" s="33">
        <v>0</v>
      </c>
      <c r="O369" s="33">
        <v>0</v>
      </c>
      <c r="P369" s="33">
        <v>0</v>
      </c>
      <c r="Q369" s="131" t="s">
        <v>855</v>
      </c>
      <c r="R369" s="131" t="s">
        <v>4604</v>
      </c>
      <c r="S369" s="133"/>
      <c r="T369" s="33">
        <v>0</v>
      </c>
      <c r="U369" s="33">
        <v>0</v>
      </c>
      <c r="V369" s="33">
        <v>1</v>
      </c>
      <c r="W369" s="24"/>
      <c r="X369" s="24"/>
      <c r="Y369" s="24"/>
    </row>
    <row r="370" spans="1:25" ht="13.2">
      <c r="A370" s="21">
        <v>2</v>
      </c>
      <c r="B370" s="25" t="s">
        <v>4605</v>
      </c>
      <c r="C370" s="25">
        <v>371</v>
      </c>
      <c r="D370" s="26"/>
      <c r="E370" s="25" t="s">
        <v>274</v>
      </c>
      <c r="F370" s="115" t="str">
        <f>HYPERLINK("https://nasional.republika.co.id/berita/pwqil818000/pelantikan-wakil-rakyat-kbb-akan-dilakukan-di-hotel-bintang-5 ","sumber")</f>
        <v>sumber</v>
      </c>
      <c r="G370" s="25" t="s">
        <v>1</v>
      </c>
      <c r="H370" s="25">
        <v>267</v>
      </c>
      <c r="I370" s="26"/>
      <c r="J370" s="26"/>
      <c r="K370" s="124"/>
      <c r="L370" s="26"/>
      <c r="M370" s="26"/>
      <c r="N370" s="26"/>
      <c r="O370" s="26"/>
      <c r="P370" s="26"/>
      <c r="Q370" s="26"/>
      <c r="R370" s="26"/>
      <c r="S370" s="124"/>
      <c r="T370" s="26"/>
      <c r="U370" s="26"/>
      <c r="V370" s="26"/>
      <c r="W370" s="26"/>
      <c r="X370" s="26"/>
      <c r="Y370" s="26"/>
    </row>
    <row r="371" spans="1:25" ht="13.2">
      <c r="A371" s="188">
        <v>1</v>
      </c>
      <c r="B371" s="22" t="s">
        <v>4606</v>
      </c>
      <c r="C371" s="22">
        <v>372</v>
      </c>
      <c r="D371" s="22">
        <v>10</v>
      </c>
      <c r="E371" s="22" t="s">
        <v>274</v>
      </c>
      <c r="F371" s="121" t="str">
        <f>HYPERLINK("https://dunia.tempo.co/read/1239938/laki-laki-yang-bantu-tki-korban-perkosaan-diberi-uang-suap ","sumber")</f>
        <v>sumber</v>
      </c>
      <c r="G371" s="22" t="s">
        <v>1</v>
      </c>
      <c r="H371" s="22">
        <v>219</v>
      </c>
      <c r="I371" s="22">
        <v>1</v>
      </c>
      <c r="J371" s="22">
        <v>1</v>
      </c>
      <c r="K371" s="123" t="s">
        <v>4607</v>
      </c>
      <c r="L371" s="22">
        <v>0</v>
      </c>
      <c r="M371" s="22">
        <v>-1</v>
      </c>
      <c r="N371" s="125">
        <v>0</v>
      </c>
      <c r="O371" s="22">
        <v>0</v>
      </c>
      <c r="P371" s="22">
        <v>0</v>
      </c>
      <c r="Q371" s="22">
        <v>0</v>
      </c>
      <c r="R371" s="22">
        <v>1</v>
      </c>
      <c r="S371" s="134"/>
      <c r="T371" s="22">
        <v>0</v>
      </c>
      <c r="U371" s="22">
        <v>0</v>
      </c>
      <c r="V371" s="22">
        <v>0</v>
      </c>
      <c r="W371" s="23"/>
      <c r="X371" s="23"/>
      <c r="Y371" s="23"/>
    </row>
    <row r="372" spans="1:25" ht="13.2">
      <c r="A372" s="188">
        <v>1</v>
      </c>
      <c r="B372" s="22" t="s">
        <v>4608</v>
      </c>
      <c r="C372" s="22">
        <v>373</v>
      </c>
      <c r="D372" s="22">
        <v>5</v>
      </c>
      <c r="E372" s="22" t="s">
        <v>278</v>
      </c>
      <c r="F372" s="121" t="str">
        <f>HYPERLINK("https://tirto.id/dpr-dukung-hukum-kebiri-kimia-agar-anak-tak-jadi-korban-seksual-eg3U ","sumber")</f>
        <v>sumber</v>
      </c>
      <c r="G372" s="22" t="s">
        <v>1</v>
      </c>
      <c r="H372" s="22">
        <v>471</v>
      </c>
      <c r="I372" s="22">
        <v>4</v>
      </c>
      <c r="J372" s="22">
        <v>1</v>
      </c>
      <c r="K372" s="123" t="s">
        <v>4609</v>
      </c>
      <c r="L372" s="22">
        <v>0</v>
      </c>
      <c r="M372" s="22">
        <v>0</v>
      </c>
      <c r="N372" s="125">
        <v>0</v>
      </c>
      <c r="O372" s="22">
        <v>0</v>
      </c>
      <c r="P372" s="22">
        <v>0</v>
      </c>
      <c r="Q372" s="22" t="s">
        <v>29</v>
      </c>
      <c r="R372" s="22" t="s">
        <v>160</v>
      </c>
      <c r="S372" s="134"/>
      <c r="T372" s="22">
        <v>0</v>
      </c>
      <c r="U372" s="22">
        <v>0</v>
      </c>
      <c r="V372" s="22">
        <v>1</v>
      </c>
      <c r="W372" s="23"/>
      <c r="X372" s="23"/>
      <c r="Y372" s="23"/>
    </row>
    <row r="373" spans="1:25" ht="14.4">
      <c r="A373" s="211">
        <v>1</v>
      </c>
      <c r="B373" s="46" t="s">
        <v>4610</v>
      </c>
      <c r="C373" s="33">
        <v>374</v>
      </c>
      <c r="D373" s="33">
        <v>6</v>
      </c>
      <c r="E373" s="33" t="s">
        <v>271</v>
      </c>
      <c r="F373" s="130" t="str">
        <f>HYPERLINK("https://regional.kompas.com/read/2019/08/14/07493511/grab-tawarkan-layanan-psikososial-ke-korban-pelecehan-driver-ojol-di ","sumber")</f>
        <v>sumber</v>
      </c>
      <c r="G373" s="33" t="s">
        <v>1</v>
      </c>
      <c r="H373" s="33">
        <v>251</v>
      </c>
      <c r="I373" s="33">
        <v>4</v>
      </c>
      <c r="J373" s="33">
        <v>1</v>
      </c>
      <c r="K373" s="131" t="s">
        <v>4611</v>
      </c>
      <c r="L373" s="33">
        <v>0</v>
      </c>
      <c r="M373" s="33">
        <v>0</v>
      </c>
      <c r="N373" s="132">
        <v>0</v>
      </c>
      <c r="O373" s="33">
        <v>0</v>
      </c>
      <c r="P373" s="33">
        <v>0</v>
      </c>
      <c r="Q373" s="33">
        <v>0</v>
      </c>
      <c r="R373" s="33">
        <v>1</v>
      </c>
      <c r="S373" s="133"/>
      <c r="T373" s="33">
        <v>0</v>
      </c>
      <c r="U373" s="33">
        <v>0</v>
      </c>
      <c r="V373" s="33">
        <v>1</v>
      </c>
      <c r="W373" s="24"/>
      <c r="X373" s="24"/>
      <c r="Y373" s="24"/>
    </row>
    <row r="374" spans="1:25" ht="13.2">
      <c r="A374" s="188">
        <v>1</v>
      </c>
      <c r="B374" s="22" t="s">
        <v>4612</v>
      </c>
      <c r="C374" s="22">
        <v>375</v>
      </c>
      <c r="D374" s="22">
        <v>7</v>
      </c>
      <c r="E374" s="22" t="s">
        <v>2444</v>
      </c>
      <c r="F374" s="121" t="str">
        <f>HYPERLINK("https://www.tribunnews.com/regional/2019/08/28/karni-ilyas-minta-diterjemahkan-setelah-kakak-pelaku-pemerkosaan-9-anak-ucapkan-pernyataan-berikut ","sumber")</f>
        <v>sumber</v>
      </c>
      <c r="G374" s="22" t="s">
        <v>1</v>
      </c>
      <c r="H374" s="22">
        <v>166</v>
      </c>
      <c r="I374" s="22">
        <v>1</v>
      </c>
      <c r="J374" s="22">
        <v>1</v>
      </c>
      <c r="K374" s="123" t="s">
        <v>4613</v>
      </c>
      <c r="L374" s="22">
        <v>-1</v>
      </c>
      <c r="M374" s="22">
        <v>1</v>
      </c>
      <c r="N374" s="125">
        <v>0</v>
      </c>
      <c r="O374" s="22">
        <v>1</v>
      </c>
      <c r="P374" s="22">
        <v>0</v>
      </c>
      <c r="Q374" s="22" t="s">
        <v>29</v>
      </c>
      <c r="R374" s="22" t="s">
        <v>29</v>
      </c>
      <c r="S374" s="134"/>
      <c r="T374" s="22">
        <v>0</v>
      </c>
      <c r="U374" s="22">
        <v>0</v>
      </c>
      <c r="V374" s="22">
        <v>0</v>
      </c>
      <c r="W374" s="23"/>
      <c r="X374" s="23"/>
      <c r="Y374" s="23"/>
    </row>
    <row r="375" spans="1:25" ht="13.2">
      <c r="A375" s="188">
        <v>1</v>
      </c>
      <c r="B375" s="22" t="s">
        <v>4614</v>
      </c>
      <c r="C375" s="22">
        <v>376</v>
      </c>
      <c r="D375" s="22">
        <v>2</v>
      </c>
      <c r="E375" s="22" t="s">
        <v>2060</v>
      </c>
      <c r="F375" s="121" t="str">
        <f>HYPERLINK("https://www.cnnindonesia.com/nasional/20190830201543-12-426268/polisi-selidiki-pelecehan-seksual-jalanan-di-tangerang ","sumber")</f>
        <v>sumber</v>
      </c>
      <c r="G375" s="22" t="s">
        <v>1</v>
      </c>
      <c r="H375" s="22">
        <v>337</v>
      </c>
      <c r="I375" s="22">
        <v>1</v>
      </c>
      <c r="J375" s="22">
        <v>1</v>
      </c>
      <c r="K375" s="123" t="s">
        <v>4615</v>
      </c>
      <c r="L375" s="22">
        <v>0</v>
      </c>
      <c r="M375" s="22">
        <v>-1</v>
      </c>
      <c r="N375" s="125">
        <v>0</v>
      </c>
      <c r="O375" s="22">
        <v>1</v>
      </c>
      <c r="P375" s="22">
        <v>0</v>
      </c>
      <c r="Q375" s="22">
        <v>0</v>
      </c>
      <c r="R375" s="22">
        <v>1</v>
      </c>
      <c r="S375" s="134"/>
      <c r="T375" s="22">
        <v>0</v>
      </c>
      <c r="U375" s="22">
        <v>0</v>
      </c>
      <c r="V375" s="22">
        <v>0</v>
      </c>
      <c r="W375" s="23"/>
      <c r="X375" s="23"/>
      <c r="Y375" s="23"/>
    </row>
    <row r="376" spans="1:25" ht="14.4">
      <c r="A376" s="211">
        <v>1</v>
      </c>
      <c r="B376" s="46" t="s">
        <v>1748</v>
      </c>
      <c r="C376" s="33">
        <v>377</v>
      </c>
      <c r="D376" s="33">
        <v>1</v>
      </c>
      <c r="E376" s="288">
        <v>43746</v>
      </c>
      <c r="F376" s="130" t="str">
        <f>HYPERLINK("https://news.detik.com/berita/d-4660377/kpai-desak-polisi-tangkap-pelaku-begal-payudara-di-bintaro-tangsel ","sumber")</f>
        <v>sumber</v>
      </c>
      <c r="G376" s="33" t="s">
        <v>1</v>
      </c>
      <c r="H376" s="33">
        <v>297</v>
      </c>
      <c r="I376" s="33">
        <v>4</v>
      </c>
      <c r="J376" s="33">
        <v>1</v>
      </c>
      <c r="K376" s="131" t="s">
        <v>4616</v>
      </c>
      <c r="L376" s="33">
        <v>0</v>
      </c>
      <c r="M376" s="33">
        <v>0</v>
      </c>
      <c r="N376" s="132">
        <v>0</v>
      </c>
      <c r="O376" s="33">
        <v>1</v>
      </c>
      <c r="P376" s="33">
        <v>0</v>
      </c>
      <c r="Q376" s="33">
        <v>1</v>
      </c>
      <c r="R376" s="33">
        <v>1</v>
      </c>
      <c r="S376" s="133"/>
      <c r="T376" s="33">
        <v>0</v>
      </c>
      <c r="U376" s="33">
        <v>0</v>
      </c>
      <c r="V376" s="33">
        <v>1</v>
      </c>
      <c r="W376" s="24"/>
      <c r="X376" s="24"/>
      <c r="Y376" s="24"/>
    </row>
    <row r="377" spans="1:25" ht="13.2">
      <c r="A377" s="188">
        <v>1</v>
      </c>
      <c r="B377" s="22" t="s">
        <v>4617</v>
      </c>
      <c r="C377" s="22">
        <v>378</v>
      </c>
      <c r="D377" s="22">
        <v>8</v>
      </c>
      <c r="E377" s="22" t="s">
        <v>2060</v>
      </c>
      <c r="F377" s="121" t="str">
        <f>HYPERLINK("https://www.suara.com/entertainment/2019/08/31/174045/bila-hidupnya-tinggal-1-menit-nikita-mirzani-bakal-lakukan-ini ","sumber")</f>
        <v>sumber</v>
      </c>
      <c r="G377" s="22" t="s">
        <v>1</v>
      </c>
      <c r="H377" s="22">
        <v>468</v>
      </c>
      <c r="I377" s="22">
        <v>2</v>
      </c>
      <c r="J377" s="22">
        <v>1</v>
      </c>
      <c r="K377" s="123" t="s">
        <v>4618</v>
      </c>
      <c r="L377" s="22">
        <v>0</v>
      </c>
      <c r="M377" s="22">
        <v>0</v>
      </c>
      <c r="N377" s="125">
        <v>0</v>
      </c>
      <c r="O377" s="22">
        <v>0</v>
      </c>
      <c r="P377" s="22">
        <v>0</v>
      </c>
      <c r="Q377" s="22">
        <v>2</v>
      </c>
      <c r="R377" s="22">
        <v>1</v>
      </c>
      <c r="S377" s="134"/>
      <c r="T377" s="22">
        <v>0</v>
      </c>
      <c r="U377" s="22">
        <v>0</v>
      </c>
      <c r="V377" s="22">
        <v>0</v>
      </c>
      <c r="W377" s="23"/>
      <c r="X377" s="23"/>
      <c r="Y377" s="23"/>
    </row>
    <row r="378" spans="1:25" ht="14.4">
      <c r="A378" s="211">
        <v>1</v>
      </c>
      <c r="B378" s="46" t="s">
        <v>4619</v>
      </c>
      <c r="C378" s="33">
        <v>379</v>
      </c>
      <c r="D378" s="33">
        <v>6</v>
      </c>
      <c r="E378" s="288">
        <v>43474</v>
      </c>
      <c r="F378" s="130" t="str">
        <f>HYPERLINK("https://regional.kompas.com/read/2019/09/01/18261141/baru-keluar-dari-penjara-seorang-ayah-perkosa-anak-tiri-berumur-12-tahun ","sumber")</f>
        <v>sumber</v>
      </c>
      <c r="G378" s="33" t="s">
        <v>1</v>
      </c>
      <c r="H378" s="33">
        <v>136</v>
      </c>
      <c r="I378" s="33">
        <v>1</v>
      </c>
      <c r="J378" s="33">
        <v>1</v>
      </c>
      <c r="K378" s="131" t="s">
        <v>4620</v>
      </c>
      <c r="L378" s="33">
        <v>0</v>
      </c>
      <c r="M378" s="33">
        <v>-1</v>
      </c>
      <c r="N378" s="132">
        <v>0</v>
      </c>
      <c r="O378" s="33">
        <v>1</v>
      </c>
      <c r="P378" s="33">
        <v>0</v>
      </c>
      <c r="Q378" s="33">
        <v>0</v>
      </c>
      <c r="R378" s="33">
        <v>1</v>
      </c>
      <c r="S378" s="133"/>
      <c r="T378" s="33">
        <v>0</v>
      </c>
      <c r="U378" s="33">
        <v>0</v>
      </c>
      <c r="V378" s="33">
        <v>0</v>
      </c>
      <c r="W378" s="24"/>
      <c r="X378" s="24"/>
      <c r="Y378" s="24"/>
    </row>
    <row r="379" spans="1:25" ht="13.2">
      <c r="A379" s="188">
        <v>1</v>
      </c>
      <c r="B379" s="22" t="s">
        <v>4621</v>
      </c>
      <c r="C379" s="22">
        <v>380</v>
      </c>
      <c r="D379" s="22">
        <v>3</v>
      </c>
      <c r="E379" s="222">
        <v>43474</v>
      </c>
      <c r="F379" s="121" t="str">
        <f>HYPERLINK("https://index.okezone.com/read/2019/09/01/612/2099131/pernah-alami-pelecehan-seksual-chia-labrak-pria-ejakulasi-di-transjakarta ","sumber")</f>
        <v>sumber</v>
      </c>
      <c r="G379" s="22" t="s">
        <v>1</v>
      </c>
      <c r="H379" s="22">
        <v>1002</v>
      </c>
      <c r="I379" s="22">
        <v>2</v>
      </c>
      <c r="J379" s="22">
        <v>1</v>
      </c>
      <c r="K379" s="123" t="s">
        <v>4622</v>
      </c>
      <c r="L379" s="22">
        <v>0</v>
      </c>
      <c r="M379" s="22">
        <v>0</v>
      </c>
      <c r="N379" s="125">
        <v>0</v>
      </c>
      <c r="O379" s="22">
        <v>1</v>
      </c>
      <c r="P379" s="22">
        <v>-1</v>
      </c>
      <c r="Q379" s="22">
        <v>2</v>
      </c>
      <c r="R379" s="22">
        <v>1</v>
      </c>
      <c r="S379" s="134"/>
      <c r="T379" s="22">
        <v>0</v>
      </c>
      <c r="U379" s="22">
        <v>0</v>
      </c>
      <c r="V379" s="22">
        <v>1</v>
      </c>
      <c r="W379" s="23"/>
      <c r="X379" s="23"/>
      <c r="Y379" s="23"/>
    </row>
    <row r="380" spans="1:25" ht="13.2">
      <c r="A380" s="188">
        <v>1</v>
      </c>
      <c r="B380" s="22" t="s">
        <v>4623</v>
      </c>
      <c r="C380" s="22">
        <v>381</v>
      </c>
      <c r="D380" s="22">
        <v>9</v>
      </c>
      <c r="E380" s="222">
        <v>43474</v>
      </c>
      <c r="F380" s="121" t="str">
        <f>HYPERLINK("https://nasional.republika.co.id/berita/px5gay383/polisi-selidiki-kasus-pembunuhan-sadis-gadis-baduy ","sumber")</f>
        <v>sumber</v>
      </c>
      <c r="G380" s="22" t="s">
        <v>1</v>
      </c>
      <c r="H380" s="22">
        <v>46</v>
      </c>
      <c r="I380" s="22">
        <v>1</v>
      </c>
      <c r="J380" s="22">
        <v>1</v>
      </c>
      <c r="K380" s="123" t="s">
        <v>4624</v>
      </c>
      <c r="L380" s="22">
        <v>0</v>
      </c>
      <c r="M380" s="22">
        <v>-1</v>
      </c>
      <c r="N380" s="125">
        <v>0</v>
      </c>
      <c r="O380" s="22">
        <v>1</v>
      </c>
      <c r="P380" s="22">
        <v>0</v>
      </c>
      <c r="Q380" s="22">
        <v>0</v>
      </c>
      <c r="R380" s="22">
        <v>1</v>
      </c>
      <c r="S380" s="134"/>
      <c r="T380" s="22">
        <v>0</v>
      </c>
      <c r="U380" s="22">
        <v>0</v>
      </c>
      <c r="V380" s="22">
        <v>0</v>
      </c>
      <c r="W380" s="23"/>
      <c r="X380" s="23"/>
      <c r="Y380" s="23"/>
    </row>
    <row r="381" spans="1:25" ht="13.2">
      <c r="A381" s="188">
        <v>1</v>
      </c>
      <c r="B381" s="22" t="s">
        <v>4625</v>
      </c>
      <c r="C381" s="22">
        <v>382</v>
      </c>
      <c r="D381" s="22">
        <v>10</v>
      </c>
      <c r="E381" s="222">
        <v>43474</v>
      </c>
      <c r="F381" s="121" t="str">
        <f>HYPERLINK("https://metro.tempo.co/read/1242494/disebut-pelacur-nikita-mirzani-laporkan-poppy-maretha-ke-polisi ","sumber")</f>
        <v>sumber</v>
      </c>
      <c r="G381" s="22" t="s">
        <v>1</v>
      </c>
      <c r="H381" s="22">
        <v>352</v>
      </c>
      <c r="I381" s="22">
        <v>1</v>
      </c>
      <c r="J381" s="22">
        <v>1</v>
      </c>
      <c r="K381" s="123" t="s">
        <v>4626</v>
      </c>
      <c r="L381" s="22">
        <v>0</v>
      </c>
      <c r="M381" s="22">
        <v>-1</v>
      </c>
      <c r="N381" s="125">
        <v>0</v>
      </c>
      <c r="O381" s="22">
        <v>0</v>
      </c>
      <c r="P381" s="22">
        <v>0</v>
      </c>
      <c r="Q381" s="22">
        <v>0</v>
      </c>
      <c r="R381" s="22">
        <v>1</v>
      </c>
      <c r="S381" s="134"/>
      <c r="T381" s="22">
        <v>0</v>
      </c>
      <c r="U381" s="22">
        <v>0</v>
      </c>
      <c r="V381" s="22">
        <v>0</v>
      </c>
      <c r="W381" s="23"/>
      <c r="X381" s="23"/>
      <c r="Y381" s="23"/>
    </row>
    <row r="382" spans="1:25" ht="13.2">
      <c r="A382" s="209">
        <v>1</v>
      </c>
      <c r="B382" s="132" t="s">
        <v>4627</v>
      </c>
      <c r="C382" s="33">
        <v>383</v>
      </c>
      <c r="D382" s="33">
        <v>7</v>
      </c>
      <c r="E382" s="288">
        <v>43474</v>
      </c>
      <c r="F382" s="130" t="str">
        <f>HYPERLINK("https://www.tribunnews.com/nasional/2019/09/01/viral-video-bocah-10-tahun-dicabuli-di-bogor-modus-tanya-alamat-polisi-imbau-tak-sebar-foto-korban ","sumber")</f>
        <v>sumber</v>
      </c>
      <c r="G382" s="33" t="s">
        <v>1</v>
      </c>
      <c r="H382" s="33">
        <v>284</v>
      </c>
      <c r="I382" s="33">
        <v>1</v>
      </c>
      <c r="J382" s="33">
        <v>1</v>
      </c>
      <c r="K382" s="131" t="s">
        <v>4628</v>
      </c>
      <c r="L382" s="33">
        <v>0</v>
      </c>
      <c r="M382" s="33">
        <v>-1</v>
      </c>
      <c r="N382" s="33">
        <v>-1</v>
      </c>
      <c r="O382" s="33">
        <v>-1</v>
      </c>
      <c r="P382" s="33">
        <v>-1</v>
      </c>
      <c r="Q382" s="33" t="s">
        <v>21</v>
      </c>
      <c r="R382" s="33" t="s">
        <v>837</v>
      </c>
      <c r="S382" s="131" t="s">
        <v>4629</v>
      </c>
      <c r="T382" s="33">
        <v>1</v>
      </c>
      <c r="U382" s="33">
        <v>0</v>
      </c>
      <c r="V382" s="33">
        <v>0</v>
      </c>
      <c r="W382" s="24"/>
      <c r="X382" s="24"/>
      <c r="Y382" s="24"/>
    </row>
    <row r="383" spans="1:25" ht="13.2">
      <c r="A383" s="21">
        <v>2</v>
      </c>
      <c r="B383" s="25" t="s">
        <v>3790</v>
      </c>
      <c r="C383" s="25">
        <v>384</v>
      </c>
      <c r="D383" s="26"/>
      <c r="E383" s="26"/>
      <c r="F383" s="115" t="str">
        <f>HYPERLINK("https://www.cnnindonesia.com/olahraga/20190902042736-142-426654/psg-larang-fan-ejek-neymar ","sumber")</f>
        <v>sumber</v>
      </c>
      <c r="G383" s="25" t="s">
        <v>1</v>
      </c>
      <c r="H383" s="25">
        <v>245</v>
      </c>
      <c r="I383" s="26"/>
      <c r="J383" s="26"/>
      <c r="K383" s="124"/>
      <c r="L383" s="26"/>
      <c r="M383" s="26"/>
      <c r="N383" s="26"/>
      <c r="O383" s="26"/>
      <c r="P383" s="26"/>
      <c r="Q383" s="26"/>
      <c r="R383" s="26"/>
      <c r="S383" s="124"/>
      <c r="T383" s="26"/>
      <c r="U383" s="26"/>
      <c r="V383" s="26"/>
      <c r="W383" s="26"/>
      <c r="X383" s="26"/>
      <c r="Y383" s="26"/>
    </row>
    <row r="384" spans="1:25" ht="13.2">
      <c r="A384" s="188">
        <v>1</v>
      </c>
      <c r="B384" s="22" t="s">
        <v>4630</v>
      </c>
      <c r="C384" s="22">
        <v>385</v>
      </c>
      <c r="D384" s="22">
        <v>3</v>
      </c>
      <c r="E384" s="222">
        <v>43505</v>
      </c>
      <c r="F384" s="121" t="str">
        <f>HYPERLINK("https://celebrity.okezone.com/read/2019/09/02/33/2099556/ayah-vanessa-angel-malu-lihat-putrinya-umbar-pose-seksi-di-media-sosial ","sumber")</f>
        <v>sumber</v>
      </c>
      <c r="G384" s="22" t="s">
        <v>1</v>
      </c>
      <c r="H384" s="22">
        <v>351</v>
      </c>
      <c r="I384" s="22">
        <v>1</v>
      </c>
      <c r="J384" s="22">
        <v>1</v>
      </c>
      <c r="K384" s="123" t="s">
        <v>4631</v>
      </c>
      <c r="L384" s="22">
        <v>0</v>
      </c>
      <c r="M384" s="22">
        <v>-1</v>
      </c>
      <c r="N384" s="125">
        <v>0</v>
      </c>
      <c r="O384" s="22">
        <v>0</v>
      </c>
      <c r="P384" s="22">
        <v>0</v>
      </c>
      <c r="Q384" s="22">
        <v>0</v>
      </c>
      <c r="R384" s="22">
        <v>-1</v>
      </c>
      <c r="S384" s="134"/>
      <c r="T384" s="22">
        <v>0</v>
      </c>
      <c r="U384" s="22">
        <v>0</v>
      </c>
      <c r="V384" s="22">
        <v>1</v>
      </c>
      <c r="W384" s="23"/>
      <c r="X384" s="23"/>
      <c r="Y384" s="23"/>
    </row>
    <row r="385" spans="1:25" ht="13.2">
      <c r="A385" s="21">
        <v>2</v>
      </c>
      <c r="B385" s="25" t="s">
        <v>4632</v>
      </c>
      <c r="C385" s="25">
        <v>386</v>
      </c>
      <c r="D385" s="25">
        <v>7</v>
      </c>
      <c r="E385" s="234">
        <v>43505</v>
      </c>
      <c r="F385" s="115" t="str">
        <f>HYPERLINK("https://www.tribunnews.com/seleb/2019/09/02/alasan-elza-syarief-juga-akan-laporkan-hotman-paris-melaney-ricardo-tak-hanya-nikita-mirzani ","sumber")</f>
        <v>sumber</v>
      </c>
      <c r="G385" s="25" t="s">
        <v>1</v>
      </c>
      <c r="H385" s="25">
        <v>155</v>
      </c>
      <c r="I385" s="26"/>
      <c r="J385" s="26"/>
      <c r="K385" s="124"/>
      <c r="L385" s="26"/>
      <c r="M385" s="26"/>
      <c r="N385" s="26"/>
      <c r="O385" s="26"/>
      <c r="P385" s="26"/>
      <c r="Q385" s="26"/>
      <c r="R385" s="26"/>
      <c r="S385" s="124"/>
      <c r="T385" s="26"/>
      <c r="U385" s="26"/>
      <c r="V385" s="26"/>
      <c r="W385" s="26"/>
      <c r="X385" s="26"/>
      <c r="Y385" s="26"/>
    </row>
    <row r="386" spans="1:25" ht="13.2">
      <c r="A386" s="21">
        <v>2</v>
      </c>
      <c r="B386" s="25" t="s">
        <v>4633</v>
      </c>
      <c r="C386" s="25">
        <v>387</v>
      </c>
      <c r="D386" s="26"/>
      <c r="E386" s="234">
        <v>43533</v>
      </c>
      <c r="F386" s="115" t="str">
        <f>HYPERLINK("https://www.cnnindonesia.com/internasional/20190902180223-106-426894/myanmar-janjikan-adili-tentara-yang-membantai-rohingya ","sumber")</f>
        <v>sumber</v>
      </c>
      <c r="G386" s="25" t="s">
        <v>1</v>
      </c>
      <c r="H386" s="25">
        <v>357</v>
      </c>
      <c r="I386" s="26"/>
      <c r="J386" s="26"/>
      <c r="K386" s="124"/>
      <c r="L386" s="26"/>
      <c r="M386" s="26"/>
      <c r="N386" s="26"/>
      <c r="O386" s="26"/>
      <c r="P386" s="26"/>
      <c r="Q386" s="26"/>
      <c r="R386" s="26"/>
      <c r="S386" s="124"/>
      <c r="T386" s="26"/>
      <c r="U386" s="26"/>
      <c r="V386" s="26"/>
      <c r="W386" s="26"/>
      <c r="X386" s="26"/>
      <c r="Y386" s="26"/>
    </row>
    <row r="387" spans="1:25" ht="13.2">
      <c r="A387" s="188">
        <v>1</v>
      </c>
      <c r="B387" s="22" t="s">
        <v>4634</v>
      </c>
      <c r="C387" s="22">
        <v>389</v>
      </c>
      <c r="D387" s="22">
        <v>5</v>
      </c>
      <c r="E387" s="222">
        <v>43533</v>
      </c>
      <c r="F387" s="121" t="str">
        <f>HYPERLINK("https://tirto.id/dampak-psikologis-hubungan-seks-di-luar-nikah-ehrq ","sumber")</f>
        <v>sumber</v>
      </c>
      <c r="G387" s="22" t="s">
        <v>1</v>
      </c>
      <c r="H387" s="22">
        <v>452</v>
      </c>
      <c r="I387" s="22">
        <v>2</v>
      </c>
      <c r="J387" s="22">
        <v>1</v>
      </c>
      <c r="K387" s="123" t="s">
        <v>4635</v>
      </c>
      <c r="L387" s="22">
        <v>0</v>
      </c>
      <c r="M387" s="22">
        <v>0</v>
      </c>
      <c r="N387" s="125">
        <v>0</v>
      </c>
      <c r="O387" s="22">
        <v>0</v>
      </c>
      <c r="P387" s="22">
        <v>0</v>
      </c>
      <c r="Q387" s="22">
        <v>0</v>
      </c>
      <c r="R387" s="22">
        <v>1</v>
      </c>
      <c r="S387" s="134"/>
      <c r="T387" s="22">
        <v>0</v>
      </c>
      <c r="U387" s="22">
        <v>0</v>
      </c>
      <c r="V387" s="22">
        <v>1</v>
      </c>
      <c r="W387" s="23"/>
      <c r="X387" s="23"/>
      <c r="Y387" s="23"/>
    </row>
    <row r="388" spans="1:25" ht="13.2">
      <c r="A388" s="21">
        <v>2</v>
      </c>
      <c r="B388" s="25" t="s">
        <v>4636</v>
      </c>
      <c r="C388" s="25">
        <v>390</v>
      </c>
      <c r="D388" s="26"/>
      <c r="E388" s="234">
        <v>43564</v>
      </c>
      <c r="F388" s="115" t="str">
        <f>HYPERLINK("https://news.okezone.com/read/2019/09/03/18/2100280/skandal-pernikahan-antar-ras-dan-pamflet-yang-mengguncang-india-abad-ke-19 ","sumber")</f>
        <v>sumber</v>
      </c>
      <c r="G388" s="25" t="s">
        <v>1</v>
      </c>
      <c r="H388" s="25">
        <v>776</v>
      </c>
      <c r="I388" s="26"/>
      <c r="J388" s="26"/>
      <c r="K388" s="124"/>
      <c r="L388" s="26"/>
      <c r="M388" s="26"/>
      <c r="N388" s="26"/>
      <c r="O388" s="26"/>
      <c r="P388" s="26"/>
      <c r="Q388" s="26"/>
      <c r="R388" s="26"/>
      <c r="S388" s="124"/>
      <c r="T388" s="26"/>
      <c r="U388" s="26"/>
      <c r="V388" s="26"/>
      <c r="W388" s="26"/>
      <c r="X388" s="26"/>
      <c r="Y388" s="26"/>
    </row>
    <row r="389" spans="1:25" ht="13.2">
      <c r="A389" s="209">
        <v>1</v>
      </c>
      <c r="B389" s="132" t="s">
        <v>4637</v>
      </c>
      <c r="C389" s="33">
        <v>391</v>
      </c>
      <c r="D389" s="33">
        <v>3</v>
      </c>
      <c r="E389" s="33" t="s">
        <v>305</v>
      </c>
      <c r="F389" s="130" t="str">
        <f>HYPERLINK("https://celebrity.okezone.com/read/2019/09/26/33/2109766/atta-halilintar-akhirnya-angkat-suara-jangan-alihkan-isu-ya-mbak ","sumber")</f>
        <v>sumber</v>
      </c>
      <c r="G389" s="33" t="s">
        <v>1</v>
      </c>
      <c r="H389" s="33">
        <v>295</v>
      </c>
      <c r="I389" s="33">
        <v>1</v>
      </c>
      <c r="J389" s="33">
        <v>1</v>
      </c>
      <c r="K389" s="131" t="s">
        <v>4638</v>
      </c>
      <c r="L389" s="33">
        <v>-1</v>
      </c>
      <c r="M389" s="33">
        <v>1</v>
      </c>
      <c r="N389" s="132">
        <v>0</v>
      </c>
      <c r="O389" s="33">
        <v>0</v>
      </c>
      <c r="P389" s="33">
        <v>0</v>
      </c>
      <c r="Q389" s="33" t="s">
        <v>178</v>
      </c>
      <c r="R389" s="33" t="s">
        <v>748</v>
      </c>
      <c r="S389" s="133"/>
      <c r="T389" s="33">
        <v>0</v>
      </c>
      <c r="U389" s="33">
        <v>0</v>
      </c>
      <c r="V389" s="33">
        <v>0</v>
      </c>
      <c r="W389" s="24"/>
      <c r="X389" s="24"/>
      <c r="Y389" s="24"/>
    </row>
    <row r="390" spans="1:25" ht="13.2">
      <c r="A390" s="209">
        <v>1</v>
      </c>
      <c r="B390" s="132" t="s">
        <v>307</v>
      </c>
      <c r="C390" s="33">
        <v>392</v>
      </c>
      <c r="D390" s="33">
        <v>9</v>
      </c>
      <c r="E390" s="33" t="s">
        <v>305</v>
      </c>
      <c r="F390" s="130" t="str">
        <f>HYPERLINK("https://nasional.republika.co.id/berita/pyfoll335/demo-di-cimahi-diwarnai-aksi-selotip-mulut ","sumber")</f>
        <v>sumber</v>
      </c>
      <c r="G390" s="33" t="s">
        <v>1</v>
      </c>
      <c r="H390" s="33">
        <v>300</v>
      </c>
      <c r="I390" s="33">
        <v>3</v>
      </c>
      <c r="J390" s="33">
        <v>1</v>
      </c>
      <c r="K390" s="131" t="s">
        <v>4639</v>
      </c>
      <c r="L390" s="33">
        <v>0</v>
      </c>
      <c r="M390" s="33">
        <v>0</v>
      </c>
      <c r="N390" s="132">
        <v>0</v>
      </c>
      <c r="O390" s="33">
        <v>0</v>
      </c>
      <c r="P390" s="33">
        <v>0</v>
      </c>
      <c r="Q390" s="33" t="s">
        <v>21</v>
      </c>
      <c r="R390" s="33" t="s">
        <v>1046</v>
      </c>
      <c r="S390" s="133"/>
      <c r="T390" s="33">
        <v>0</v>
      </c>
      <c r="U390" s="33">
        <v>0</v>
      </c>
      <c r="V390" s="33">
        <v>1</v>
      </c>
      <c r="W390" s="24"/>
      <c r="X390" s="24"/>
      <c r="Y390" s="24"/>
    </row>
    <row r="391" spans="1:25" ht="13.2">
      <c r="A391" s="21">
        <v>2</v>
      </c>
      <c r="B391" s="25" t="s">
        <v>4640</v>
      </c>
      <c r="C391" s="25">
        <v>393</v>
      </c>
      <c r="D391" s="26"/>
      <c r="E391" s="25" t="s">
        <v>649</v>
      </c>
      <c r="F391" s="115" t="str">
        <f>HYPERLINK("https://www.cnnindonesia.com/gaya-hidup/20190928064300-277-434878/menguak-rahasia-hidup-warga-korea-utara-lewat-vlog ","sumber")</f>
        <v>sumber</v>
      </c>
      <c r="G391" s="25" t="s">
        <v>1</v>
      </c>
      <c r="H391" s="25">
        <v>564</v>
      </c>
      <c r="I391" s="26"/>
      <c r="J391" s="26"/>
      <c r="K391" s="124"/>
      <c r="L391" s="26"/>
      <c r="M391" s="26"/>
      <c r="N391" s="26"/>
      <c r="O391" s="26"/>
      <c r="P391" s="26"/>
      <c r="Q391" s="26"/>
      <c r="R391" s="26"/>
      <c r="S391" s="124"/>
      <c r="T391" s="26"/>
      <c r="U391" s="26"/>
      <c r="V391" s="26"/>
      <c r="W391" s="26"/>
      <c r="X391" s="26"/>
      <c r="Y391" s="26"/>
    </row>
    <row r="392" spans="1:25" ht="13.2">
      <c r="A392" s="21">
        <v>2</v>
      </c>
      <c r="B392" s="25" t="s">
        <v>2655</v>
      </c>
      <c r="C392" s="25">
        <v>394</v>
      </c>
      <c r="D392" s="296">
        <v>5</v>
      </c>
      <c r="E392" s="25" t="s">
        <v>2656</v>
      </c>
      <c r="F392" s="115" t="str">
        <f>HYPERLINK("https://tirto.id/kontras-demo-mujahid-212-dengan-aksi-mahasiswa-eiUo ","sumber")</f>
        <v>sumber</v>
      </c>
      <c r="G392" s="25" t="s">
        <v>1</v>
      </c>
      <c r="H392" s="25">
        <v>631</v>
      </c>
      <c r="I392" s="26"/>
      <c r="J392" s="26"/>
      <c r="K392" s="124"/>
      <c r="L392" s="26"/>
      <c r="M392" s="26"/>
      <c r="N392" s="26"/>
      <c r="O392" s="26"/>
      <c r="P392" s="26"/>
      <c r="Q392" s="26"/>
      <c r="R392" s="26"/>
      <c r="S392" s="124"/>
      <c r="T392" s="26"/>
      <c r="U392" s="26"/>
      <c r="V392" s="26"/>
      <c r="W392" s="26"/>
      <c r="X392" s="26"/>
      <c r="Y392" s="26"/>
    </row>
    <row r="393" spans="1:25" ht="13.2">
      <c r="A393" s="184">
        <v>1</v>
      </c>
      <c r="B393" s="225" t="s">
        <v>4641</v>
      </c>
      <c r="C393" s="22">
        <v>395</v>
      </c>
      <c r="D393" s="22">
        <v>2</v>
      </c>
      <c r="E393" s="222">
        <v>43595</v>
      </c>
      <c r="F393" s="121" t="str">
        <f>HYPERLINK("https://www.cnnindonesia.com/internasional/20191005052701-120-436916/demo-di-irak-60-orang-tewas-ulama-tuntut-pemerintah-mundur ","sumber")</f>
        <v>sumber</v>
      </c>
      <c r="G393" s="22" t="s">
        <v>1</v>
      </c>
      <c r="H393" s="22">
        <v>340</v>
      </c>
      <c r="I393" s="22">
        <v>1</v>
      </c>
      <c r="J393" s="22">
        <v>4</v>
      </c>
      <c r="K393" s="123" t="s">
        <v>4642</v>
      </c>
      <c r="L393" s="22">
        <v>-1</v>
      </c>
      <c r="M393" s="22">
        <v>-1</v>
      </c>
      <c r="N393" s="125">
        <v>0</v>
      </c>
      <c r="O393" s="22">
        <v>0</v>
      </c>
      <c r="P393" s="22">
        <v>0</v>
      </c>
      <c r="Q393" s="22" t="s">
        <v>159</v>
      </c>
      <c r="R393" s="22" t="s">
        <v>160</v>
      </c>
      <c r="S393" s="134"/>
      <c r="T393" s="22">
        <v>0</v>
      </c>
      <c r="U393" s="22">
        <v>0</v>
      </c>
      <c r="V393" s="22">
        <v>1</v>
      </c>
      <c r="W393" s="23"/>
      <c r="X393" s="23"/>
      <c r="Y393" s="23"/>
    </row>
    <row r="394" spans="1:25" ht="13.2">
      <c r="A394" s="21">
        <v>2</v>
      </c>
      <c r="B394" s="25" t="s">
        <v>4643</v>
      </c>
      <c r="C394" s="25">
        <v>396</v>
      </c>
      <c r="D394" s="25">
        <v>4</v>
      </c>
      <c r="E394" s="234">
        <v>43626</v>
      </c>
      <c r="F394" s="115" t="str">
        <f>HYPERLINK("https://www.liputan6.com/global/read/4079704/pbb-prihatin-desak-demo-irak-yang-tewaskan-99-orang-segera-berhenti ","sumber")</f>
        <v>sumber</v>
      </c>
      <c r="G394" s="25" t="s">
        <v>1</v>
      </c>
      <c r="H394" s="25">
        <v>561</v>
      </c>
      <c r="I394" s="26"/>
      <c r="J394" s="25"/>
      <c r="K394" s="124"/>
      <c r="L394" s="26"/>
      <c r="M394" s="26"/>
      <c r="N394" s="26"/>
      <c r="O394" s="26"/>
      <c r="P394" s="26"/>
      <c r="Q394" s="26"/>
      <c r="R394" s="26"/>
      <c r="S394" s="124"/>
      <c r="T394" s="26"/>
      <c r="U394" s="26"/>
      <c r="V394" s="26"/>
      <c r="W394" s="26"/>
      <c r="X394" s="26"/>
      <c r="Y394" s="26"/>
    </row>
    <row r="395" spans="1:25" ht="13.2">
      <c r="A395" s="21">
        <v>2</v>
      </c>
      <c r="B395" s="25" t="s">
        <v>4644</v>
      </c>
      <c r="C395" s="25">
        <v>397</v>
      </c>
      <c r="D395" s="25">
        <v>10</v>
      </c>
      <c r="E395" s="25" t="s">
        <v>900</v>
      </c>
      <c r="F395" s="115" t="str">
        <f>HYPERLINK("https://newsletter.tempo.co/read/1273721/cekfakta-12-hoaks-dan-pemblokiran-media-sosial ","sumber")</f>
        <v>sumber</v>
      </c>
      <c r="G395" s="25" t="s">
        <v>1</v>
      </c>
      <c r="H395" s="26"/>
      <c r="I395" s="26"/>
      <c r="J395" s="25"/>
      <c r="K395" s="124"/>
      <c r="L395" s="26"/>
      <c r="M395" s="26"/>
      <c r="N395" s="26"/>
      <c r="O395" s="26"/>
      <c r="P395" s="26"/>
      <c r="Q395" s="26"/>
      <c r="R395" s="26"/>
      <c r="S395" s="124"/>
      <c r="T395" s="26"/>
      <c r="U395" s="26"/>
      <c r="V395" s="26"/>
      <c r="W395" s="26"/>
      <c r="X395" s="26"/>
      <c r="Y395" s="26"/>
    </row>
    <row r="396" spans="1:25" ht="13.2">
      <c r="A396" s="21">
        <v>2</v>
      </c>
      <c r="B396" s="25" t="s">
        <v>849</v>
      </c>
      <c r="C396" s="25">
        <v>398</v>
      </c>
      <c r="D396" s="25">
        <v>3</v>
      </c>
      <c r="E396" s="25" t="s">
        <v>850</v>
      </c>
      <c r="F396" s="115" t="str">
        <f>HYPERLINK("https://news.okezone.com/read/2019/11/20/65/2132084/hasil-penelitian-2016-2018-ini-daftar-10-perguruan-tinggi-dengan-kinerja-tertinggi ","sumber")</f>
        <v>sumber</v>
      </c>
      <c r="G396" s="25" t="s">
        <v>1</v>
      </c>
      <c r="H396" s="26"/>
      <c r="I396" s="26"/>
      <c r="J396" s="26"/>
      <c r="K396" s="124"/>
      <c r="L396" s="26"/>
      <c r="M396" s="26"/>
      <c r="N396" s="26"/>
      <c r="O396" s="26"/>
      <c r="P396" s="26"/>
      <c r="Q396" s="26"/>
      <c r="R396" s="26"/>
      <c r="S396" s="124"/>
      <c r="T396" s="26"/>
      <c r="U396" s="26"/>
      <c r="V396" s="26"/>
      <c r="W396" s="26"/>
      <c r="X396" s="26"/>
      <c r="Y396" s="26"/>
    </row>
    <row r="397" spans="1:25" ht="13.2">
      <c r="A397" s="21">
        <v>2</v>
      </c>
      <c r="B397" s="25" t="s">
        <v>4645</v>
      </c>
      <c r="C397" s="25">
        <v>399</v>
      </c>
      <c r="D397" s="25">
        <v>7</v>
      </c>
      <c r="E397" s="25" t="s">
        <v>850</v>
      </c>
      <c r="F397" s="115" t="str">
        <f>HYPERLINK("https://www.tribunnews.com/pendidikan/2019/11/20/10-perguruan-tinggi-masuk-daftar-kampus-dengan-penelitian-terbaik-di-indonesia ","sumber")</f>
        <v>sumber</v>
      </c>
      <c r="G397" s="25" t="s">
        <v>1</v>
      </c>
      <c r="H397" s="25">
        <v>308</v>
      </c>
      <c r="I397" s="26"/>
      <c r="J397" s="26"/>
      <c r="K397" s="124"/>
      <c r="L397" s="26"/>
      <c r="M397" s="26"/>
      <c r="N397" s="26"/>
      <c r="O397" s="26"/>
      <c r="P397" s="26"/>
      <c r="Q397" s="26"/>
      <c r="R397" s="26"/>
      <c r="S397" s="124"/>
      <c r="T397" s="26"/>
      <c r="U397" s="26"/>
      <c r="V397" s="26"/>
      <c r="W397" s="26"/>
      <c r="X397" s="26"/>
      <c r="Y397" s="26"/>
    </row>
    <row r="398" spans="1:25" ht="13.2">
      <c r="A398" s="21">
        <v>2</v>
      </c>
      <c r="B398" s="25" t="s">
        <v>4646</v>
      </c>
      <c r="C398" s="25">
        <v>400</v>
      </c>
      <c r="D398" s="25">
        <v>7</v>
      </c>
      <c r="E398" s="25" t="s">
        <v>852</v>
      </c>
      <c r="F398" s="115" t="str">
        <f>HYPERLINK("https://www.tribunnews.com/nasional/2019/11/22/siti-nur-azizah-politik-saya-seperti-makan-kacang-sangrai ","sumber")</f>
        <v>sumber</v>
      </c>
      <c r="G398" s="25" t="s">
        <v>1</v>
      </c>
      <c r="H398" s="25">
        <v>417</v>
      </c>
      <c r="I398" s="26"/>
      <c r="J398" s="26"/>
      <c r="K398" s="124"/>
      <c r="L398" s="26"/>
      <c r="M398" s="26"/>
      <c r="N398" s="26"/>
      <c r="O398" s="26"/>
      <c r="P398" s="26"/>
      <c r="Q398" s="26"/>
      <c r="R398" s="26"/>
      <c r="S398" s="124"/>
      <c r="T398" s="26"/>
      <c r="U398" s="26"/>
      <c r="V398" s="26"/>
      <c r="W398" s="26"/>
      <c r="X398" s="26"/>
      <c r="Y398" s="26"/>
    </row>
    <row r="399" spans="1:25" ht="13.2">
      <c r="A399" s="21">
        <v>2</v>
      </c>
      <c r="B399" s="25" t="s">
        <v>4647</v>
      </c>
      <c r="C399" s="25">
        <v>401</v>
      </c>
      <c r="D399" s="25">
        <v>2</v>
      </c>
      <c r="E399" s="297">
        <v>43811</v>
      </c>
      <c r="F399" s="115" t="str">
        <f>HYPERLINK("https://www.cnnindonesia.com/internasional/20191212170458-120-456433/serangan-roket-kembali-hantam-pangkalan-militer-as-di-irak ","sumber")</f>
        <v>sumber</v>
      </c>
      <c r="G399" s="25" t="s">
        <v>1</v>
      </c>
      <c r="H399" s="25">
        <v>289</v>
      </c>
      <c r="I399" s="25"/>
      <c r="J399" s="25"/>
      <c r="K399" s="116"/>
      <c r="L399" s="26"/>
      <c r="M399" s="26"/>
      <c r="N399" s="26"/>
      <c r="O399" s="26"/>
      <c r="P399" s="26"/>
      <c r="Q399" s="26"/>
      <c r="R399" s="26"/>
      <c r="S399" s="124"/>
      <c r="T399" s="26"/>
      <c r="U399" s="26"/>
      <c r="V399" s="26"/>
      <c r="W399" s="26"/>
      <c r="X399" s="26"/>
      <c r="Y399" s="26"/>
    </row>
    <row r="400" spans="1:25" ht="13.2">
      <c r="A400" s="21">
        <v>2</v>
      </c>
      <c r="B400" s="25" t="s">
        <v>4648</v>
      </c>
      <c r="C400" s="25">
        <v>402</v>
      </c>
      <c r="D400" s="25">
        <v>7</v>
      </c>
      <c r="E400" s="297">
        <v>43811</v>
      </c>
      <c r="F400" s="115" t="str">
        <f>HYPERLINK("https://www.tribunnews.com/internasional/2019/12/12/opini-uu-kewarganegaraan-baru-india-bertentangan-dengan-konstitusi ","sumber")</f>
        <v>sumber</v>
      </c>
      <c r="G400" s="25" t="s">
        <v>1</v>
      </c>
      <c r="H400" s="25">
        <v>261</v>
      </c>
      <c r="I400" s="26"/>
      <c r="J400" s="26"/>
      <c r="K400" s="124"/>
      <c r="L400" s="26"/>
      <c r="M400" s="26"/>
      <c r="N400" s="26"/>
      <c r="O400" s="26"/>
      <c r="P400" s="26"/>
      <c r="Q400" s="26"/>
      <c r="R400" s="26"/>
      <c r="S400" s="124"/>
      <c r="T400" s="26"/>
      <c r="U400" s="26"/>
      <c r="V400" s="26"/>
      <c r="W400" s="26"/>
      <c r="X400" s="26"/>
      <c r="Y400" s="26"/>
    </row>
    <row r="401" spans="1:25" ht="13.2">
      <c r="A401" s="21">
        <v>2</v>
      </c>
      <c r="B401" s="25" t="s">
        <v>1776</v>
      </c>
      <c r="C401" s="25">
        <v>403</v>
      </c>
      <c r="D401" s="25">
        <v>9</v>
      </c>
      <c r="E401" s="25" t="s">
        <v>875</v>
      </c>
      <c r="F401" s="115" t="str">
        <f>HYPERLINK("https://trendtek.republika.co.id/berita/q2n42n368/arkeolog-temukan-candi-bangsa-romawi-kuno-di-italia ","sumber")</f>
        <v>sumber</v>
      </c>
      <c r="G401" s="25" t="s">
        <v>1</v>
      </c>
      <c r="H401" s="25">
        <v>481</v>
      </c>
      <c r="I401" s="26"/>
      <c r="J401" s="26"/>
      <c r="K401" s="124"/>
      <c r="L401" s="26"/>
      <c r="M401" s="26"/>
      <c r="N401" s="26"/>
      <c r="O401" s="26"/>
      <c r="P401" s="26"/>
      <c r="Q401" s="26"/>
      <c r="R401" s="26"/>
      <c r="S401" s="124"/>
      <c r="T401" s="26"/>
      <c r="U401" s="26"/>
      <c r="V401" s="26"/>
      <c r="W401" s="26"/>
      <c r="X401" s="26"/>
      <c r="Y401" s="26"/>
    </row>
    <row r="402" spans="1:25" ht="13.2">
      <c r="A402" s="188">
        <v>1</v>
      </c>
      <c r="B402" s="22" t="s">
        <v>4649</v>
      </c>
      <c r="C402" s="22">
        <v>404</v>
      </c>
      <c r="D402" s="22">
        <v>2</v>
      </c>
      <c r="E402" s="22" t="s">
        <v>867</v>
      </c>
      <c r="F402" s="121" t="str">
        <f>HYPERLINK("https://www.cnnindonesia.com/nasional/20191221132651-20-458943/pbnu-sebut-pengusiran-haddad-alwi-termasuk-vandalisme ","sumber")</f>
        <v>sumber</v>
      </c>
      <c r="G402" s="22" t="s">
        <v>1</v>
      </c>
      <c r="H402" s="22">
        <v>410</v>
      </c>
      <c r="I402" s="22">
        <v>1</v>
      </c>
      <c r="J402" s="22">
        <v>4</v>
      </c>
      <c r="K402" s="123" t="s">
        <v>4650</v>
      </c>
      <c r="L402" s="22">
        <v>0</v>
      </c>
      <c r="M402" s="22">
        <v>-1</v>
      </c>
      <c r="N402" s="125">
        <v>0</v>
      </c>
      <c r="O402" s="22">
        <v>0</v>
      </c>
      <c r="P402" s="22">
        <v>0</v>
      </c>
      <c r="Q402" s="22" t="s">
        <v>29</v>
      </c>
      <c r="R402" s="22" t="s">
        <v>160</v>
      </c>
      <c r="S402" s="134"/>
      <c r="T402" s="22">
        <v>0</v>
      </c>
      <c r="U402" s="22">
        <v>0</v>
      </c>
      <c r="V402" s="22">
        <v>0</v>
      </c>
      <c r="W402" s="23"/>
      <c r="X402" s="23"/>
      <c r="Y402" s="23"/>
    </row>
    <row r="403" spans="1:25" ht="13.2">
      <c r="A403" s="188">
        <v>1</v>
      </c>
      <c r="B403" s="22" t="s">
        <v>4651</v>
      </c>
      <c r="C403" s="22">
        <v>405</v>
      </c>
      <c r="D403" s="22">
        <v>8</v>
      </c>
      <c r="E403" s="22" t="s">
        <v>870</v>
      </c>
      <c r="F403" s="121" t="str">
        <f>HYPERLINK("https://jabar.suara.com/read/2019/12/22/141118/haddad-alwi-dipersekusi-gara-gara-tanya-kalau-cinta-rasul-angkat-tanganmu ","sumber")</f>
        <v>sumber</v>
      </c>
      <c r="G403" s="22" t="s">
        <v>1</v>
      </c>
      <c r="H403" s="22">
        <v>589</v>
      </c>
      <c r="I403" s="22">
        <v>1</v>
      </c>
      <c r="J403" s="22">
        <v>4</v>
      </c>
      <c r="K403" s="123" t="s">
        <v>4652</v>
      </c>
      <c r="L403" s="22">
        <v>0</v>
      </c>
      <c r="M403" s="22">
        <v>-1</v>
      </c>
      <c r="N403" s="125">
        <v>0</v>
      </c>
      <c r="O403" s="22">
        <v>0</v>
      </c>
      <c r="P403" s="22">
        <v>0</v>
      </c>
      <c r="Q403" s="22">
        <v>0</v>
      </c>
      <c r="R403" s="22">
        <v>-1</v>
      </c>
      <c r="S403" s="134"/>
      <c r="T403" s="22">
        <v>0</v>
      </c>
      <c r="U403" s="22">
        <v>0</v>
      </c>
      <c r="V403" s="22">
        <v>0</v>
      </c>
      <c r="W403" s="23"/>
      <c r="X403" s="23"/>
      <c r="Y403" s="23"/>
    </row>
    <row r="404" spans="1:25" ht="13.2">
      <c r="A404" s="188">
        <v>1</v>
      </c>
      <c r="B404" s="22" t="s">
        <v>869</v>
      </c>
      <c r="C404" s="22">
        <v>406</v>
      </c>
      <c r="D404" s="22">
        <v>10</v>
      </c>
      <c r="E404" s="22" t="s">
        <v>870</v>
      </c>
      <c r="F404" s="121" t="str">
        <f>HYPERLINK("https://nasional.tempo.co/read/1286593/haddad-alwi-vs-basim-laskah-fpi-ikut-bersalawat ","sumber")</f>
        <v>sumber</v>
      </c>
      <c r="G404" s="22" t="s">
        <v>1</v>
      </c>
      <c r="H404" s="22">
        <v>267</v>
      </c>
      <c r="I404" s="22">
        <v>1</v>
      </c>
      <c r="J404" s="22">
        <v>4</v>
      </c>
      <c r="K404" s="123" t="s">
        <v>4653</v>
      </c>
      <c r="L404" s="22">
        <v>0</v>
      </c>
      <c r="M404" s="22">
        <v>1</v>
      </c>
      <c r="N404" s="125">
        <v>0</v>
      </c>
      <c r="O404" s="22">
        <v>0</v>
      </c>
      <c r="P404" s="22">
        <v>0</v>
      </c>
      <c r="Q404" s="22" t="s">
        <v>29</v>
      </c>
      <c r="R404" s="22" t="s">
        <v>141</v>
      </c>
      <c r="S404" s="134"/>
      <c r="T404" s="22">
        <v>0</v>
      </c>
      <c r="U404" s="22">
        <v>0</v>
      </c>
      <c r="V404" s="22">
        <v>0</v>
      </c>
      <c r="W404" s="23"/>
      <c r="X404" s="23"/>
      <c r="Y404" s="23"/>
    </row>
    <row r="405" spans="1:25" ht="13.2">
      <c r="A405" s="188">
        <v>1</v>
      </c>
      <c r="B405" s="22" t="s">
        <v>2677</v>
      </c>
      <c r="C405" s="22">
        <v>407</v>
      </c>
      <c r="D405" s="22">
        <v>5</v>
      </c>
      <c r="E405" s="22" t="s">
        <v>870</v>
      </c>
      <c r="F405" s="121" t="str">
        <f>HYPERLINK("https://tirto.id/polri-tindak-tegas-aksi-razia-ormas-saat-natal-kok-baru-sekarang-eoie ","sumber")</f>
        <v>sumber</v>
      </c>
      <c r="G405" s="22" t="s">
        <v>1</v>
      </c>
      <c r="H405" s="22">
        <v>370</v>
      </c>
      <c r="I405" s="22">
        <v>4</v>
      </c>
      <c r="J405" s="22">
        <v>4</v>
      </c>
      <c r="K405" s="123" t="s">
        <v>4654</v>
      </c>
      <c r="L405" s="22">
        <v>0</v>
      </c>
      <c r="M405" s="22">
        <v>0</v>
      </c>
      <c r="N405" s="125">
        <v>0</v>
      </c>
      <c r="O405" s="22">
        <v>0</v>
      </c>
      <c r="P405" s="22">
        <v>0</v>
      </c>
      <c r="Q405" s="22" t="s">
        <v>29</v>
      </c>
      <c r="R405" s="22" t="s">
        <v>160</v>
      </c>
      <c r="S405" s="134"/>
      <c r="T405" s="22">
        <v>0</v>
      </c>
      <c r="U405" s="22">
        <v>0</v>
      </c>
      <c r="V405" s="22">
        <v>1</v>
      </c>
      <c r="W405" s="23"/>
      <c r="X405" s="23"/>
      <c r="Y405" s="23"/>
    </row>
    <row r="406" spans="1:25" ht="13.2">
      <c r="A406" s="188">
        <v>1</v>
      </c>
      <c r="B406" s="22" t="s">
        <v>4655</v>
      </c>
      <c r="C406" s="22">
        <v>408</v>
      </c>
      <c r="D406" s="22">
        <v>4</v>
      </c>
      <c r="E406" s="22" t="s">
        <v>1044</v>
      </c>
      <c r="F406" s="121" t="str">
        <f>HYPERLINK("https://www.liputan6.com/news/read/4141486/ucapkan-selamat-natal-warga-beragam-komunitas-kunjungi-gereja-st-theresia ","sumber")</f>
        <v>sumber</v>
      </c>
      <c r="G406" s="22" t="s">
        <v>1</v>
      </c>
      <c r="H406" s="22">
        <v>576</v>
      </c>
      <c r="I406" s="22">
        <v>3</v>
      </c>
      <c r="J406" s="22">
        <v>4</v>
      </c>
      <c r="K406" s="123" t="s">
        <v>4656</v>
      </c>
      <c r="L406" s="22">
        <v>0</v>
      </c>
      <c r="M406" s="22">
        <v>0</v>
      </c>
      <c r="N406" s="125">
        <v>0</v>
      </c>
      <c r="O406" s="22">
        <v>0</v>
      </c>
      <c r="P406" s="22">
        <v>0</v>
      </c>
      <c r="Q406" s="22" t="s">
        <v>342</v>
      </c>
      <c r="R406" s="22" t="s">
        <v>1026</v>
      </c>
      <c r="S406" s="134"/>
      <c r="T406" s="22">
        <v>0</v>
      </c>
      <c r="U406" s="22">
        <v>0</v>
      </c>
      <c r="V406" s="22">
        <v>1</v>
      </c>
      <c r="W406" s="23"/>
      <c r="X406" s="23"/>
      <c r="Y406" s="23"/>
    </row>
    <row r="407" spans="1:25" ht="13.2">
      <c r="A407" s="21">
        <v>2</v>
      </c>
      <c r="B407" s="25" t="s">
        <v>4657</v>
      </c>
      <c r="C407" s="25">
        <v>409</v>
      </c>
      <c r="D407" s="25">
        <v>7</v>
      </c>
      <c r="E407" s="25" t="s">
        <v>973</v>
      </c>
      <c r="F407" s="115" t="str">
        <f>HYPERLINK("https://www.tribunnews.com/sains/2019/12/27/tiga-peneliti-terpilih-irn-diajak-scientific-tour-ke-singapura ","sumber")</f>
        <v>sumber</v>
      </c>
      <c r="G407" s="25" t="s">
        <v>1</v>
      </c>
      <c r="H407" s="25">
        <v>226</v>
      </c>
      <c r="I407" s="26"/>
      <c r="J407" s="26"/>
      <c r="K407" s="124"/>
      <c r="L407" s="26"/>
      <c r="M407" s="26"/>
      <c r="N407" s="26"/>
      <c r="O407" s="26"/>
      <c r="P407" s="26"/>
      <c r="Q407" s="26"/>
      <c r="R407" s="26"/>
      <c r="S407" s="124"/>
      <c r="T407" s="26"/>
      <c r="U407" s="26"/>
      <c r="V407" s="26"/>
      <c r="W407" s="26"/>
      <c r="X407" s="26"/>
      <c r="Y407" s="26"/>
    </row>
    <row r="408" spans="1:25" ht="13.2">
      <c r="A408" s="188">
        <v>1</v>
      </c>
      <c r="B408" s="22" t="s">
        <v>4658</v>
      </c>
      <c r="C408" s="22">
        <v>410</v>
      </c>
      <c r="D408" s="22">
        <v>3</v>
      </c>
      <c r="E408" s="222">
        <v>43534</v>
      </c>
      <c r="F408" s="121" t="str">
        <f>HYPERLINK("https://news.okezone.com/read/2019/10/02/18/2112147/bocah-usia-12-ngaku-bunuh-gadis-9-tahun-lalu-gantung-jasadnya-di-pohon ","sumber")</f>
        <v>sumber</v>
      </c>
      <c r="G408" s="22" t="s">
        <v>1</v>
      </c>
      <c r="H408" s="22">
        <v>612</v>
      </c>
      <c r="I408" s="22">
        <v>1</v>
      </c>
      <c r="J408" s="22">
        <v>1</v>
      </c>
      <c r="K408" s="123" t="s">
        <v>4659</v>
      </c>
      <c r="L408" s="22">
        <v>0</v>
      </c>
      <c r="M408" s="22">
        <v>-1</v>
      </c>
      <c r="N408" s="125">
        <v>0</v>
      </c>
      <c r="O408" s="22">
        <v>0</v>
      </c>
      <c r="P408" s="22">
        <v>0</v>
      </c>
      <c r="Q408" s="22" t="s">
        <v>29</v>
      </c>
      <c r="R408" s="22" t="s">
        <v>160</v>
      </c>
      <c r="S408" s="134"/>
      <c r="T408" s="22">
        <v>0</v>
      </c>
      <c r="U408" s="22">
        <v>0</v>
      </c>
      <c r="V408" s="22">
        <v>0</v>
      </c>
      <c r="W408" s="23"/>
      <c r="X408" s="23"/>
      <c r="Y408" s="23"/>
    </row>
    <row r="409" spans="1:25" ht="13.2">
      <c r="A409" s="188">
        <v>1</v>
      </c>
      <c r="B409" s="22" t="s">
        <v>4660</v>
      </c>
      <c r="C409" s="22">
        <v>411</v>
      </c>
      <c r="D409" s="22">
        <v>1</v>
      </c>
      <c r="E409" s="222">
        <v>43595</v>
      </c>
      <c r="F409" s="121" t="str">
        <f>HYPERLINK("https://news.detik.com/berita-jawa-timur/d-4734785/penyandang-disabilitas-jadi-tokoh-utama-drama-kolosal-peringatan-hut-tni ","sumber")</f>
        <v>sumber</v>
      </c>
      <c r="G409" s="22" t="s">
        <v>1</v>
      </c>
      <c r="H409" s="22">
        <v>366</v>
      </c>
      <c r="I409" s="22">
        <v>2</v>
      </c>
      <c r="J409" s="22">
        <v>2</v>
      </c>
      <c r="K409" s="123" t="s">
        <v>4661</v>
      </c>
      <c r="L409" s="22">
        <v>0</v>
      </c>
      <c r="M409" s="22">
        <v>0</v>
      </c>
      <c r="N409" s="125">
        <v>0</v>
      </c>
      <c r="O409" s="22">
        <v>0</v>
      </c>
      <c r="P409" s="22">
        <v>0</v>
      </c>
      <c r="Q409" s="22">
        <v>0</v>
      </c>
      <c r="R409" s="22">
        <v>0</v>
      </c>
      <c r="S409" s="134"/>
      <c r="T409" s="22">
        <v>0</v>
      </c>
      <c r="U409" s="22">
        <v>0</v>
      </c>
      <c r="V409" s="22">
        <v>0</v>
      </c>
      <c r="W409" s="23"/>
      <c r="X409" s="23"/>
      <c r="Y409" s="23"/>
    </row>
    <row r="410" spans="1:25" ht="13.2">
      <c r="A410" s="21">
        <v>2</v>
      </c>
      <c r="B410" s="25" t="s">
        <v>4662</v>
      </c>
      <c r="C410" s="25">
        <v>412</v>
      </c>
      <c r="D410" s="25">
        <v>7</v>
      </c>
      <c r="E410" s="234">
        <v>43595</v>
      </c>
      <c r="F410" s="115" t="str">
        <f>HYPERLINK("https://www.tribunnews.com/seleb/2019/10/05/the-peanut-butter-falcon-kisah-impian-pria-down-syndrome-yang-jadi-kenyataan ","sumber")</f>
        <v>sumber</v>
      </c>
      <c r="G410" s="25" t="s">
        <v>1</v>
      </c>
      <c r="H410" s="25">
        <v>278</v>
      </c>
      <c r="I410" s="26"/>
      <c r="J410" s="26"/>
      <c r="K410" s="124"/>
      <c r="L410" s="26"/>
      <c r="M410" s="26"/>
      <c r="N410" s="26"/>
      <c r="O410" s="26"/>
      <c r="P410" s="26"/>
      <c r="Q410" s="26"/>
      <c r="R410" s="26"/>
      <c r="S410" s="124"/>
      <c r="T410" s="26"/>
      <c r="U410" s="26"/>
      <c r="V410" s="26"/>
      <c r="W410" s="26"/>
      <c r="X410" s="26"/>
      <c r="Y410" s="26"/>
    </row>
    <row r="411" spans="1:25" ht="13.2">
      <c r="A411" s="188">
        <v>1</v>
      </c>
      <c r="B411" s="22" t="s">
        <v>4663</v>
      </c>
      <c r="C411" s="22">
        <v>413</v>
      </c>
      <c r="D411" s="22">
        <v>2</v>
      </c>
      <c r="E411" s="222">
        <v>43656</v>
      </c>
      <c r="F411" s="121" t="str">
        <f>HYPERLINK("https://www.cnnindonesia.com/internasional/20191007144718-134-437464/pelaku-penikaman-di-paris-diduga-terlibat-gerakan-salafi ","sumber")</f>
        <v>sumber</v>
      </c>
      <c r="G411" s="22" t="s">
        <v>1</v>
      </c>
      <c r="H411" s="22">
        <v>344</v>
      </c>
      <c r="I411" s="22">
        <v>1</v>
      </c>
      <c r="J411" s="22">
        <v>2</v>
      </c>
      <c r="K411" s="123"/>
      <c r="L411" s="22">
        <v>0</v>
      </c>
      <c r="M411" s="22">
        <v>-1</v>
      </c>
      <c r="N411" s="125">
        <v>0</v>
      </c>
      <c r="O411" s="22">
        <v>0</v>
      </c>
      <c r="P411" s="22">
        <v>0</v>
      </c>
      <c r="Q411" s="22"/>
      <c r="R411" s="22"/>
      <c r="S411" s="134"/>
      <c r="T411" s="22">
        <v>0</v>
      </c>
      <c r="U411" s="22">
        <v>0</v>
      </c>
      <c r="V411" s="22">
        <v>0</v>
      </c>
      <c r="W411" s="23"/>
      <c r="X411" s="23"/>
      <c r="Y411" s="23"/>
    </row>
    <row r="412" spans="1:25" ht="13.2">
      <c r="A412" s="188">
        <v>1</v>
      </c>
      <c r="B412" s="22" t="s">
        <v>3843</v>
      </c>
      <c r="C412" s="22">
        <v>414</v>
      </c>
      <c r="D412" s="22">
        <v>3</v>
      </c>
      <c r="E412" s="222">
        <v>43656</v>
      </c>
      <c r="F412" s="121" t="str">
        <f>HYPERLINK("https://lifestyle.okezone.com/read/2019/10/07/481/2113936/banyak-pasien-gangguan-jiwa-bunuh-diri-meski-sudah-terapi-kenapa ","sumber")</f>
        <v>sumber</v>
      </c>
      <c r="G412" s="22" t="s">
        <v>1</v>
      </c>
      <c r="H412" s="22">
        <v>390</v>
      </c>
      <c r="I412" s="22">
        <v>4</v>
      </c>
      <c r="J412" s="22">
        <v>2</v>
      </c>
      <c r="K412" s="123" t="s">
        <v>4664</v>
      </c>
      <c r="L412" s="22">
        <v>0</v>
      </c>
      <c r="M412" s="22">
        <v>0</v>
      </c>
      <c r="N412" s="125">
        <v>0</v>
      </c>
      <c r="O412" s="22">
        <v>0</v>
      </c>
      <c r="P412" s="22">
        <v>0</v>
      </c>
      <c r="Q412" s="22">
        <v>0</v>
      </c>
      <c r="R412" s="22">
        <v>1</v>
      </c>
      <c r="S412" s="134"/>
      <c r="T412" s="22">
        <v>0</v>
      </c>
      <c r="U412" s="22">
        <v>0</v>
      </c>
      <c r="V412" s="22">
        <v>1</v>
      </c>
      <c r="W412" s="23"/>
      <c r="X412" s="23"/>
      <c r="Y412" s="23"/>
    </row>
    <row r="413" spans="1:25" ht="13.2">
      <c r="A413" s="21">
        <v>2</v>
      </c>
      <c r="B413" s="25" t="s">
        <v>4665</v>
      </c>
      <c r="C413" s="25">
        <v>415</v>
      </c>
      <c r="D413" s="25">
        <v>7</v>
      </c>
      <c r="E413" s="234">
        <v>43656</v>
      </c>
      <c r="F413" s="115" t="str">
        <f>HYPERLINK("https://www.tribunnews.com/internasional/2019/10/07/kisah-ibu-jual-anaknya-yang-berumur-2-tahun-demi-mobil-sport-malah-kena-denda-rp-500-juta ","sumber")</f>
        <v>sumber</v>
      </c>
      <c r="G413" s="25" t="s">
        <v>1</v>
      </c>
      <c r="H413" s="25">
        <v>200</v>
      </c>
      <c r="I413" s="26"/>
      <c r="J413" s="26"/>
      <c r="K413" s="124"/>
      <c r="L413" s="26"/>
      <c r="M413" s="26"/>
      <c r="N413" s="26"/>
      <c r="O413" s="26"/>
      <c r="P413" s="26"/>
      <c r="Q413" s="26"/>
      <c r="R413" s="26"/>
      <c r="S413" s="124"/>
      <c r="T413" s="26"/>
      <c r="U413" s="26"/>
      <c r="V413" s="26"/>
      <c r="W413" s="26"/>
      <c r="X413" s="26"/>
      <c r="Y413" s="26"/>
    </row>
    <row r="414" spans="1:25" ht="13.2">
      <c r="A414" s="21">
        <v>2</v>
      </c>
      <c r="B414" s="25" t="s">
        <v>4666</v>
      </c>
      <c r="C414" s="25">
        <v>416</v>
      </c>
      <c r="D414" s="25">
        <v>2</v>
      </c>
      <c r="E414" s="234">
        <v>43687</v>
      </c>
      <c r="F414" s="115" t="str">
        <f>HYPERLINK("https://www.cnnindonesia.com/internasional/20191008161226-106-437800/jurnalis-ditembak-indonesia-masih-tunggu-jawaban-hong-kong ","sumber")</f>
        <v>sumber</v>
      </c>
      <c r="G414" s="25" t="s">
        <v>1</v>
      </c>
      <c r="H414" s="25">
        <v>292</v>
      </c>
      <c r="I414" s="26"/>
      <c r="J414" s="26"/>
      <c r="K414" s="124"/>
      <c r="L414" s="26"/>
      <c r="M414" s="26"/>
      <c r="N414" s="26"/>
      <c r="O414" s="26"/>
      <c r="P414" s="26"/>
      <c r="Q414" s="26"/>
      <c r="R414" s="26"/>
      <c r="S414" s="124"/>
      <c r="T414" s="26"/>
      <c r="U414" s="26"/>
      <c r="V414" s="26"/>
      <c r="W414" s="26"/>
      <c r="X414" s="26"/>
      <c r="Y414" s="26"/>
    </row>
    <row r="415" spans="1:25" ht="13.2">
      <c r="A415" s="188">
        <v>1</v>
      </c>
      <c r="B415" s="22" t="s">
        <v>4667</v>
      </c>
      <c r="C415" s="22">
        <v>417</v>
      </c>
      <c r="D415" s="22">
        <v>1</v>
      </c>
      <c r="E415" s="222">
        <v>43687</v>
      </c>
      <c r="F415" s="121" t="str">
        <f>HYPERLINK("https://health.detik.com/berita-detikhealth/d-4738443/beragam-manfaat-ganja-medis-yang-pernah-diteliti-obat-kanker-hingga-autoimun ","sumber")</f>
        <v>sumber</v>
      </c>
      <c r="G415" s="22" t="s">
        <v>1</v>
      </c>
      <c r="H415" s="22">
        <v>365</v>
      </c>
      <c r="I415" s="22">
        <v>4</v>
      </c>
      <c r="J415" s="22">
        <v>2</v>
      </c>
      <c r="K415" s="123" t="s">
        <v>4668</v>
      </c>
      <c r="L415" s="22">
        <v>-1</v>
      </c>
      <c r="M415" s="22">
        <v>0</v>
      </c>
      <c r="N415" s="125">
        <v>0</v>
      </c>
      <c r="O415" s="22">
        <v>0</v>
      </c>
      <c r="P415" s="22">
        <v>0</v>
      </c>
      <c r="Q415" s="22">
        <v>0</v>
      </c>
      <c r="R415" s="22">
        <v>1</v>
      </c>
      <c r="S415" s="134"/>
      <c r="T415" s="22">
        <v>0</v>
      </c>
      <c r="U415" s="22">
        <v>0</v>
      </c>
      <c r="V415" s="22">
        <v>1</v>
      </c>
      <c r="W415" s="23"/>
      <c r="X415" s="23"/>
      <c r="Y415" s="23"/>
    </row>
    <row r="416" spans="1:25" ht="13.2">
      <c r="A416" s="188">
        <v>1</v>
      </c>
      <c r="B416" s="22" t="s">
        <v>4669</v>
      </c>
      <c r="C416" s="22">
        <v>418</v>
      </c>
      <c r="D416" s="22">
        <v>7</v>
      </c>
      <c r="E416" s="222">
        <v>43687</v>
      </c>
      <c r="F416" s="121" t="str">
        <f>HYPERLINK("https://www.tribunnews.com/regional/2019/10/08/diduga-kehabisan-obat-gangguan-jiwa-pria-di-gresik-ini-tega-bacok-istri-dan-tewaskan-menantu ","sumber")</f>
        <v>sumber</v>
      </c>
      <c r="G416" s="22" t="s">
        <v>1</v>
      </c>
      <c r="H416" s="22">
        <v>102</v>
      </c>
      <c r="I416" s="22">
        <v>1</v>
      </c>
      <c r="J416" s="22">
        <v>2</v>
      </c>
      <c r="K416" s="123" t="s">
        <v>4670</v>
      </c>
      <c r="L416" s="22">
        <v>0</v>
      </c>
      <c r="M416" s="22">
        <v>1</v>
      </c>
      <c r="N416" s="22">
        <v>-1</v>
      </c>
      <c r="O416" s="22">
        <v>0</v>
      </c>
      <c r="P416" s="22">
        <v>-1</v>
      </c>
      <c r="Q416" s="22" t="s">
        <v>170</v>
      </c>
      <c r="R416" s="22" t="s">
        <v>4671</v>
      </c>
      <c r="S416" s="134"/>
      <c r="T416" s="22">
        <v>0</v>
      </c>
      <c r="U416" s="22">
        <v>0</v>
      </c>
      <c r="V416" s="22">
        <v>0</v>
      </c>
      <c r="W416" s="23"/>
      <c r="X416" s="23"/>
      <c r="Y416" s="23"/>
    </row>
    <row r="417" spans="1:25" ht="13.2">
      <c r="A417" s="188">
        <v>1</v>
      </c>
      <c r="B417" s="22" t="s">
        <v>4672</v>
      </c>
      <c r="C417" s="22">
        <v>419</v>
      </c>
      <c r="D417" s="22">
        <v>8</v>
      </c>
      <c r="E417" s="222">
        <v>43718</v>
      </c>
      <c r="F417" s="121" t="str">
        <f>HYPERLINK("https://www.suara.com/health/2019/10/09/183500/aku-tertawa-di-pemakaman-nenek-kisah-nyata-pengidap-pba-seperti-joker ","sumber")</f>
        <v>sumber</v>
      </c>
      <c r="G417" s="22" t="s">
        <v>1</v>
      </c>
      <c r="H417" s="22">
        <v>209</v>
      </c>
      <c r="I417" s="22">
        <v>2</v>
      </c>
      <c r="J417" s="22">
        <v>2</v>
      </c>
      <c r="K417" s="123" t="s">
        <v>4673</v>
      </c>
      <c r="L417" s="22">
        <v>-1</v>
      </c>
      <c r="M417" s="22">
        <v>0</v>
      </c>
      <c r="N417" s="125">
        <v>0</v>
      </c>
      <c r="O417" s="22">
        <v>0</v>
      </c>
      <c r="P417" s="22">
        <v>0</v>
      </c>
      <c r="Q417" s="22">
        <v>2</v>
      </c>
      <c r="R417" s="22">
        <v>1</v>
      </c>
      <c r="S417" s="134"/>
      <c r="T417" s="22">
        <v>0</v>
      </c>
      <c r="U417" s="22">
        <v>0</v>
      </c>
      <c r="V417" s="22">
        <v>1</v>
      </c>
      <c r="W417" s="23"/>
      <c r="X417" s="23"/>
      <c r="Y417" s="23"/>
    </row>
    <row r="418" spans="1:25" ht="13.2">
      <c r="A418" s="188">
        <v>1</v>
      </c>
      <c r="B418" s="22" t="s">
        <v>4674</v>
      </c>
      <c r="C418" s="22">
        <v>420</v>
      </c>
      <c r="D418" s="22">
        <v>6</v>
      </c>
      <c r="E418" s="298">
        <v>43748</v>
      </c>
      <c r="F418" s="121" t="str">
        <f>HYPERLINK("https://megapolitan.kompas.com/read/2019/10/10/08121531/usai-terima-somasi-bpjs-kesehatan-hapus-foto-joker-di-facebook ","sumber")</f>
        <v>sumber</v>
      </c>
      <c r="G418" s="22" t="s">
        <v>1</v>
      </c>
      <c r="H418" s="22">
        <v>172</v>
      </c>
      <c r="I418" s="22">
        <v>1</v>
      </c>
      <c r="J418" s="22">
        <v>2</v>
      </c>
      <c r="K418" s="123" t="s">
        <v>4675</v>
      </c>
      <c r="L418" s="22">
        <v>0</v>
      </c>
      <c r="M418" s="22">
        <v>1</v>
      </c>
      <c r="N418" s="125">
        <v>0</v>
      </c>
      <c r="O418" s="22">
        <v>0</v>
      </c>
      <c r="P418" s="22">
        <v>0</v>
      </c>
      <c r="Q418" s="22" t="s">
        <v>182</v>
      </c>
      <c r="R418" s="22" t="s">
        <v>160</v>
      </c>
      <c r="S418" s="134"/>
      <c r="T418" s="22">
        <v>0</v>
      </c>
      <c r="U418" s="22">
        <v>0</v>
      </c>
      <c r="V418" s="22">
        <v>0</v>
      </c>
      <c r="W418" s="23"/>
      <c r="X418" s="23"/>
      <c r="Y418" s="23"/>
    </row>
    <row r="419" spans="1:25" ht="13.2">
      <c r="A419" s="188">
        <v>1</v>
      </c>
      <c r="B419" s="22" t="s">
        <v>4676</v>
      </c>
      <c r="C419" s="22">
        <v>421</v>
      </c>
      <c r="D419" s="22">
        <v>2</v>
      </c>
      <c r="E419" s="22" t="s">
        <v>900</v>
      </c>
      <c r="F419" s="121" t="str">
        <f>HYPERLINK("https://www.cnnindonesia.com/nasional/20191118191203-12-449464/pembina-pramuka-cabuli-15-siswa-divonis-kebiri-kimia ","sumber")</f>
        <v>sumber</v>
      </c>
      <c r="G419" s="22" t="s">
        <v>1</v>
      </c>
      <c r="H419" s="22">
        <v>389</v>
      </c>
      <c r="I419" s="22">
        <v>1</v>
      </c>
      <c r="J419" s="22">
        <v>1</v>
      </c>
      <c r="K419" s="123" t="s">
        <v>4677</v>
      </c>
      <c r="L419" s="22">
        <v>0</v>
      </c>
      <c r="M419" s="22">
        <v>1</v>
      </c>
      <c r="N419" s="125">
        <v>0</v>
      </c>
      <c r="O419" s="22">
        <v>0</v>
      </c>
      <c r="P419" s="22">
        <v>0</v>
      </c>
      <c r="Q419" s="22" t="s">
        <v>29</v>
      </c>
      <c r="R419" s="22" t="s">
        <v>29</v>
      </c>
      <c r="S419" s="134"/>
      <c r="T419" s="22">
        <v>0</v>
      </c>
      <c r="U419" s="22">
        <v>0</v>
      </c>
      <c r="V419" s="22">
        <v>0</v>
      </c>
      <c r="W419" s="23"/>
      <c r="X419" s="23"/>
      <c r="Y419" s="23"/>
    </row>
    <row r="420" spans="1:25" ht="13.2">
      <c r="A420" s="188">
        <v>1</v>
      </c>
      <c r="B420" s="22" t="s">
        <v>4678</v>
      </c>
      <c r="C420" s="22">
        <v>422</v>
      </c>
      <c r="D420" s="22">
        <v>7</v>
      </c>
      <c r="E420" s="22" t="s">
        <v>900</v>
      </c>
      <c r="F420" s="121" t="str">
        <f>HYPERLINK("https://www.tribunnews.com/nasional/2019/11/18/begini-contoh-surat-lamaran-cpns-kemenkumham-2019-buat-lulusan-sma-d3-s1-dan-s2 ","sumber")</f>
        <v>sumber</v>
      </c>
      <c r="G420" s="22" t="s">
        <v>1</v>
      </c>
      <c r="H420" s="22">
        <v>284</v>
      </c>
      <c r="I420" s="22">
        <v>4</v>
      </c>
      <c r="J420" s="22">
        <v>2</v>
      </c>
      <c r="K420" s="123"/>
      <c r="L420" s="22">
        <v>0</v>
      </c>
      <c r="M420" s="22">
        <v>0</v>
      </c>
      <c r="N420" s="125">
        <v>0</v>
      </c>
      <c r="O420" s="22">
        <v>0</v>
      </c>
      <c r="P420" s="22">
        <v>0</v>
      </c>
      <c r="Q420" s="22"/>
      <c r="R420" s="22"/>
      <c r="S420" s="134"/>
      <c r="T420" s="22">
        <v>0</v>
      </c>
      <c r="U420" s="22">
        <v>0</v>
      </c>
      <c r="V420" s="22">
        <v>1</v>
      </c>
      <c r="W420" s="23"/>
      <c r="X420" s="23"/>
      <c r="Y420" s="23"/>
    </row>
    <row r="421" spans="1:25" ht="13.2">
      <c r="A421" s="21">
        <v>2</v>
      </c>
      <c r="B421" s="25" t="s">
        <v>4679</v>
      </c>
      <c r="C421" s="25">
        <v>423</v>
      </c>
      <c r="D421" s="25">
        <v>10</v>
      </c>
      <c r="E421" s="25" t="s">
        <v>904</v>
      </c>
      <c r="F421" s="115" t="str">
        <f>HYPERLINK("https://bisnis.tempo.co/read/1274203/di-balik-kisah-viral-pramugara-lion-air-suapi-penumpang-lansia ","sumber")</f>
        <v>sumber</v>
      </c>
      <c r="G421" s="25" t="s">
        <v>1</v>
      </c>
      <c r="H421" s="25">
        <v>238</v>
      </c>
      <c r="I421" s="26"/>
      <c r="J421" s="26"/>
      <c r="K421" s="124"/>
      <c r="L421" s="26"/>
      <c r="M421" s="26"/>
      <c r="N421" s="26"/>
      <c r="O421" s="26"/>
      <c r="P421" s="26"/>
      <c r="Q421" s="26"/>
      <c r="R421" s="26"/>
      <c r="S421" s="124"/>
      <c r="T421" s="26"/>
      <c r="U421" s="26"/>
      <c r="V421" s="26"/>
      <c r="W421" s="26"/>
      <c r="X421" s="26"/>
      <c r="Y421" s="26"/>
    </row>
    <row r="422" spans="1:25" ht="13.2">
      <c r="A422" s="188">
        <v>1</v>
      </c>
      <c r="B422" s="22" t="s">
        <v>4680</v>
      </c>
      <c r="C422" s="22">
        <v>424</v>
      </c>
      <c r="D422" s="22">
        <v>5</v>
      </c>
      <c r="E422" s="22" t="s">
        <v>850</v>
      </c>
      <c r="F422" s="121" t="str">
        <f>HYPERLINK("https://tirto.id/ombudsman-ri-kritik-persyaratan-cpns-yang-diskriminasif-el1U ","sumber")</f>
        <v>sumber</v>
      </c>
      <c r="G422" s="22" t="s">
        <v>1</v>
      </c>
      <c r="H422" s="22">
        <v>378</v>
      </c>
      <c r="I422" s="22">
        <v>4</v>
      </c>
      <c r="J422" s="22">
        <v>3</v>
      </c>
      <c r="K422" s="123" t="s">
        <v>4681</v>
      </c>
      <c r="L422" s="22">
        <v>0</v>
      </c>
      <c r="M422" s="22">
        <v>0</v>
      </c>
      <c r="N422" s="125">
        <v>0</v>
      </c>
      <c r="O422" s="22">
        <v>0</v>
      </c>
      <c r="P422" s="22">
        <v>0</v>
      </c>
      <c r="Q422" s="22">
        <v>0</v>
      </c>
      <c r="R422" s="22">
        <v>1</v>
      </c>
      <c r="S422" s="134"/>
      <c r="T422" s="22">
        <v>0</v>
      </c>
      <c r="U422" s="22">
        <v>0</v>
      </c>
      <c r="V422" s="22">
        <v>1</v>
      </c>
      <c r="W422" s="23"/>
      <c r="X422" s="23"/>
      <c r="Y422" s="23"/>
    </row>
    <row r="423" spans="1:25" ht="13.2">
      <c r="A423" s="188">
        <v>1</v>
      </c>
      <c r="B423" s="22" t="s">
        <v>4682</v>
      </c>
      <c r="C423" s="22">
        <v>425</v>
      </c>
      <c r="D423" s="22">
        <v>7</v>
      </c>
      <c r="E423" s="22" t="s">
        <v>850</v>
      </c>
      <c r="F423" s="121" t="str">
        <f>HYPERLINK("https://www.tribunnews.com/internasional/2019/11/20/20-november-diperingarti-sebagai-hari-anak-universal-apa-bedanya-dengan-hari-anak-internasional ","sumber")</f>
        <v>sumber</v>
      </c>
      <c r="G423" s="22" t="s">
        <v>1</v>
      </c>
      <c r="H423" s="22">
        <v>146</v>
      </c>
      <c r="I423" s="22">
        <v>3</v>
      </c>
      <c r="J423" s="22">
        <v>2</v>
      </c>
      <c r="K423" s="123"/>
      <c r="L423" s="22">
        <v>-1</v>
      </c>
      <c r="M423" s="22">
        <v>0</v>
      </c>
      <c r="N423" s="125">
        <v>0</v>
      </c>
      <c r="O423" s="22">
        <v>0</v>
      </c>
      <c r="P423" s="22">
        <v>0</v>
      </c>
      <c r="Q423" s="22"/>
      <c r="R423" s="22"/>
      <c r="S423" s="134"/>
      <c r="T423" s="22">
        <v>0</v>
      </c>
      <c r="U423" s="22">
        <v>0</v>
      </c>
      <c r="V423" s="22">
        <v>1</v>
      </c>
      <c r="W423" s="23"/>
      <c r="X423" s="23"/>
      <c r="Y423" s="23"/>
    </row>
    <row r="424" spans="1:25" ht="13.2">
      <c r="A424" s="188">
        <v>1</v>
      </c>
      <c r="B424" s="22" t="s">
        <v>3859</v>
      </c>
      <c r="C424" s="22">
        <v>426</v>
      </c>
      <c r="D424" s="22">
        <v>1</v>
      </c>
      <c r="E424" s="22" t="s">
        <v>912</v>
      </c>
      <c r="F424" s="121" t="str">
        <f>HYPERLINK("https://health.detik.com/berita-detikhealth/d-4792539/tak-perlu-malu-punya-anak-autis-ini-pesan-dian-sastrowardoyo ","sumber")</f>
        <v>sumber</v>
      </c>
      <c r="G424" s="22" t="s">
        <v>1</v>
      </c>
      <c r="H424" s="22">
        <v>277</v>
      </c>
      <c r="I424" s="22">
        <v>2</v>
      </c>
      <c r="J424" s="22">
        <v>2</v>
      </c>
      <c r="K424" s="123" t="s">
        <v>4683</v>
      </c>
      <c r="L424" s="22">
        <v>0</v>
      </c>
      <c r="M424" s="22">
        <v>0</v>
      </c>
      <c r="N424" s="125">
        <v>0</v>
      </c>
      <c r="O424" s="22">
        <v>0</v>
      </c>
      <c r="P424" s="22">
        <v>0</v>
      </c>
      <c r="Q424" s="22">
        <v>0</v>
      </c>
      <c r="R424" s="22">
        <v>1</v>
      </c>
      <c r="S424" s="134"/>
      <c r="T424" s="22">
        <v>0</v>
      </c>
      <c r="U424" s="22">
        <v>0</v>
      </c>
      <c r="V424" s="22">
        <v>1</v>
      </c>
      <c r="W424" s="23"/>
      <c r="X424" s="23"/>
      <c r="Y424" s="23"/>
    </row>
    <row r="425" spans="1:25" ht="14.4">
      <c r="A425" s="148">
        <v>1</v>
      </c>
      <c r="B425" s="202" t="s">
        <v>4684</v>
      </c>
      <c r="C425" s="33">
        <v>427</v>
      </c>
      <c r="D425" s="33">
        <v>3</v>
      </c>
      <c r="E425" s="33" t="s">
        <v>912</v>
      </c>
      <c r="F425" s="130" t="str">
        <f>HYPERLINK("https://index.okezone.com/read/2019/11/21/612/2132853/dari-ria-ricis-hingga-nikita-mirzani-pamer-saldo-atm-tanda-gangguan-jiwa","sumber")</f>
        <v>sumber</v>
      </c>
      <c r="G425" s="33" t="s">
        <v>1</v>
      </c>
      <c r="H425" s="33">
        <v>671</v>
      </c>
      <c r="I425" s="33">
        <v>5</v>
      </c>
      <c r="J425" s="33">
        <v>2</v>
      </c>
      <c r="K425" s="131" t="s">
        <v>4685</v>
      </c>
      <c r="L425" s="33">
        <v>0</v>
      </c>
      <c r="M425" s="33">
        <v>0</v>
      </c>
      <c r="N425" s="132">
        <v>0</v>
      </c>
      <c r="O425" s="33">
        <v>0</v>
      </c>
      <c r="P425" s="33">
        <v>0</v>
      </c>
      <c r="Q425" s="33">
        <v>0</v>
      </c>
      <c r="R425" s="33">
        <v>1</v>
      </c>
      <c r="S425" s="133"/>
      <c r="T425" s="33">
        <v>0</v>
      </c>
      <c r="U425" s="33">
        <v>0</v>
      </c>
      <c r="V425" s="33">
        <v>1</v>
      </c>
      <c r="W425" s="24"/>
      <c r="X425" s="24"/>
      <c r="Y425" s="24"/>
    </row>
    <row r="426" spans="1:25" ht="13.2">
      <c r="A426" s="21">
        <v>2</v>
      </c>
      <c r="B426" s="25" t="s">
        <v>4686</v>
      </c>
      <c r="C426" s="25">
        <v>428</v>
      </c>
      <c r="D426" s="25">
        <v>4</v>
      </c>
      <c r="E426" s="25" t="s">
        <v>852</v>
      </c>
      <c r="F426" s="115" t="str">
        <f>HYPERLINK("https://www.liputan6.com/news/read/4117188/stafsus-milenial-pdip-sebut-jokowi-hadirkan-ekonomi-kerakyatan-berbasis-inovasi ","sumber")</f>
        <v>sumber</v>
      </c>
      <c r="G426" s="25" t="s">
        <v>1</v>
      </c>
      <c r="H426" s="25">
        <v>326</v>
      </c>
      <c r="I426" s="26"/>
      <c r="J426" s="26"/>
      <c r="K426" s="124"/>
      <c r="L426" s="26"/>
      <c r="M426" s="26"/>
      <c r="N426" s="26"/>
      <c r="O426" s="26"/>
      <c r="P426" s="26"/>
      <c r="Q426" s="26"/>
      <c r="R426" s="26"/>
      <c r="S426" s="124"/>
      <c r="T426" s="26"/>
      <c r="U426" s="26"/>
      <c r="V426" s="26"/>
      <c r="W426" s="26"/>
      <c r="X426" s="26"/>
      <c r="Y426" s="26"/>
    </row>
    <row r="427" spans="1:25" ht="14.25" customHeight="1">
      <c r="A427" s="21">
        <v>2</v>
      </c>
      <c r="B427" s="25" t="s">
        <v>4687</v>
      </c>
      <c r="C427" s="25">
        <v>429</v>
      </c>
      <c r="D427" s="25">
        <v>4</v>
      </c>
      <c r="E427" s="25" t="s">
        <v>918</v>
      </c>
      <c r="F427" s="115" t="str">
        <f>HYPERLINK("https://www.liputan6.com/global/read/4117145/bahan-makanan-warga-jawa-timur-tercemar-limbah-plastik-australia-jadi-sorotan ","sumber")</f>
        <v>sumber</v>
      </c>
      <c r="G427" s="25" t="s">
        <v>1</v>
      </c>
      <c r="H427" s="25">
        <v>808</v>
      </c>
      <c r="I427" s="26"/>
      <c r="J427" s="26"/>
      <c r="K427" s="124"/>
      <c r="L427" s="26"/>
      <c r="M427" s="26"/>
      <c r="N427" s="26"/>
      <c r="O427" s="26"/>
      <c r="P427" s="26"/>
      <c r="Q427" s="26"/>
      <c r="R427" s="26"/>
      <c r="S427" s="124"/>
      <c r="T427" s="26"/>
      <c r="U427" s="26"/>
      <c r="V427" s="26"/>
      <c r="W427" s="26"/>
      <c r="X427" s="26"/>
      <c r="Y427" s="26"/>
    </row>
    <row r="428" spans="1:25" ht="14.4">
      <c r="A428" s="148">
        <v>1</v>
      </c>
      <c r="B428" s="202" t="s">
        <v>4688</v>
      </c>
      <c r="C428" s="33">
        <v>430</v>
      </c>
      <c r="D428" s="33">
        <v>2</v>
      </c>
      <c r="E428" s="33" t="s">
        <v>926</v>
      </c>
      <c r="F428" s="130" t="str">
        <f>HYPERLINK("https://www.cnnindonesia.com/teknologi/20191122103644-190-450535/cara-spesial-driver-grab-tunarungu-pahami-pelanggan","sumber")</f>
        <v>sumber</v>
      </c>
      <c r="G428" s="33" t="s">
        <v>1</v>
      </c>
      <c r="H428" s="33">
        <v>299</v>
      </c>
      <c r="I428" s="33">
        <v>4</v>
      </c>
      <c r="J428" s="33">
        <v>1</v>
      </c>
      <c r="K428" s="131" t="s">
        <v>4689</v>
      </c>
      <c r="L428" s="33">
        <v>0</v>
      </c>
      <c r="M428" s="33">
        <v>0</v>
      </c>
      <c r="N428" s="132">
        <v>0</v>
      </c>
      <c r="O428" s="33">
        <v>0</v>
      </c>
      <c r="P428" s="33">
        <v>0</v>
      </c>
      <c r="Q428" s="33">
        <v>2</v>
      </c>
      <c r="R428" s="33">
        <v>1</v>
      </c>
      <c r="S428" s="133"/>
      <c r="T428" s="33">
        <v>0</v>
      </c>
      <c r="U428" s="33">
        <v>0</v>
      </c>
      <c r="V428" s="33">
        <v>1</v>
      </c>
      <c r="W428" s="24"/>
      <c r="X428" s="24"/>
      <c r="Y428" s="24"/>
    </row>
    <row r="429" spans="1:25" ht="13.2">
      <c r="A429" s="188">
        <v>1</v>
      </c>
      <c r="B429" s="22" t="s">
        <v>4690</v>
      </c>
      <c r="C429" s="22">
        <v>431</v>
      </c>
      <c r="D429" s="22">
        <v>8</v>
      </c>
      <c r="E429" s="22" t="s">
        <v>926</v>
      </c>
      <c r="F429" s="121" t="str">
        <f>HYPERLINK("https://jatim.suara.com/read/2019/11/24/212514/ngamuk-tanpa-sebab-pria-stres-tusuk-anggota-tni-hingga-tewas ","sumber")</f>
        <v>sumber</v>
      </c>
      <c r="G429" s="22" t="s">
        <v>1</v>
      </c>
      <c r="H429" s="22">
        <v>256</v>
      </c>
      <c r="I429" s="22">
        <v>1</v>
      </c>
      <c r="J429" s="22">
        <v>2</v>
      </c>
      <c r="K429" s="123" t="s">
        <v>4691</v>
      </c>
      <c r="L429" s="22">
        <v>0</v>
      </c>
      <c r="M429" s="22">
        <v>-1</v>
      </c>
      <c r="N429" s="125">
        <v>0</v>
      </c>
      <c r="O429" s="22">
        <v>0</v>
      </c>
      <c r="P429" s="22">
        <v>0</v>
      </c>
      <c r="Q429" s="22">
        <v>0</v>
      </c>
      <c r="R429" s="22">
        <v>0</v>
      </c>
      <c r="S429" s="134"/>
      <c r="T429" s="22">
        <v>0</v>
      </c>
      <c r="U429" s="22">
        <v>0</v>
      </c>
      <c r="V429" s="22">
        <v>0</v>
      </c>
      <c r="W429" s="23"/>
      <c r="X429" s="23"/>
      <c r="Y429" s="23"/>
    </row>
    <row r="430" spans="1:25" ht="14.4">
      <c r="A430" s="148">
        <v>1</v>
      </c>
      <c r="B430" s="202" t="s">
        <v>4692</v>
      </c>
      <c r="C430" s="33">
        <v>432</v>
      </c>
      <c r="D430" s="33">
        <v>6</v>
      </c>
      <c r="E430" s="33" t="s">
        <v>926</v>
      </c>
      <c r="F430" s="130" t="str">
        <f>HYPERLINK("https://www.kompas.com/tren/read/2019/11/24/182200365/studi-temukan-satu-dari-tujuh-anak-berpotensi-alami-penyakit-mental","sumber")</f>
        <v>sumber</v>
      </c>
      <c r="G430" s="33" t="s">
        <v>1</v>
      </c>
      <c r="H430" s="33">
        <v>176</v>
      </c>
      <c r="I430" s="33">
        <v>5</v>
      </c>
      <c r="J430" s="33">
        <v>2</v>
      </c>
      <c r="K430" s="131" t="s">
        <v>4693</v>
      </c>
      <c r="L430" s="33">
        <v>0</v>
      </c>
      <c r="M430" s="33">
        <v>0</v>
      </c>
      <c r="N430" s="132">
        <v>0</v>
      </c>
      <c r="O430" s="33">
        <v>0</v>
      </c>
      <c r="P430" s="33">
        <v>0</v>
      </c>
      <c r="Q430" s="33">
        <v>0</v>
      </c>
      <c r="R430" s="33">
        <v>1</v>
      </c>
      <c r="S430" s="133"/>
      <c r="T430" s="33">
        <v>0</v>
      </c>
      <c r="U430" s="33">
        <v>0</v>
      </c>
      <c r="V430" s="33">
        <v>1</v>
      </c>
      <c r="W430" s="24"/>
      <c r="X430" s="24"/>
      <c r="Y430" s="24"/>
    </row>
    <row r="431" spans="1:25" ht="14.4">
      <c r="A431" s="148">
        <v>1</v>
      </c>
      <c r="B431" s="202" t="s">
        <v>4694</v>
      </c>
      <c r="C431" s="33">
        <v>433</v>
      </c>
      <c r="D431" s="33">
        <v>3</v>
      </c>
      <c r="E431" s="33" t="s">
        <v>900</v>
      </c>
      <c r="F431" s="130" t="str">
        <f>HYPERLINK("https://index.okezone.com/read/2019/11/18/614/2131137/viral-video-pemuda-disabilitas-salat-bikin-netizen-menangis","sumber")</f>
        <v>sumber</v>
      </c>
      <c r="G431" s="33" t="s">
        <v>1</v>
      </c>
      <c r="H431" s="33">
        <v>355</v>
      </c>
      <c r="I431" s="33">
        <v>2</v>
      </c>
      <c r="J431" s="33">
        <v>2</v>
      </c>
      <c r="K431" s="131" t="s">
        <v>4695</v>
      </c>
      <c r="L431" s="33">
        <v>-1</v>
      </c>
      <c r="M431" s="33">
        <v>0</v>
      </c>
      <c r="N431" s="132">
        <v>0</v>
      </c>
      <c r="O431" s="33">
        <v>0</v>
      </c>
      <c r="P431" s="33">
        <v>0</v>
      </c>
      <c r="Q431" s="33" t="s">
        <v>57</v>
      </c>
      <c r="R431" s="33" t="s">
        <v>1026</v>
      </c>
      <c r="S431" s="131" t="s">
        <v>4696</v>
      </c>
      <c r="T431" s="33">
        <v>1</v>
      </c>
      <c r="U431" s="33">
        <v>0</v>
      </c>
      <c r="V431" s="33">
        <v>0</v>
      </c>
      <c r="W431" s="24"/>
      <c r="X431" s="24"/>
      <c r="Y431" s="24"/>
    </row>
    <row r="432" spans="1:25" ht="13.2">
      <c r="A432" s="21">
        <v>2</v>
      </c>
      <c r="B432" s="25" t="s">
        <v>4697</v>
      </c>
      <c r="C432" s="25">
        <v>434</v>
      </c>
      <c r="D432" s="25">
        <v>4</v>
      </c>
      <c r="E432" s="25" t="s">
        <v>4698</v>
      </c>
      <c r="F432" s="115" t="str">
        <f>HYPERLINK("https://www.liputan6.com/global/read/4119150/mendagri-baru-bolivia-janji-akan-penjarakan-evo-morales-30-tahun ","sumber")</f>
        <v>sumber</v>
      </c>
      <c r="G432" s="25" t="s">
        <v>1</v>
      </c>
      <c r="H432" s="25">
        <v>572</v>
      </c>
      <c r="I432" s="26"/>
      <c r="J432" s="26"/>
      <c r="K432" s="124"/>
      <c r="L432" s="26"/>
      <c r="M432" s="26"/>
      <c r="N432" s="26"/>
      <c r="O432" s="26"/>
      <c r="P432" s="26"/>
      <c r="Q432" s="26"/>
      <c r="R432" s="26"/>
      <c r="S432" s="124"/>
      <c r="T432" s="26"/>
      <c r="U432" s="26"/>
      <c r="V432" s="26"/>
      <c r="W432" s="26"/>
      <c r="X432" s="26"/>
      <c r="Y432" s="26"/>
    </row>
    <row r="433" spans="1:25" ht="13.2">
      <c r="A433" s="21">
        <v>2</v>
      </c>
      <c r="B433" s="25" t="s">
        <v>4699</v>
      </c>
      <c r="C433" s="25">
        <v>435</v>
      </c>
      <c r="D433" s="25">
        <v>3</v>
      </c>
      <c r="E433" s="25" t="s">
        <v>4698</v>
      </c>
      <c r="F433" s="115" t="str">
        <f>HYPERLINK("https://celebrity.okezone.com/read/2019/11/26/33/2134478/ustadz-riza-muhammad-merasa-diperlakukan-layaknya-teroris-saat-di-hongkong ","sumber")</f>
        <v>sumber</v>
      </c>
      <c r="G433" s="25" t="s">
        <v>1</v>
      </c>
      <c r="H433" s="25">
        <v>540</v>
      </c>
      <c r="I433" s="26"/>
      <c r="J433" s="26"/>
      <c r="K433" s="124"/>
      <c r="L433" s="26"/>
      <c r="M433" s="26"/>
      <c r="N433" s="26"/>
      <c r="O433" s="26"/>
      <c r="P433" s="26"/>
      <c r="Q433" s="26"/>
      <c r="R433" s="26"/>
      <c r="S433" s="124"/>
      <c r="T433" s="26"/>
      <c r="U433" s="26"/>
      <c r="V433" s="26"/>
      <c r="W433" s="26"/>
      <c r="X433" s="26"/>
      <c r="Y433" s="26"/>
    </row>
    <row r="434" spans="1:25" ht="13.2">
      <c r="A434" s="21">
        <v>2</v>
      </c>
      <c r="B434" s="25" t="s">
        <v>4700</v>
      </c>
      <c r="C434" s="25">
        <v>436</v>
      </c>
      <c r="D434" s="25">
        <v>6</v>
      </c>
      <c r="E434" s="297">
        <v>43811</v>
      </c>
      <c r="F434" s="115" t="str">
        <f>HYPERLINK("https://health.kompas.com/read/2019/12/12/100000468/sedang-tidak-fit-hati-hati-jilatan-anjing-bisa-bikin-infeksi ","sumber")</f>
        <v>sumber</v>
      </c>
      <c r="G434" s="25" t="s">
        <v>1</v>
      </c>
      <c r="H434" s="25">
        <v>201</v>
      </c>
      <c r="I434" s="26"/>
      <c r="J434" s="26"/>
      <c r="K434" s="124"/>
      <c r="L434" s="26"/>
      <c r="M434" s="26"/>
      <c r="N434" s="26"/>
      <c r="O434" s="26"/>
      <c r="P434" s="26"/>
      <c r="Q434" s="26"/>
      <c r="R434" s="26"/>
      <c r="S434" s="124"/>
      <c r="T434" s="26"/>
      <c r="U434" s="26"/>
      <c r="V434" s="26"/>
      <c r="W434" s="26"/>
      <c r="X434" s="26"/>
      <c r="Y434" s="26"/>
    </row>
    <row r="435" spans="1:25" ht="13.2">
      <c r="A435" s="188">
        <v>1</v>
      </c>
      <c r="B435" s="22" t="s">
        <v>4701</v>
      </c>
      <c r="C435" s="22">
        <v>437</v>
      </c>
      <c r="D435" s="22">
        <v>6</v>
      </c>
      <c r="E435" s="22" t="s">
        <v>875</v>
      </c>
      <c r="F435" s="121" t="str">
        <f>HYPERLINK("https://money.kompas.com/read/2019/12/17/190115326/resmi-grab-luncurkan-grabgerak-untuk-penyandang-disabilitas ","sumber")</f>
        <v>sumber</v>
      </c>
      <c r="G435" s="22" t="s">
        <v>1</v>
      </c>
      <c r="H435" s="22">
        <v>255</v>
      </c>
      <c r="I435" s="22">
        <v>4</v>
      </c>
      <c r="J435" s="22">
        <v>2</v>
      </c>
      <c r="K435" s="123" t="s">
        <v>4702</v>
      </c>
      <c r="L435" s="22">
        <v>0</v>
      </c>
      <c r="M435" s="22">
        <v>0</v>
      </c>
      <c r="N435" s="125">
        <v>0</v>
      </c>
      <c r="O435" s="22">
        <v>0</v>
      </c>
      <c r="P435" s="22">
        <v>0</v>
      </c>
      <c r="Q435" s="22" t="s">
        <v>21</v>
      </c>
      <c r="R435" s="22" t="s">
        <v>360</v>
      </c>
      <c r="S435" s="134"/>
      <c r="T435" s="22">
        <v>0</v>
      </c>
      <c r="U435" s="22">
        <v>0</v>
      </c>
      <c r="V435" s="22">
        <v>1</v>
      </c>
      <c r="W435" s="23"/>
      <c r="X435" s="23"/>
      <c r="Y435" s="23"/>
    </row>
    <row r="436" spans="1:25" ht="13.2">
      <c r="A436" s="188">
        <v>1</v>
      </c>
      <c r="B436" s="22" t="s">
        <v>4703</v>
      </c>
      <c r="C436" s="22">
        <v>438</v>
      </c>
      <c r="D436" s="22">
        <v>10</v>
      </c>
      <c r="E436" s="22" t="s">
        <v>875</v>
      </c>
      <c r="F436" s="121" t="str">
        <f>HYPERLINK("https://difabel.tempo.co/read/1284597/arif-setyo-budi-difabel-satu-kaki-yang-jago-breakdance ","sumber")</f>
        <v>sumber</v>
      </c>
      <c r="G436" s="22" t="s">
        <v>1</v>
      </c>
      <c r="H436" s="22">
        <v>516</v>
      </c>
      <c r="I436" s="22">
        <v>2</v>
      </c>
      <c r="J436" s="22">
        <v>2</v>
      </c>
      <c r="K436" s="123" t="s">
        <v>4704</v>
      </c>
      <c r="L436" s="22">
        <v>0</v>
      </c>
      <c r="M436" s="22">
        <v>0</v>
      </c>
      <c r="N436" s="125">
        <v>0</v>
      </c>
      <c r="O436" s="22">
        <v>0</v>
      </c>
      <c r="P436" s="22">
        <v>0</v>
      </c>
      <c r="Q436" s="22">
        <v>2</v>
      </c>
      <c r="R436" s="22">
        <v>1</v>
      </c>
      <c r="S436" s="134"/>
      <c r="T436" s="22">
        <v>0</v>
      </c>
      <c r="U436" s="22">
        <v>0</v>
      </c>
      <c r="V436" s="22">
        <v>0</v>
      </c>
      <c r="W436" s="23"/>
      <c r="X436" s="23"/>
      <c r="Y436" s="23"/>
    </row>
    <row r="437" spans="1:25" ht="13.2">
      <c r="A437" s="21">
        <v>2</v>
      </c>
      <c r="B437" s="25" t="s">
        <v>4705</v>
      </c>
      <c r="C437" s="25">
        <v>439</v>
      </c>
      <c r="D437" s="25">
        <v>3</v>
      </c>
      <c r="E437" s="25" t="s">
        <v>861</v>
      </c>
      <c r="F437" s="115" t="str">
        <f>HYPERLINK("https://lifestyle.okezone.com/read/2019/12/18/406/2143414/5-potret-liburan-nikita-willy-di-amerika-bertualang-ke-gletser-hingga-berendam ","sumber")</f>
        <v>sumber</v>
      </c>
      <c r="G437" s="25" t="s">
        <v>1</v>
      </c>
      <c r="H437" s="25">
        <v>423</v>
      </c>
      <c r="I437" s="26"/>
      <c r="J437" s="26"/>
      <c r="K437" s="124"/>
      <c r="L437" s="26"/>
      <c r="M437" s="26"/>
      <c r="N437" s="26"/>
      <c r="O437" s="26"/>
      <c r="P437" s="26"/>
      <c r="Q437" s="26"/>
      <c r="R437" s="26"/>
      <c r="S437" s="124"/>
      <c r="T437" s="26"/>
      <c r="U437" s="26"/>
      <c r="V437" s="26"/>
      <c r="W437" s="26"/>
      <c r="X437" s="26"/>
      <c r="Y437" s="26"/>
    </row>
    <row r="438" spans="1:25" ht="14.4">
      <c r="A438" s="148">
        <v>1</v>
      </c>
      <c r="B438" s="202" t="s">
        <v>4706</v>
      </c>
      <c r="C438" s="33">
        <v>440</v>
      </c>
      <c r="D438" s="33">
        <v>9</v>
      </c>
      <c r="E438" s="33" t="s">
        <v>932</v>
      </c>
      <c r="F438" s="130" t="str">
        <f>HYPERLINK("https://www.tribunnews.com/regional/2019/12/19/dari-cerita-viralnya-pria-stroke-dianiaya-istri-benarkah-mengasuh-orang-sakit-rentan-alami-stres","sumber")</f>
        <v>sumber</v>
      </c>
      <c r="G438" s="33" t="s">
        <v>1</v>
      </c>
      <c r="H438" s="33">
        <v>130</v>
      </c>
      <c r="I438" s="33">
        <v>1</v>
      </c>
      <c r="J438" s="33">
        <v>2</v>
      </c>
      <c r="K438" s="131" t="s">
        <v>4707</v>
      </c>
      <c r="L438" s="33">
        <v>-1</v>
      </c>
      <c r="M438" s="33">
        <v>-1</v>
      </c>
      <c r="N438" s="33">
        <v>-1</v>
      </c>
      <c r="O438" s="33">
        <v>0</v>
      </c>
      <c r="P438" s="33">
        <v>0</v>
      </c>
      <c r="Q438" s="33">
        <v>0</v>
      </c>
      <c r="R438" s="33">
        <v>0</v>
      </c>
      <c r="S438" s="131" t="s">
        <v>2215</v>
      </c>
      <c r="T438" s="33">
        <v>1</v>
      </c>
      <c r="U438" s="33">
        <v>0</v>
      </c>
      <c r="V438" s="33">
        <v>0</v>
      </c>
      <c r="W438" s="24"/>
      <c r="X438" s="24"/>
      <c r="Y438" s="24"/>
    </row>
    <row r="439" spans="1:25" ht="14.4">
      <c r="A439" s="148">
        <v>1</v>
      </c>
      <c r="B439" s="202" t="s">
        <v>4708</v>
      </c>
      <c r="C439" s="33">
        <v>441</v>
      </c>
      <c r="D439" s="33">
        <v>6</v>
      </c>
      <c r="E439" s="33" t="s">
        <v>864</v>
      </c>
      <c r="F439" s="130" t="str">
        <f>HYPERLINK("https://money.kompas.com/read/2019/12/20/202508026/pgn-buka-kesempatan-kerja-bagi-penyandang-disabilitas","sumber")</f>
        <v>sumber</v>
      </c>
      <c r="G439" s="33" t="s">
        <v>1</v>
      </c>
      <c r="H439" s="33">
        <v>218</v>
      </c>
      <c r="I439" s="33">
        <v>4</v>
      </c>
      <c r="J439" s="33">
        <v>2</v>
      </c>
      <c r="K439" s="131" t="s">
        <v>4709</v>
      </c>
      <c r="L439" s="33">
        <v>0</v>
      </c>
      <c r="M439" s="33">
        <v>0</v>
      </c>
      <c r="N439" s="132">
        <v>0</v>
      </c>
      <c r="O439" s="33">
        <v>0</v>
      </c>
      <c r="P439" s="33">
        <v>0</v>
      </c>
      <c r="Q439" s="33" t="s">
        <v>178</v>
      </c>
      <c r="R439" s="33" t="s">
        <v>160</v>
      </c>
      <c r="S439" s="133"/>
      <c r="T439" s="33">
        <v>0</v>
      </c>
      <c r="U439" s="33">
        <v>0</v>
      </c>
      <c r="V439" s="33">
        <v>1</v>
      </c>
      <c r="W439" s="24"/>
      <c r="X439" s="24"/>
      <c r="Y439" s="24"/>
    </row>
    <row r="440" spans="1:25" ht="13.2">
      <c r="A440" s="188">
        <v>1</v>
      </c>
      <c r="B440" s="22" t="s">
        <v>4710</v>
      </c>
      <c r="C440" s="22">
        <v>442</v>
      </c>
      <c r="D440" s="22">
        <v>6</v>
      </c>
      <c r="E440" s="22" t="s">
        <v>867</v>
      </c>
      <c r="F440" s="121" t="str">
        <f>HYPERLINK("https://regional.kompas.com/read/2019/12/21/07010001/25-formasi-lowongan-cpns-2019-di-sleman-sama-sekali-tak-ada-peminatnya ","sumber")</f>
        <v>sumber</v>
      </c>
      <c r="G440" s="22" t="s">
        <v>1</v>
      </c>
      <c r="H440" s="22">
        <v>315</v>
      </c>
      <c r="I440" s="22">
        <v>4</v>
      </c>
      <c r="J440" s="22">
        <v>2</v>
      </c>
      <c r="K440" s="123" t="s">
        <v>4711</v>
      </c>
      <c r="L440" s="22">
        <v>-1</v>
      </c>
      <c r="M440" s="22">
        <v>0</v>
      </c>
      <c r="N440" s="125">
        <v>0</v>
      </c>
      <c r="O440" s="22">
        <v>0</v>
      </c>
      <c r="P440" s="22">
        <v>0</v>
      </c>
      <c r="Q440" s="22">
        <v>0</v>
      </c>
      <c r="R440" s="22">
        <v>1</v>
      </c>
      <c r="S440" s="134"/>
      <c r="T440" s="22">
        <v>0</v>
      </c>
      <c r="U440" s="22">
        <v>0</v>
      </c>
      <c r="V440" s="22">
        <v>1</v>
      </c>
      <c r="W440" s="23"/>
      <c r="X440" s="23"/>
      <c r="Y440" s="23"/>
    </row>
    <row r="441" spans="1:25" ht="13.2">
      <c r="A441" s="188">
        <v>1</v>
      </c>
      <c r="B441" s="22" t="s">
        <v>4712</v>
      </c>
      <c r="C441" s="22">
        <v>443</v>
      </c>
      <c r="D441" s="22">
        <v>7</v>
      </c>
      <c r="E441" s="22" t="s">
        <v>1044</v>
      </c>
      <c r="F441" s="121" t="str">
        <f>HYPERLINK("https://www.tribunnews.com/regional/2019/12/25/cerita-tragis-sanima-wanita-hamil-7-bulan-disiksa-suami-dan-anak-hingga-buta-dan-meninggal-dunia ","sumber")</f>
        <v>sumber</v>
      </c>
      <c r="G441" s="22" t="s">
        <v>1</v>
      </c>
      <c r="H441" s="22">
        <v>209</v>
      </c>
      <c r="I441" s="22">
        <v>1</v>
      </c>
      <c r="J441" s="22">
        <v>1</v>
      </c>
      <c r="K441" s="123" t="s">
        <v>4713</v>
      </c>
      <c r="L441" s="22">
        <v>0</v>
      </c>
      <c r="M441" s="22">
        <v>-1</v>
      </c>
      <c r="N441" s="22">
        <v>-1</v>
      </c>
      <c r="O441" s="22">
        <v>0</v>
      </c>
      <c r="P441" s="22">
        <v>-1</v>
      </c>
      <c r="Q441" s="22">
        <v>0</v>
      </c>
      <c r="R441" s="22">
        <v>0</v>
      </c>
      <c r="S441" s="134"/>
      <c r="T441" s="22">
        <v>0</v>
      </c>
      <c r="U441" s="22">
        <v>0</v>
      </c>
      <c r="V441" s="22">
        <v>1</v>
      </c>
      <c r="W441" s="23"/>
      <c r="X441" s="23"/>
      <c r="Y441" s="23"/>
    </row>
    <row r="442" spans="1:25" ht="13.2">
      <c r="A442" s="21">
        <v>2</v>
      </c>
      <c r="B442" s="25" t="s">
        <v>4714</v>
      </c>
      <c r="C442" s="25">
        <v>444</v>
      </c>
      <c r="D442" s="25">
        <v>1</v>
      </c>
      <c r="E442" s="25" t="s">
        <v>973</v>
      </c>
      <c r="F442" s="115" t="str">
        <f>HYPERLINK("https://hot.detik.com/celeb/d-4837488/deddy-corbuzeir-anggap-uya-kuya-seperti-acar-di-nasi-goreng-kenapa ","sumber")</f>
        <v>sumber</v>
      </c>
      <c r="G442" s="25" t="s">
        <v>1</v>
      </c>
      <c r="H442" s="25">
        <v>1499</v>
      </c>
      <c r="I442" s="26"/>
      <c r="J442" s="26"/>
      <c r="K442" s="116"/>
      <c r="L442" s="26"/>
      <c r="M442" s="26"/>
      <c r="N442" s="26"/>
      <c r="O442" s="26"/>
      <c r="P442" s="26"/>
      <c r="Q442" s="26"/>
      <c r="R442" s="26"/>
      <c r="S442" s="124"/>
      <c r="T442" s="26"/>
      <c r="U442" s="26"/>
      <c r="V442" s="26"/>
      <c r="W442" s="26"/>
      <c r="X442" s="26"/>
      <c r="Y442" s="26"/>
    </row>
    <row r="443" spans="1:25" ht="13.2">
      <c r="A443" s="21">
        <v>2</v>
      </c>
      <c r="B443" s="25" t="s">
        <v>4715</v>
      </c>
      <c r="C443" s="25">
        <v>445</v>
      </c>
      <c r="D443" s="25">
        <v>7</v>
      </c>
      <c r="E443" s="25" t="s">
        <v>1048</v>
      </c>
      <c r="F443" s="115" t="str">
        <f>HYPERLINK("https://www.tribunnews.com/nasional/2019/12/28/dua-polisi-aktif-diduga-pelaku-penyiram-air-keras-terhadap-novel-baswedan-jadi-tersangka ","sumber")</f>
        <v>sumber</v>
      </c>
      <c r="G443" s="25" t="s">
        <v>1</v>
      </c>
      <c r="H443" s="26"/>
      <c r="I443" s="26"/>
      <c r="J443" s="26"/>
      <c r="K443" s="116"/>
      <c r="L443" s="26"/>
      <c r="M443" s="26"/>
      <c r="N443" s="26"/>
      <c r="O443" s="26"/>
      <c r="P443" s="26"/>
      <c r="Q443" s="26"/>
      <c r="R443" s="26"/>
      <c r="S443" s="124"/>
      <c r="T443" s="26"/>
      <c r="U443" s="26"/>
      <c r="V443" s="26"/>
      <c r="W443" s="26"/>
      <c r="X443" s="26"/>
      <c r="Y443" s="26"/>
    </row>
    <row r="444" spans="1:25" ht="13.2">
      <c r="A444" s="21">
        <v>2</v>
      </c>
      <c r="B444" s="25" t="s">
        <v>4716</v>
      </c>
      <c r="C444" s="25">
        <v>446</v>
      </c>
      <c r="D444" s="25">
        <v>1</v>
      </c>
      <c r="E444" s="25" t="s">
        <v>941</v>
      </c>
      <c r="F444" s="115" t="str">
        <f>HYPERLINK("https://health.detik.com/berita-detikhealth/d-4838980/iklan-diskon-hingga-90-persen-menjamur-penyebab-impulsif-dan-gila-belanja ","sumber")</f>
        <v>sumber</v>
      </c>
      <c r="G444" s="25" t="s">
        <v>1</v>
      </c>
      <c r="H444" s="26"/>
      <c r="I444" s="26"/>
      <c r="J444" s="26"/>
      <c r="K444" s="124"/>
      <c r="L444" s="26"/>
      <c r="M444" s="26"/>
      <c r="N444" s="26"/>
      <c r="O444" s="26"/>
      <c r="P444" s="26"/>
      <c r="Q444" s="26"/>
      <c r="R444" s="26"/>
      <c r="S444" s="124"/>
      <c r="T444" s="26"/>
      <c r="U444" s="26"/>
      <c r="V444" s="26"/>
      <c r="W444" s="26"/>
      <c r="X444" s="26"/>
      <c r="Y444" s="26"/>
    </row>
    <row r="445" spans="1:25" ht="13.2">
      <c r="A445" s="188">
        <v>1</v>
      </c>
      <c r="B445" s="22" t="s">
        <v>4717</v>
      </c>
      <c r="C445" s="22">
        <v>447</v>
      </c>
      <c r="D445" s="22">
        <v>10</v>
      </c>
      <c r="E445" s="222">
        <v>43534</v>
      </c>
      <c r="F445" s="121" t="str">
        <f>HYPERLINK("https://cantik.tempo.co/read/1255577/stella-mccartney-dan-adidas-buat-bra-khusus-mastektomi ","sumber")</f>
        <v>sumber</v>
      </c>
      <c r="G445" s="22" t="s">
        <v>1</v>
      </c>
      <c r="H445" s="22">
        <v>213</v>
      </c>
      <c r="I445" s="22">
        <v>4</v>
      </c>
      <c r="J445" s="22">
        <v>1</v>
      </c>
      <c r="K445" s="123" t="s">
        <v>4718</v>
      </c>
      <c r="L445" s="22">
        <v>0</v>
      </c>
      <c r="M445" s="22">
        <v>0</v>
      </c>
      <c r="N445" s="125">
        <v>0</v>
      </c>
      <c r="O445" s="22">
        <v>0</v>
      </c>
      <c r="P445" s="22">
        <v>0</v>
      </c>
      <c r="Q445" s="22">
        <v>0</v>
      </c>
      <c r="R445" s="22">
        <v>1</v>
      </c>
      <c r="S445" s="134"/>
      <c r="T445" s="22">
        <v>0</v>
      </c>
      <c r="U445" s="22">
        <v>0</v>
      </c>
      <c r="V445" s="22">
        <v>0</v>
      </c>
      <c r="W445" s="23"/>
      <c r="X445" s="23"/>
      <c r="Y445" s="23"/>
    </row>
    <row r="446" spans="1:25" ht="13.2">
      <c r="A446" s="21">
        <v>2</v>
      </c>
      <c r="B446" s="25" t="s">
        <v>4719</v>
      </c>
      <c r="C446" s="25">
        <v>448</v>
      </c>
      <c r="D446" s="25">
        <v>7</v>
      </c>
      <c r="E446" s="234">
        <v>43565</v>
      </c>
      <c r="F446" s="115" t="str">
        <f>HYPERLINK("https://www.tribunnews.com/seleb/2019/10/04/patuh-pada-ibu-robby-purba-akhirnya-ungkap-kriteria-khusus-perempuan-yang-bisa-dinikahinya ","sumber")</f>
        <v>sumber</v>
      </c>
      <c r="G446" s="25" t="s">
        <v>1</v>
      </c>
      <c r="H446" s="26"/>
      <c r="I446" s="26"/>
      <c r="J446" s="26"/>
      <c r="K446" s="124"/>
      <c r="L446" s="26"/>
      <c r="M446" s="26"/>
      <c r="N446" s="26"/>
      <c r="O446" s="26"/>
      <c r="P446" s="26"/>
      <c r="Q446" s="26"/>
      <c r="R446" s="26"/>
      <c r="S446" s="124"/>
      <c r="T446" s="26"/>
      <c r="U446" s="26"/>
      <c r="V446" s="26"/>
      <c r="W446" s="26"/>
      <c r="X446" s="26"/>
      <c r="Y446" s="26"/>
    </row>
    <row r="447" spans="1:25" ht="14.4">
      <c r="A447" s="148">
        <v>1</v>
      </c>
      <c r="B447" s="202" t="s">
        <v>4720</v>
      </c>
      <c r="C447" s="33">
        <v>449</v>
      </c>
      <c r="D447" s="33">
        <v>8</v>
      </c>
      <c r="E447" s="33" t="s">
        <v>4721</v>
      </c>
      <c r="F447" s="130" t="str">
        <f>HYPERLINK("https://www.suara.com/health/2019/11/23/083500/tidak-cuma-lelaki-dan-perempuan-ada-18-identitas-gender-di-thailand","sumber")</f>
        <v>sumber</v>
      </c>
      <c r="G447" s="33" t="s">
        <v>1</v>
      </c>
      <c r="H447" s="33">
        <v>208</v>
      </c>
      <c r="I447" s="33">
        <v>5</v>
      </c>
      <c r="J447" s="33">
        <v>3</v>
      </c>
      <c r="K447" s="167" t="s">
        <v>4722</v>
      </c>
      <c r="L447" s="33">
        <v>0</v>
      </c>
      <c r="M447" s="33">
        <v>0</v>
      </c>
      <c r="N447" s="132">
        <v>0</v>
      </c>
      <c r="O447" s="33">
        <v>0</v>
      </c>
      <c r="P447" s="33">
        <v>0</v>
      </c>
      <c r="Q447" s="33">
        <v>1</v>
      </c>
      <c r="R447" s="33">
        <v>1</v>
      </c>
      <c r="S447" s="133"/>
      <c r="T447" s="33">
        <v>0</v>
      </c>
      <c r="U447" s="33">
        <v>0</v>
      </c>
      <c r="V447" s="33">
        <v>1</v>
      </c>
      <c r="W447" s="24"/>
      <c r="X447" s="24"/>
      <c r="Y447" s="24"/>
    </row>
    <row r="448" spans="1:25" ht="13.2">
      <c r="A448" s="188">
        <v>1</v>
      </c>
      <c r="B448" s="22" t="s">
        <v>4723</v>
      </c>
      <c r="C448" s="22">
        <v>450</v>
      </c>
      <c r="D448" s="22">
        <v>3</v>
      </c>
      <c r="E448" s="222">
        <v>43626</v>
      </c>
      <c r="F448" s="121" t="str">
        <f>HYPERLINK("https://celebrity.okezone.com/read/2019/10/05/33/2113358/keceplosan-lucinta-luna-akui-sebagai-laki-laki ","sumber")</f>
        <v>sumber</v>
      </c>
      <c r="G448" s="22" t="s">
        <v>1</v>
      </c>
      <c r="H448" s="22">
        <v>492</v>
      </c>
      <c r="I448" s="22">
        <v>2</v>
      </c>
      <c r="J448" s="22">
        <v>3</v>
      </c>
      <c r="K448" s="123" t="s">
        <v>4724</v>
      </c>
      <c r="L448" s="22">
        <v>0</v>
      </c>
      <c r="M448" s="22">
        <v>0</v>
      </c>
      <c r="N448" s="125">
        <v>0</v>
      </c>
      <c r="O448" s="22">
        <v>0</v>
      </c>
      <c r="P448" s="22">
        <v>-1</v>
      </c>
      <c r="Q448" s="22" t="s">
        <v>21</v>
      </c>
      <c r="R448" s="22" t="s">
        <v>21</v>
      </c>
      <c r="S448" s="134"/>
      <c r="T448" s="22">
        <v>0</v>
      </c>
      <c r="U448" s="22">
        <v>0</v>
      </c>
      <c r="V448" s="22">
        <v>1</v>
      </c>
      <c r="W448" s="23"/>
      <c r="X448" s="23"/>
      <c r="Y448" s="23"/>
    </row>
    <row r="449" spans="1:25" ht="13.2">
      <c r="A449" s="188">
        <v>1</v>
      </c>
      <c r="B449" s="22" t="s">
        <v>4725</v>
      </c>
      <c r="C449" s="22">
        <v>451</v>
      </c>
      <c r="D449" s="22">
        <v>2</v>
      </c>
      <c r="E449" s="222">
        <v>43656</v>
      </c>
      <c r="F449" s="121" t="str">
        <f>HYPERLINK("https://www.cnnindonesia.com/gaya-hidup/20191006162901-269-437250/museum-vagina-pertama-di-dunia-bakal-buka-di-london ","sumber")</f>
        <v>sumber</v>
      </c>
      <c r="G449" s="22" t="s">
        <v>1</v>
      </c>
      <c r="H449" s="22">
        <v>363</v>
      </c>
      <c r="I449" s="22">
        <v>2</v>
      </c>
      <c r="J449" s="22">
        <v>1</v>
      </c>
      <c r="K449" s="123" t="s">
        <v>4726</v>
      </c>
      <c r="L449" s="22">
        <v>0</v>
      </c>
      <c r="M449" s="22">
        <v>0</v>
      </c>
      <c r="N449" s="125">
        <v>0</v>
      </c>
      <c r="O449" s="22">
        <v>0</v>
      </c>
      <c r="P449" s="22">
        <v>0</v>
      </c>
      <c r="Q449" s="22" t="s">
        <v>99</v>
      </c>
      <c r="R449" s="22" t="s">
        <v>360</v>
      </c>
      <c r="S449" s="134"/>
      <c r="T449" s="22">
        <v>0</v>
      </c>
      <c r="U449" s="22">
        <v>0</v>
      </c>
      <c r="V449" s="22">
        <v>0</v>
      </c>
      <c r="W449" s="23"/>
      <c r="X449" s="23"/>
      <c r="Y449" s="23"/>
    </row>
    <row r="450" spans="1:25" ht="13.2">
      <c r="A450" s="188">
        <v>1</v>
      </c>
      <c r="B450" s="22" t="s">
        <v>1862</v>
      </c>
      <c r="C450" s="22">
        <v>452</v>
      </c>
      <c r="D450" s="22">
        <v>1</v>
      </c>
      <c r="E450" s="222">
        <v>43718</v>
      </c>
      <c r="F450" s="121" t="str">
        <f>HYPERLINK("https://news.detik.com/berita-jawa-barat/d-4739071/bongkar-prostitusi-vila-bunga-cianjur-polisi-jawab-tantangan-warganet ","sumber")</f>
        <v>sumber</v>
      </c>
      <c r="G450" s="22" t="s">
        <v>1</v>
      </c>
      <c r="H450" s="22">
        <v>351</v>
      </c>
      <c r="I450" s="22">
        <v>1</v>
      </c>
      <c r="J450" s="22">
        <v>1</v>
      </c>
      <c r="K450" s="123" t="s">
        <v>4727</v>
      </c>
      <c r="L450" s="22">
        <v>0</v>
      </c>
      <c r="M450" s="22">
        <v>-1</v>
      </c>
      <c r="N450" s="125">
        <v>0</v>
      </c>
      <c r="O450" s="22">
        <v>0</v>
      </c>
      <c r="P450" s="22">
        <v>0</v>
      </c>
      <c r="Q450" s="22">
        <v>0</v>
      </c>
      <c r="R450" s="22">
        <v>0</v>
      </c>
      <c r="S450" s="134"/>
      <c r="T450" s="22">
        <v>0</v>
      </c>
      <c r="U450" s="22">
        <v>0</v>
      </c>
      <c r="V450" s="22">
        <v>0</v>
      </c>
      <c r="W450" s="23"/>
      <c r="X450" s="23"/>
      <c r="Y450" s="23"/>
    </row>
    <row r="451" spans="1:25" ht="13.2">
      <c r="A451" s="188">
        <v>1</v>
      </c>
      <c r="B451" s="22" t="s">
        <v>4728</v>
      </c>
      <c r="C451" s="22">
        <v>453</v>
      </c>
      <c r="D451" s="22">
        <v>6</v>
      </c>
      <c r="E451" s="298">
        <v>43748</v>
      </c>
      <c r="F451" s="121" t="str">
        <f>HYPERLINK("https://regional.kompas.com/read/2019/10/10/10535231/polisi-ungkap-jaringan-prostitusi-yang-jajakan-ladyboy ","sumber")</f>
        <v>sumber</v>
      </c>
      <c r="G451" s="22" t="s">
        <v>1</v>
      </c>
      <c r="H451" s="22">
        <v>291</v>
      </c>
      <c r="I451" s="22">
        <v>1</v>
      </c>
      <c r="J451" s="22">
        <v>3</v>
      </c>
      <c r="K451" s="299" t="s">
        <v>4727</v>
      </c>
      <c r="L451" s="22">
        <v>0</v>
      </c>
      <c r="M451" s="22">
        <v>-1</v>
      </c>
      <c r="N451" s="125">
        <v>0</v>
      </c>
      <c r="O451" s="22">
        <v>0</v>
      </c>
      <c r="P451" s="22">
        <v>0</v>
      </c>
      <c r="Q451" s="22">
        <v>0</v>
      </c>
      <c r="R451" s="22">
        <v>0</v>
      </c>
      <c r="S451" s="134"/>
      <c r="T451" s="22">
        <v>0</v>
      </c>
      <c r="U451" s="22">
        <v>0</v>
      </c>
      <c r="V451" s="22">
        <v>0</v>
      </c>
      <c r="W451" s="23"/>
      <c r="X451" s="23"/>
      <c r="Y451" s="23"/>
    </row>
    <row r="452" spans="1:25" ht="13.2">
      <c r="A452" s="188">
        <v>1</v>
      </c>
      <c r="B452" s="22" t="s">
        <v>3264</v>
      </c>
      <c r="C452" s="22">
        <v>454</v>
      </c>
      <c r="D452" s="22">
        <v>5</v>
      </c>
      <c r="E452" s="22" t="s">
        <v>900</v>
      </c>
      <c r="F452" s="121" t="str">
        <f>HYPERLINK("https://tirto.id/bentuk-bentuk-pelecehan-seksual-rayuan-hingga-perkosaan-elTB ","sumber")</f>
        <v>sumber</v>
      </c>
      <c r="G452" s="22" t="s">
        <v>1</v>
      </c>
      <c r="H452" s="22">
        <v>1006</v>
      </c>
      <c r="I452" s="22">
        <v>5</v>
      </c>
      <c r="J452" s="22">
        <v>1</v>
      </c>
      <c r="K452" s="123" t="s">
        <v>4729</v>
      </c>
      <c r="L452" s="22">
        <v>0</v>
      </c>
      <c r="M452" s="22">
        <v>0</v>
      </c>
      <c r="N452" s="125">
        <v>0</v>
      </c>
      <c r="O452" s="22">
        <v>0</v>
      </c>
      <c r="P452" s="22">
        <v>0</v>
      </c>
      <c r="Q452" s="22" t="s">
        <v>182</v>
      </c>
      <c r="R452" s="22" t="s">
        <v>160</v>
      </c>
      <c r="S452" s="134"/>
      <c r="T452" s="22">
        <v>0</v>
      </c>
      <c r="U452" s="22">
        <v>0</v>
      </c>
      <c r="V452" s="22">
        <v>1</v>
      </c>
      <c r="W452" s="23"/>
      <c r="X452" s="23"/>
      <c r="Y452" s="23"/>
    </row>
    <row r="453" spans="1:25" ht="13.2">
      <c r="A453" s="188">
        <v>1</v>
      </c>
      <c r="B453" s="22" t="s">
        <v>4730</v>
      </c>
      <c r="C453" s="22">
        <v>455</v>
      </c>
      <c r="D453" s="22">
        <v>1</v>
      </c>
      <c r="E453" s="22" t="s">
        <v>912</v>
      </c>
      <c r="F453" s="121" t="str">
        <f>HYPERLINK("https://hot.detik.com/celeb/d-4793219/kenal-seminggu-lalu-nikah-kania-bintang-pantura-berakhir-bonyok ","sumber")</f>
        <v>sumber</v>
      </c>
      <c r="G453" s="22" t="s">
        <v>1</v>
      </c>
      <c r="H453" s="22">
        <v>347</v>
      </c>
      <c r="I453" s="22">
        <v>1</v>
      </c>
      <c r="J453" s="22">
        <v>1</v>
      </c>
      <c r="K453" s="123" t="s">
        <v>4731</v>
      </c>
      <c r="L453" s="22">
        <v>0</v>
      </c>
      <c r="M453" s="22">
        <v>-1</v>
      </c>
      <c r="N453" s="125">
        <v>0</v>
      </c>
      <c r="O453" s="22">
        <v>0</v>
      </c>
      <c r="P453" s="22">
        <v>-1</v>
      </c>
      <c r="Q453" s="22">
        <v>2</v>
      </c>
      <c r="R453" s="22">
        <v>1</v>
      </c>
      <c r="S453" s="134"/>
      <c r="T453" s="22">
        <v>0</v>
      </c>
      <c r="U453" s="22">
        <v>0</v>
      </c>
      <c r="V453" s="22">
        <v>0</v>
      </c>
      <c r="W453" s="23"/>
      <c r="X453" s="23"/>
      <c r="Y453" s="23"/>
    </row>
    <row r="454" spans="1:25" ht="13.2">
      <c r="A454" s="188">
        <v>1</v>
      </c>
      <c r="B454" s="22" t="s">
        <v>4732</v>
      </c>
      <c r="C454" s="22">
        <v>456</v>
      </c>
      <c r="D454" s="22">
        <v>3</v>
      </c>
      <c r="E454" s="22" t="s">
        <v>852</v>
      </c>
      <c r="F454" s="121" t="str">
        <f>HYPERLINK("https://economy.okezone.com/read/2019/11/22/320/2133391/lgbt-tak-bisa-jadi-pns-kejaksaan-agung-menpanrb-mereka-mau-yang-sempurna ","sumber")</f>
        <v>sumber</v>
      </c>
      <c r="G454" s="22" t="s">
        <v>1</v>
      </c>
      <c r="H454" s="22">
        <v>292</v>
      </c>
      <c r="I454" s="22">
        <v>3</v>
      </c>
      <c r="J454" s="22">
        <v>3</v>
      </c>
      <c r="K454" s="123" t="s">
        <v>4733</v>
      </c>
      <c r="L454" s="22">
        <v>0</v>
      </c>
      <c r="M454" s="22">
        <v>0</v>
      </c>
      <c r="N454" s="125">
        <v>0</v>
      </c>
      <c r="O454" s="22">
        <v>0</v>
      </c>
      <c r="P454" s="22">
        <v>0</v>
      </c>
      <c r="Q454" s="22">
        <v>0</v>
      </c>
      <c r="R454" s="22">
        <v>-1</v>
      </c>
      <c r="S454" s="134"/>
      <c r="T454" s="22">
        <v>0</v>
      </c>
      <c r="U454" s="22">
        <v>0</v>
      </c>
      <c r="V454" s="22">
        <v>1</v>
      </c>
      <c r="W454" s="23"/>
      <c r="X454" s="23"/>
      <c r="Y454" s="23"/>
    </row>
    <row r="455" spans="1:25" ht="13.2">
      <c r="A455" s="188">
        <v>1</v>
      </c>
      <c r="B455" s="22" t="s">
        <v>4734</v>
      </c>
      <c r="C455" s="22">
        <v>457</v>
      </c>
      <c r="D455" s="22">
        <v>5</v>
      </c>
      <c r="E455" s="22" t="s">
        <v>852</v>
      </c>
      <c r="F455" s="121" t="str">
        <f>HYPERLINK("https://tirto.id/20-calon-anggota-komnas-perempuan-lolos-dari-tahap-wawancara-emaB ","sumber")</f>
        <v>sumber</v>
      </c>
      <c r="G455" s="22" t="s">
        <v>1</v>
      </c>
      <c r="H455" s="22">
        <v>278</v>
      </c>
      <c r="I455" s="22">
        <v>5</v>
      </c>
      <c r="J455" s="22">
        <v>1</v>
      </c>
      <c r="K455" s="123" t="s">
        <v>4735</v>
      </c>
      <c r="L455" s="22">
        <v>0</v>
      </c>
      <c r="M455" s="22">
        <v>0</v>
      </c>
      <c r="N455" s="125">
        <v>0</v>
      </c>
      <c r="O455" s="22">
        <v>0</v>
      </c>
      <c r="P455" s="22">
        <v>0</v>
      </c>
      <c r="Q455" s="22">
        <v>0</v>
      </c>
      <c r="R455" s="22">
        <v>1</v>
      </c>
      <c r="S455" s="134"/>
      <c r="T455" s="22">
        <v>0</v>
      </c>
      <c r="U455" s="22">
        <v>0</v>
      </c>
      <c r="V455" s="22">
        <v>1</v>
      </c>
      <c r="W455" s="23"/>
      <c r="X455" s="23"/>
      <c r="Y455" s="23"/>
    </row>
    <row r="456" spans="1:25" ht="14.4">
      <c r="A456" s="148">
        <v>1</v>
      </c>
      <c r="B456" s="202" t="s">
        <v>4736</v>
      </c>
      <c r="C456" s="33">
        <v>458</v>
      </c>
      <c r="D456" s="33">
        <v>7</v>
      </c>
      <c r="E456" s="33" t="s">
        <v>852</v>
      </c>
      <c r="F456" s="130" t="str">
        <f>HYPERLINK("https://www.tribunnews.com/nasional/2019/11/22/komnas-ham-nilai-syarat-daftar-cpns-di-kejagung-bertentangan-dengan-prinsip-ham-dan-uud-1945","sumber")</f>
        <v>sumber</v>
      </c>
      <c r="G456" s="33" t="s">
        <v>1</v>
      </c>
      <c r="H456" s="33">
        <v>281</v>
      </c>
      <c r="I456" s="33">
        <v>4</v>
      </c>
      <c r="J456" s="33">
        <v>3</v>
      </c>
      <c r="K456" s="131" t="s">
        <v>4737</v>
      </c>
      <c r="L456" s="33">
        <v>0</v>
      </c>
      <c r="M456" s="33">
        <v>0</v>
      </c>
      <c r="N456" s="132">
        <v>0</v>
      </c>
      <c r="O456" s="33">
        <v>0</v>
      </c>
      <c r="P456" s="33">
        <v>0</v>
      </c>
      <c r="Q456" s="33" t="s">
        <v>29</v>
      </c>
      <c r="R456" s="33" t="s">
        <v>748</v>
      </c>
      <c r="S456" s="133"/>
      <c r="T456" s="33">
        <v>0</v>
      </c>
      <c r="U456" s="33">
        <v>0</v>
      </c>
      <c r="V456" s="33">
        <v>1</v>
      </c>
      <c r="W456" s="24"/>
      <c r="X456" s="24"/>
      <c r="Y456" s="24"/>
    </row>
    <row r="457" spans="1:25" ht="13.2">
      <c r="A457" s="188">
        <v>1</v>
      </c>
      <c r="B457" s="22" t="s">
        <v>4738</v>
      </c>
      <c r="C457" s="22">
        <v>459</v>
      </c>
      <c r="D457" s="22">
        <v>5</v>
      </c>
      <c r="E457" s="22" t="s">
        <v>918</v>
      </c>
      <c r="F457" s="121" t="str">
        <f>HYPERLINK("https://tirto.id/amnesty-minta-persyaratan-diskriminatif-cpns-2019-dicabut-embF ","sumber")</f>
        <v>sumber</v>
      </c>
      <c r="G457" s="22" t="s">
        <v>1</v>
      </c>
      <c r="H457" s="22">
        <v>244</v>
      </c>
      <c r="I457" s="22">
        <v>4</v>
      </c>
      <c r="J457" s="22">
        <v>3</v>
      </c>
      <c r="K457" s="123" t="s">
        <v>4735</v>
      </c>
      <c r="L457" s="22">
        <v>0</v>
      </c>
      <c r="M457" s="22">
        <v>0</v>
      </c>
      <c r="N457" s="125">
        <v>0</v>
      </c>
      <c r="O457" s="22">
        <v>0</v>
      </c>
      <c r="P457" s="22">
        <v>0</v>
      </c>
      <c r="Q457" s="22">
        <v>0</v>
      </c>
      <c r="R457" s="22">
        <v>1</v>
      </c>
      <c r="S457" s="134"/>
      <c r="T457" s="22">
        <v>0</v>
      </c>
      <c r="U457" s="22">
        <v>0</v>
      </c>
      <c r="V457" s="22">
        <v>1</v>
      </c>
      <c r="W457" s="23"/>
      <c r="X457" s="23"/>
      <c r="Y457" s="23"/>
    </row>
    <row r="458" spans="1:25" ht="13.2">
      <c r="A458" s="188">
        <v>1</v>
      </c>
      <c r="B458" s="22" t="s">
        <v>4739</v>
      </c>
      <c r="C458" s="22">
        <v>460</v>
      </c>
      <c r="D458" s="22">
        <v>2</v>
      </c>
      <c r="E458" s="22" t="s">
        <v>928</v>
      </c>
      <c r="F458" s="121" t="str">
        <f>HYPERLINK("https://www.cnnindonesia.com/nasional/20191125064748-20-451117/masa-pendaftaran-cpns-diperpanjang-hingga-30-november ","sumber")</f>
        <v>sumber</v>
      </c>
      <c r="G458" s="22" t="s">
        <v>1</v>
      </c>
      <c r="H458" s="22">
        <v>298</v>
      </c>
      <c r="I458" s="22">
        <v>4</v>
      </c>
      <c r="J458" s="22">
        <v>3</v>
      </c>
      <c r="K458" s="123" t="s">
        <v>4740</v>
      </c>
      <c r="L458" s="22">
        <v>0</v>
      </c>
      <c r="M458" s="22">
        <v>0</v>
      </c>
      <c r="N458" s="125">
        <v>0</v>
      </c>
      <c r="O458" s="22">
        <v>0</v>
      </c>
      <c r="P458" s="22">
        <v>0</v>
      </c>
      <c r="Q458" s="22">
        <v>0</v>
      </c>
      <c r="R458" s="22">
        <v>0</v>
      </c>
      <c r="S458" s="134"/>
      <c r="T458" s="22">
        <v>0</v>
      </c>
      <c r="U458" s="22">
        <v>0</v>
      </c>
      <c r="V458" s="22">
        <v>1</v>
      </c>
      <c r="W458" s="23"/>
      <c r="X458" s="23"/>
      <c r="Y458" s="23"/>
    </row>
    <row r="459" spans="1:25" ht="13.2">
      <c r="A459" s="188">
        <v>1</v>
      </c>
      <c r="B459" s="22" t="s">
        <v>4741</v>
      </c>
      <c r="C459" s="22">
        <v>461</v>
      </c>
      <c r="D459" s="22">
        <v>4</v>
      </c>
      <c r="E459" s="22" t="s">
        <v>4742</v>
      </c>
      <c r="F459" s="121" t="str">
        <f>HYPERLINK("https://www.liputan6.com/global/read/4132887/kamus-merriam-webster-nobatkan-kata-they-sebagai-word-of-the-year-2019 ","sumber")</f>
        <v>sumber</v>
      </c>
      <c r="G459" s="22" t="s">
        <v>1</v>
      </c>
      <c r="H459" s="22">
        <v>318</v>
      </c>
      <c r="I459" s="22">
        <v>5</v>
      </c>
      <c r="J459" s="22">
        <v>3</v>
      </c>
      <c r="K459" s="123"/>
      <c r="L459" s="22">
        <v>0</v>
      </c>
      <c r="M459" s="22">
        <v>0</v>
      </c>
      <c r="N459" s="125">
        <v>0</v>
      </c>
      <c r="O459" s="22">
        <v>0</v>
      </c>
      <c r="P459" s="22">
        <v>0</v>
      </c>
      <c r="Q459" s="22"/>
      <c r="R459" s="22"/>
      <c r="S459" s="134"/>
      <c r="T459" s="22">
        <v>0</v>
      </c>
      <c r="U459" s="22">
        <v>0</v>
      </c>
      <c r="V459" s="22">
        <v>1</v>
      </c>
      <c r="W459" s="23"/>
      <c r="X459" s="23"/>
      <c r="Y459" s="23"/>
    </row>
    <row r="460" spans="1:25" ht="13.2">
      <c r="A460" s="188">
        <v>1</v>
      </c>
      <c r="B460" s="22" t="s">
        <v>4743</v>
      </c>
      <c r="C460" s="22">
        <v>462</v>
      </c>
      <c r="D460" s="22">
        <v>10</v>
      </c>
      <c r="E460" s="22" t="s">
        <v>978</v>
      </c>
      <c r="F460" s="121" t="str">
        <f>HYPERLINK("https://dunia.tempo.co/read/1283919/lukisan-pahlawan-meksiko-emiliano-zapata-picu-kontroversi ","sumber")</f>
        <v>sumber</v>
      </c>
      <c r="G460" s="22" t="s">
        <v>1</v>
      </c>
      <c r="H460" s="22">
        <v>295</v>
      </c>
      <c r="I460" s="22">
        <v>1</v>
      </c>
      <c r="J460" s="22">
        <v>3</v>
      </c>
      <c r="K460" s="123" t="s">
        <v>4744</v>
      </c>
      <c r="L460" s="22">
        <v>0</v>
      </c>
      <c r="M460" s="22">
        <v>1</v>
      </c>
      <c r="N460" s="125">
        <v>0</v>
      </c>
      <c r="O460" s="22">
        <v>0</v>
      </c>
      <c r="P460" s="22">
        <v>0</v>
      </c>
      <c r="Q460" s="22" t="s">
        <v>29</v>
      </c>
      <c r="R460" s="22" t="s">
        <v>182</v>
      </c>
      <c r="S460" s="134"/>
      <c r="T460" s="22">
        <v>0</v>
      </c>
      <c r="U460" s="22">
        <v>0</v>
      </c>
      <c r="V460" s="22">
        <v>1</v>
      </c>
      <c r="W460" s="23"/>
      <c r="X460" s="23"/>
      <c r="Y460" s="23"/>
    </row>
    <row r="461" spans="1:25" ht="13.2">
      <c r="A461" s="188">
        <v>1</v>
      </c>
      <c r="B461" s="22" t="s">
        <v>4745</v>
      </c>
      <c r="C461" s="22">
        <v>463</v>
      </c>
      <c r="D461" s="22">
        <v>3</v>
      </c>
      <c r="E461" s="22" t="s">
        <v>4746</v>
      </c>
      <c r="F461" s="121" t="str">
        <f>HYPERLINK("https://news.okezone.com/read/2019/12/16/18/2142244/tanpa-memberi-tahu-orang-tua-kami-jalankan-bisnis-rahasia-pornografi-gay ","sumber")</f>
        <v>sumber</v>
      </c>
      <c r="G461" s="22" t="s">
        <v>1</v>
      </c>
      <c r="H461" s="22">
        <v>1025</v>
      </c>
      <c r="I461" s="22">
        <v>2</v>
      </c>
      <c r="J461" s="22">
        <v>3</v>
      </c>
      <c r="K461" s="123" t="s">
        <v>4747</v>
      </c>
      <c r="L461" s="22">
        <v>0</v>
      </c>
      <c r="M461" s="22">
        <v>0</v>
      </c>
      <c r="N461" s="125">
        <v>0</v>
      </c>
      <c r="O461" s="22">
        <v>0</v>
      </c>
      <c r="P461" s="22">
        <v>0</v>
      </c>
      <c r="Q461" s="22" t="s">
        <v>106</v>
      </c>
      <c r="R461" s="22" t="s">
        <v>830</v>
      </c>
      <c r="S461" s="134"/>
      <c r="T461" s="22">
        <v>0</v>
      </c>
      <c r="U461" s="22">
        <v>0</v>
      </c>
      <c r="V461" s="22">
        <v>0</v>
      </c>
      <c r="W461" s="23"/>
      <c r="X461" s="23"/>
      <c r="Y461" s="23"/>
    </row>
    <row r="462" spans="1:25" ht="13.2">
      <c r="A462" s="188">
        <v>1</v>
      </c>
      <c r="B462" s="22" t="s">
        <v>4748</v>
      </c>
      <c r="C462" s="22">
        <v>464</v>
      </c>
      <c r="D462" s="22">
        <v>3</v>
      </c>
      <c r="E462" s="22" t="s">
        <v>875</v>
      </c>
      <c r="F462" s="121" t="str">
        <f>HYPERLINK("https://index.okezone.com/read/2019/12/16/612/2142685/pengakuan-mantan-stripper-kulit-hitam-biasa-show-untuk-mafia-hingga-tentara ","sumber")</f>
        <v>sumber</v>
      </c>
      <c r="G462" s="22" t="s">
        <v>1</v>
      </c>
      <c r="H462" s="22">
        <v>1764</v>
      </c>
      <c r="I462" s="22">
        <v>2</v>
      </c>
      <c r="J462" s="22">
        <v>1</v>
      </c>
      <c r="K462" s="123" t="s">
        <v>4749</v>
      </c>
      <c r="L462" s="22">
        <v>0</v>
      </c>
      <c r="M462" s="22">
        <v>0</v>
      </c>
      <c r="N462" s="125">
        <v>0</v>
      </c>
      <c r="O462" s="22">
        <v>0</v>
      </c>
      <c r="P462" s="22">
        <v>0</v>
      </c>
      <c r="Q462" s="22">
        <v>2</v>
      </c>
      <c r="R462" s="22">
        <v>1</v>
      </c>
      <c r="S462" s="134"/>
      <c r="T462" s="22">
        <v>0</v>
      </c>
      <c r="U462" s="22">
        <v>0</v>
      </c>
      <c r="V462" s="22">
        <v>1</v>
      </c>
      <c r="W462" s="23"/>
      <c r="X462" s="23"/>
      <c r="Y462" s="23"/>
    </row>
    <row r="463" spans="1:25" ht="13.2">
      <c r="A463" s="21">
        <v>2</v>
      </c>
      <c r="B463" s="25" t="s">
        <v>4750</v>
      </c>
      <c r="C463" s="25">
        <v>465</v>
      </c>
      <c r="D463" s="25">
        <v>1</v>
      </c>
      <c r="E463" s="25" t="s">
        <v>861</v>
      </c>
      <c r="F463" s="115" t="str">
        <f>HYPERLINK("https://hot.detik.com/movie/d-4827097/the-rise-of-skywalker-jadi-film-star-wars-yang-ditunggu-mike-lewis ","sumber")</f>
        <v>sumber</v>
      </c>
      <c r="G463" s="25" t="s">
        <v>1</v>
      </c>
      <c r="H463" s="26"/>
      <c r="I463" s="26"/>
      <c r="J463" s="26"/>
      <c r="K463" s="124"/>
      <c r="L463" s="26"/>
      <c r="M463" s="26"/>
      <c r="N463" s="26"/>
      <c r="O463" s="26"/>
      <c r="P463" s="26"/>
      <c r="Q463" s="26"/>
      <c r="R463" s="26"/>
      <c r="S463" s="124"/>
      <c r="T463" s="26"/>
      <c r="U463" s="26"/>
      <c r="V463" s="26"/>
      <c r="W463" s="26"/>
      <c r="X463" s="26"/>
      <c r="Y463" s="26"/>
    </row>
    <row r="464" spans="1:25" ht="13.2">
      <c r="A464" s="188">
        <v>1</v>
      </c>
      <c r="B464" s="22" t="s">
        <v>4751</v>
      </c>
      <c r="C464" s="22">
        <v>466</v>
      </c>
      <c r="D464" s="22">
        <v>6</v>
      </c>
      <c r="E464" s="22" t="s">
        <v>861</v>
      </c>
      <c r="F464" s="121" t="str">
        <f>HYPERLINK("https://megapolitan.kompas.com/read/2019/12/18/17293451/438-persen-pengidap-hiv-aids-di-indonesia-belum-terdata ","sumber")</f>
        <v>sumber</v>
      </c>
      <c r="G464" s="22" t="s">
        <v>1</v>
      </c>
      <c r="H464" s="22">
        <v>263</v>
      </c>
      <c r="I464" s="22">
        <v>5</v>
      </c>
      <c r="J464" s="22">
        <v>3</v>
      </c>
      <c r="K464" s="123" t="s">
        <v>4752</v>
      </c>
      <c r="L464" s="22">
        <v>0</v>
      </c>
      <c r="M464" s="22">
        <v>0</v>
      </c>
      <c r="N464" s="125">
        <v>0</v>
      </c>
      <c r="O464" s="22">
        <v>0</v>
      </c>
      <c r="P464" s="22">
        <v>0</v>
      </c>
      <c r="Q464" s="22">
        <v>0</v>
      </c>
      <c r="R464" s="22">
        <v>-1</v>
      </c>
      <c r="S464" s="134"/>
      <c r="T464" s="22">
        <v>0</v>
      </c>
      <c r="U464" s="22">
        <v>0</v>
      </c>
      <c r="V464" s="22">
        <v>1</v>
      </c>
      <c r="W464" s="23"/>
      <c r="X464" s="23"/>
      <c r="Y464" s="23"/>
    </row>
    <row r="465" spans="1:25" ht="13.2">
      <c r="A465" s="21">
        <v>2</v>
      </c>
      <c r="B465" s="25" t="s">
        <v>4753</v>
      </c>
      <c r="C465" s="25">
        <v>467</v>
      </c>
      <c r="D465" s="25">
        <v>10</v>
      </c>
      <c r="E465" s="25" t="s">
        <v>861</v>
      </c>
      <c r="F465" s="115" t="str">
        <f>HYPERLINK("https://bisnis.tempo.co/read/1285209/bea-cukai-dan-kemendag-musnahkan-barang-impor-ilegal-rp-15-m ","sumber")</f>
        <v>sumber</v>
      </c>
      <c r="G465" s="25" t="s">
        <v>1</v>
      </c>
      <c r="H465" s="26"/>
      <c r="I465" s="26"/>
      <c r="J465" s="26"/>
      <c r="K465" s="124"/>
      <c r="L465" s="26"/>
      <c r="M465" s="26"/>
      <c r="N465" s="26"/>
      <c r="O465" s="26"/>
      <c r="P465" s="26"/>
      <c r="Q465" s="26"/>
      <c r="R465" s="26"/>
      <c r="S465" s="124"/>
      <c r="T465" s="26"/>
      <c r="U465" s="26"/>
      <c r="V465" s="26"/>
      <c r="W465" s="26"/>
      <c r="X465" s="26"/>
      <c r="Y465" s="26"/>
    </row>
    <row r="466" spans="1:25" ht="14.4">
      <c r="A466" s="148">
        <v>1</v>
      </c>
      <c r="B466" s="202" t="s">
        <v>4754</v>
      </c>
      <c r="C466" s="33">
        <v>468</v>
      </c>
      <c r="D466" s="33">
        <v>1</v>
      </c>
      <c r="E466" s="33" t="s">
        <v>864</v>
      </c>
      <c r="F466" s="130" t="str">
        <f>HYPERLINK("https://hot.detik.com/book/d-4829860/jk-rowling-diserang-komunitas-lgbt-kenapa","sumber")</f>
        <v>sumber</v>
      </c>
      <c r="G466" s="33" t="s">
        <v>1</v>
      </c>
      <c r="H466" s="33">
        <v>1162</v>
      </c>
      <c r="I466" s="33">
        <v>1</v>
      </c>
      <c r="J466" s="33">
        <v>3</v>
      </c>
      <c r="K466" s="131" t="s">
        <v>4755</v>
      </c>
      <c r="L466" s="33">
        <v>-1</v>
      </c>
      <c r="M466" s="33">
        <v>1</v>
      </c>
      <c r="N466" s="132">
        <v>0</v>
      </c>
      <c r="O466" s="33">
        <v>0</v>
      </c>
      <c r="P466" s="33">
        <v>0</v>
      </c>
      <c r="Q466" s="33" t="s">
        <v>29</v>
      </c>
      <c r="R466" s="33" t="s">
        <v>141</v>
      </c>
      <c r="S466" s="133"/>
      <c r="T466" s="33">
        <v>0</v>
      </c>
      <c r="U466" s="33">
        <v>0</v>
      </c>
      <c r="V466" s="33">
        <v>0</v>
      </c>
      <c r="W466" s="24"/>
      <c r="X466" s="24"/>
      <c r="Y466" s="24"/>
    </row>
    <row r="467" spans="1:25" ht="13.2">
      <c r="A467" s="188">
        <v>1</v>
      </c>
      <c r="B467" s="22" t="s">
        <v>4756</v>
      </c>
      <c r="C467" s="22">
        <v>469</v>
      </c>
      <c r="D467" s="22">
        <v>4</v>
      </c>
      <c r="E467" s="22" t="s">
        <v>1044</v>
      </c>
      <c r="F467" s="121" t="str">
        <f>HYPERLINK("https://www.liputan6.com/global/read/4141870/pesan-natal-paus-fransiskus-tuhan-terus-mencintai-bahkan-yang-terburuk-dari-kita ","sumber")</f>
        <v>sumber</v>
      </c>
      <c r="G467" s="22" t="s">
        <v>1</v>
      </c>
      <c r="H467" s="22">
        <v>238</v>
      </c>
      <c r="I467" s="22">
        <v>3</v>
      </c>
      <c r="J467" s="22">
        <v>3</v>
      </c>
      <c r="K467" s="123" t="s">
        <v>4757</v>
      </c>
      <c r="L467" s="22">
        <v>0</v>
      </c>
      <c r="M467" s="22">
        <v>0</v>
      </c>
      <c r="N467" s="125">
        <v>0</v>
      </c>
      <c r="O467" s="22">
        <v>0</v>
      </c>
      <c r="P467" s="22">
        <v>0</v>
      </c>
      <c r="Q467" s="22">
        <v>0</v>
      </c>
      <c r="R467" s="22">
        <v>1</v>
      </c>
      <c r="S467" s="134"/>
      <c r="T467" s="22">
        <v>0</v>
      </c>
      <c r="U467" s="22">
        <v>0</v>
      </c>
      <c r="V467" s="22">
        <v>1</v>
      </c>
      <c r="W467" s="23"/>
      <c r="X467" s="23"/>
      <c r="Y467" s="23"/>
    </row>
    <row r="468" spans="1:25" ht="13.2">
      <c r="A468" s="188">
        <v>1</v>
      </c>
      <c r="B468" s="22" t="s">
        <v>4758</v>
      </c>
      <c r="C468" s="22">
        <v>470</v>
      </c>
      <c r="D468" s="22">
        <v>6</v>
      </c>
      <c r="E468" s="22" t="s">
        <v>987</v>
      </c>
      <c r="F468" s="121" t="str">
        <f>HYPERLINK("https://regional.kompas.com/read/2019/12/30/16132141/malam-tahun-baru-2020-di-puncak-cianjur-polisi-antisipasi-geliat-prostitusi ","sumber")</f>
        <v>sumber</v>
      </c>
      <c r="G468" s="22" t="s">
        <v>1</v>
      </c>
      <c r="H468" s="22">
        <v>241</v>
      </c>
      <c r="I468" s="22">
        <v>1</v>
      </c>
      <c r="J468" s="22">
        <v>1</v>
      </c>
      <c r="K468" s="123" t="s">
        <v>4759</v>
      </c>
      <c r="L468" s="22">
        <v>0</v>
      </c>
      <c r="M468" s="22">
        <v>-1</v>
      </c>
      <c r="N468" s="125">
        <v>0</v>
      </c>
      <c r="O468" s="22">
        <v>0</v>
      </c>
      <c r="P468" s="22">
        <v>0</v>
      </c>
      <c r="Q468" s="22">
        <v>0</v>
      </c>
      <c r="R468" s="22">
        <v>0</v>
      </c>
      <c r="S468" s="134"/>
      <c r="T468" s="22">
        <v>0</v>
      </c>
      <c r="U468" s="22">
        <v>0</v>
      </c>
      <c r="V468" s="22">
        <v>1</v>
      </c>
      <c r="W468" s="23"/>
      <c r="X468" s="23"/>
      <c r="Y468" s="23"/>
    </row>
    <row r="469" spans="1:25" ht="13.2">
      <c r="A469" s="188">
        <v>1</v>
      </c>
      <c r="B469" s="22" t="s">
        <v>4760</v>
      </c>
      <c r="C469" s="22">
        <v>471</v>
      </c>
      <c r="D469" s="22">
        <v>3</v>
      </c>
      <c r="E469" s="222">
        <v>43565</v>
      </c>
      <c r="F469" s="121" t="str">
        <f>HYPERLINK("https://news.okezone.com/read/2019/10/04/512/2112667/usai-nonton-wayang-gadis-ini-digilir-6-pemuda ","sumber")</f>
        <v>sumber</v>
      </c>
      <c r="G469" s="22" t="s">
        <v>1</v>
      </c>
      <c r="H469" s="22">
        <v>246</v>
      </c>
      <c r="I469" s="22">
        <v>1</v>
      </c>
      <c r="J469" s="22">
        <v>1</v>
      </c>
      <c r="K469" s="123" t="s">
        <v>4761</v>
      </c>
      <c r="L469" s="22">
        <v>0</v>
      </c>
      <c r="M469" s="22">
        <v>-1</v>
      </c>
      <c r="N469" s="125">
        <v>0</v>
      </c>
      <c r="O469" s="22">
        <v>-1</v>
      </c>
      <c r="P469" s="22">
        <v>-1</v>
      </c>
      <c r="Q469" s="22">
        <v>0</v>
      </c>
      <c r="R469" s="22">
        <v>1</v>
      </c>
      <c r="S469" s="123" t="s">
        <v>4762</v>
      </c>
      <c r="T469" s="22">
        <v>1</v>
      </c>
      <c r="U469" s="22">
        <v>0</v>
      </c>
      <c r="V469" s="22">
        <v>0</v>
      </c>
      <c r="W469" s="23"/>
      <c r="X469" s="23"/>
      <c r="Y469" s="23"/>
    </row>
    <row r="470" spans="1:25" ht="13.2">
      <c r="A470" s="188">
        <v>1</v>
      </c>
      <c r="B470" s="22" t="s">
        <v>4763</v>
      </c>
      <c r="C470" s="22">
        <v>472</v>
      </c>
      <c r="D470" s="22">
        <v>5</v>
      </c>
      <c r="E470" s="222">
        <v>43565</v>
      </c>
      <c r="F470" s="121" t="str">
        <f>HYPERLINK("https://tirto.id/apakah-puan-maharani-sanggup-mempercepat-pengesahan-ruu-pks-ejbf ","sumber")</f>
        <v>sumber</v>
      </c>
      <c r="G470" s="22" t="s">
        <v>1</v>
      </c>
      <c r="H470" s="22">
        <v>727</v>
      </c>
      <c r="I470" s="22">
        <v>4</v>
      </c>
      <c r="J470" s="22">
        <v>1</v>
      </c>
      <c r="K470" s="123" t="s">
        <v>4764</v>
      </c>
      <c r="L470" s="22">
        <v>0</v>
      </c>
      <c r="M470" s="22">
        <v>0</v>
      </c>
      <c r="N470" s="125">
        <v>0</v>
      </c>
      <c r="O470" s="22">
        <v>0</v>
      </c>
      <c r="P470" s="22">
        <v>0</v>
      </c>
      <c r="Q470" s="22" t="s">
        <v>4765</v>
      </c>
      <c r="R470" s="22" t="s">
        <v>1271</v>
      </c>
      <c r="S470" s="134"/>
      <c r="T470" s="22">
        <v>0</v>
      </c>
      <c r="U470" s="22">
        <v>0</v>
      </c>
      <c r="V470" s="22">
        <v>1</v>
      </c>
      <c r="W470" s="23"/>
      <c r="X470" s="23"/>
      <c r="Y470" s="23"/>
    </row>
    <row r="471" spans="1:25" ht="13.2">
      <c r="A471" s="188">
        <v>1</v>
      </c>
      <c r="B471" s="22" t="s">
        <v>4766</v>
      </c>
      <c r="C471" s="22">
        <v>473</v>
      </c>
      <c r="D471" s="22">
        <v>10</v>
      </c>
      <c r="E471" s="222">
        <v>43595</v>
      </c>
      <c r="F471" s="121" t="str">
        <f>HYPERLINK("https://nasional.tempo.co/read/1256187/mui-sebut-ruu-pks-feminis-begini-kata-komnas-perempuan ","sumber")</f>
        <v>sumber</v>
      </c>
      <c r="G471" s="22" t="s">
        <v>1</v>
      </c>
      <c r="H471" s="22">
        <v>254</v>
      </c>
      <c r="I471" s="22">
        <v>4</v>
      </c>
      <c r="J471" s="22">
        <v>1</v>
      </c>
      <c r="K471" s="123" t="s">
        <v>4767</v>
      </c>
      <c r="L471" s="22">
        <v>0</v>
      </c>
      <c r="M471" s="22">
        <v>0</v>
      </c>
      <c r="N471" s="125">
        <v>0</v>
      </c>
      <c r="O471" s="22">
        <v>0</v>
      </c>
      <c r="P471" s="22">
        <v>0</v>
      </c>
      <c r="Q471" s="22" t="s">
        <v>68</v>
      </c>
      <c r="R471" s="22" t="s">
        <v>748</v>
      </c>
      <c r="S471" s="134"/>
      <c r="T471" s="22">
        <v>0</v>
      </c>
      <c r="U471" s="22">
        <v>0</v>
      </c>
      <c r="V471" s="22">
        <v>1</v>
      </c>
      <c r="W471" s="23"/>
      <c r="X471" s="23"/>
      <c r="Y471" s="23"/>
    </row>
    <row r="472" spans="1:25" ht="13.2">
      <c r="A472" s="209">
        <v>1</v>
      </c>
      <c r="B472" s="132" t="s">
        <v>4768</v>
      </c>
      <c r="C472" s="33">
        <v>474</v>
      </c>
      <c r="D472" s="33">
        <v>4</v>
      </c>
      <c r="E472" s="288">
        <v>43626</v>
      </c>
      <c r="F472" s="130" t="str">
        <f>HYPERLINK("https://www.liputan6.com/global/read/4079951/seorang-wni-jadi-korban-kdrt-oleh-suami-di-kuwait ","sumber")</f>
        <v>sumber</v>
      </c>
      <c r="G472" s="33" t="s">
        <v>1</v>
      </c>
      <c r="H472" s="33">
        <v>196</v>
      </c>
      <c r="I472" s="33">
        <v>1</v>
      </c>
      <c r="J472" s="33">
        <v>1</v>
      </c>
      <c r="K472" s="131" t="s">
        <v>4769</v>
      </c>
      <c r="L472" s="33">
        <v>0</v>
      </c>
      <c r="M472" s="147">
        <v>0</v>
      </c>
      <c r="N472" s="132">
        <v>0</v>
      </c>
      <c r="O472" s="33">
        <v>0</v>
      </c>
      <c r="P472" s="33">
        <v>0</v>
      </c>
      <c r="Q472" s="33" t="s">
        <v>29</v>
      </c>
      <c r="R472" s="33" t="s">
        <v>160</v>
      </c>
      <c r="S472" s="131"/>
      <c r="T472" s="33">
        <v>0</v>
      </c>
      <c r="U472" s="33">
        <v>0</v>
      </c>
      <c r="V472" s="33">
        <v>0</v>
      </c>
      <c r="W472" s="24"/>
      <c r="X472" s="24"/>
      <c r="Y472" s="24"/>
    </row>
    <row r="473" spans="1:25" ht="14.4">
      <c r="A473" s="148">
        <v>1</v>
      </c>
      <c r="B473" s="202" t="s">
        <v>2779</v>
      </c>
      <c r="C473" s="33">
        <v>475</v>
      </c>
      <c r="D473" s="33">
        <v>7</v>
      </c>
      <c r="E473" s="288">
        <v>43626</v>
      </c>
      <c r="F473" s="130" t="str">
        <f>HYPERLINK("https://www.tribunnews.com/regional/2019/10/06/dibekap-dan-akan-diperkosa-oleh-teman-suaminya-ibu-muda-ini-melawan-dan-bikin-pelaku-kecut","sumber")</f>
        <v>sumber</v>
      </c>
      <c r="G473" s="33" t="s">
        <v>1</v>
      </c>
      <c r="H473" s="33">
        <v>212</v>
      </c>
      <c r="I473" s="33">
        <v>1</v>
      </c>
      <c r="J473" s="33">
        <v>1</v>
      </c>
      <c r="K473" s="131" t="s">
        <v>4770</v>
      </c>
      <c r="L473" s="33">
        <v>0</v>
      </c>
      <c r="M473" s="33">
        <v>-1</v>
      </c>
      <c r="N473" s="132">
        <v>0</v>
      </c>
      <c r="O473" s="33">
        <v>-1</v>
      </c>
      <c r="P473" s="33">
        <v>-1</v>
      </c>
      <c r="Q473" s="33" t="s">
        <v>29</v>
      </c>
      <c r="R473" s="33" t="s">
        <v>160</v>
      </c>
      <c r="S473" s="131" t="s">
        <v>4771</v>
      </c>
      <c r="T473" s="33">
        <v>2</v>
      </c>
      <c r="U473" s="33">
        <v>0</v>
      </c>
      <c r="V473" s="33">
        <v>0</v>
      </c>
      <c r="W473" s="24"/>
      <c r="X473" s="24"/>
      <c r="Y473" s="24"/>
    </row>
    <row r="474" spans="1:25" ht="13.2">
      <c r="A474" s="188">
        <v>1</v>
      </c>
      <c r="B474" s="22" t="s">
        <v>4772</v>
      </c>
      <c r="C474" s="22">
        <v>476</v>
      </c>
      <c r="D474" s="22">
        <v>3</v>
      </c>
      <c r="E474" s="222">
        <v>43656</v>
      </c>
      <c r="F474" s="121" t="str">
        <f>HYPERLINK("https://news.okezone.com/read/2019/10/07/18/2113848/mantan-ketua-parlemen-nepal-ditangkap-atas-tuduhan-pemerkosaan ","sumber")</f>
        <v>sumber</v>
      </c>
      <c r="G474" s="22" t="s">
        <v>1</v>
      </c>
      <c r="H474" s="22">
        <v>235</v>
      </c>
      <c r="I474" s="22">
        <v>1</v>
      </c>
      <c r="J474" s="22">
        <v>1</v>
      </c>
      <c r="K474" s="123" t="s">
        <v>4773</v>
      </c>
      <c r="L474" s="22">
        <v>0</v>
      </c>
      <c r="M474" s="22">
        <v>1</v>
      </c>
      <c r="N474" s="125">
        <v>0</v>
      </c>
      <c r="O474" s="22">
        <v>0</v>
      </c>
      <c r="P474" s="22">
        <v>0</v>
      </c>
      <c r="Q474" s="22" t="s">
        <v>178</v>
      </c>
      <c r="R474" s="22" t="s">
        <v>68</v>
      </c>
      <c r="S474" s="134"/>
      <c r="T474" s="22">
        <v>0</v>
      </c>
      <c r="U474" s="22">
        <v>0</v>
      </c>
      <c r="V474" s="22">
        <v>0</v>
      </c>
      <c r="W474" s="23"/>
      <c r="X474" s="23"/>
      <c r="Y474" s="23"/>
    </row>
    <row r="475" spans="1:25" ht="14.4">
      <c r="A475" s="148">
        <v>1</v>
      </c>
      <c r="B475" s="202" t="s">
        <v>2783</v>
      </c>
      <c r="C475" s="33">
        <v>477</v>
      </c>
      <c r="D475" s="33">
        <v>8</v>
      </c>
      <c r="E475" s="288">
        <v>43656</v>
      </c>
      <c r="F475" s="130" t="str">
        <f>HYPERLINK("https://www.suara.com/news/2019/10/07/173849/perempuan-indonesia-dibakar-hidup-hidup-suaminya-di-kuwait","sumber")</f>
        <v>sumber</v>
      </c>
      <c r="G475" s="33" t="s">
        <v>1</v>
      </c>
      <c r="H475" s="33">
        <v>190</v>
      </c>
      <c r="I475" s="33">
        <v>1</v>
      </c>
      <c r="J475" s="33">
        <v>1</v>
      </c>
      <c r="K475" s="131" t="s">
        <v>4774</v>
      </c>
      <c r="L475" s="33">
        <v>0</v>
      </c>
      <c r="M475" s="33">
        <v>-1</v>
      </c>
      <c r="N475" s="132">
        <v>0</v>
      </c>
      <c r="O475" s="33">
        <v>1</v>
      </c>
      <c r="P475" s="33">
        <v>0</v>
      </c>
      <c r="Q475" s="33">
        <v>0</v>
      </c>
      <c r="R475" s="33">
        <v>1</v>
      </c>
      <c r="S475" s="133"/>
      <c r="T475" s="33">
        <v>0</v>
      </c>
      <c r="U475" s="33">
        <v>0</v>
      </c>
      <c r="V475" s="33">
        <v>0</v>
      </c>
      <c r="W475" s="24"/>
      <c r="X475" s="24"/>
      <c r="Y475" s="24"/>
    </row>
    <row r="476" spans="1:25" ht="13.2">
      <c r="A476" s="188">
        <v>1</v>
      </c>
      <c r="B476" s="22" t="s">
        <v>4775</v>
      </c>
      <c r="C476" s="22">
        <v>478</v>
      </c>
      <c r="D476" s="22">
        <v>3</v>
      </c>
      <c r="E476" s="222">
        <v>43687</v>
      </c>
      <c r="F476" s="121" t="str">
        <f>HYPERLINK("https://news.okezone.com/read/2019/10/08/18/2114456/akui-habisi-93-korbannya-samuel-little-jadi-pembunuh-paling-produktif-di-as ","sumber")</f>
        <v>sumber</v>
      </c>
      <c r="G476" s="22" t="s">
        <v>1</v>
      </c>
      <c r="H476" s="22">
        <v>486</v>
      </c>
      <c r="I476" s="22">
        <v>1</v>
      </c>
      <c r="J476" s="22">
        <v>1</v>
      </c>
      <c r="K476" s="123" t="s">
        <v>4776</v>
      </c>
      <c r="L476" s="22">
        <v>0</v>
      </c>
      <c r="M476" s="22">
        <v>1</v>
      </c>
      <c r="N476" s="125">
        <v>0</v>
      </c>
      <c r="O476" s="22">
        <v>0</v>
      </c>
      <c r="P476" s="22">
        <v>0</v>
      </c>
      <c r="Q476" s="22">
        <v>0</v>
      </c>
      <c r="R476" s="22">
        <v>-1</v>
      </c>
      <c r="S476" s="134"/>
      <c r="T476" s="22">
        <v>0</v>
      </c>
      <c r="U476" s="22">
        <v>0</v>
      </c>
      <c r="V476" s="22">
        <v>1</v>
      </c>
      <c r="W476" s="23"/>
      <c r="X476" s="23"/>
      <c r="Y476" s="23"/>
    </row>
    <row r="477" spans="1:25" ht="13.2">
      <c r="A477" s="188">
        <v>1</v>
      </c>
      <c r="B477" s="22" t="s">
        <v>4777</v>
      </c>
      <c r="C477" s="22">
        <v>479</v>
      </c>
      <c r="D477" s="22">
        <v>10</v>
      </c>
      <c r="E477" s="222">
        <v>43718</v>
      </c>
      <c r="F477" s="121" t="str">
        <f>HYPERLINK("https://bisnis.tempo.co/read/1257331/kspi-banyak-perjanjian-kerja-yang-tak-mengatur-pelecehan-seksual ","sumber")</f>
        <v>sumber</v>
      </c>
      <c r="G477" s="22" t="s">
        <v>1</v>
      </c>
      <c r="H477" s="22">
        <v>274</v>
      </c>
      <c r="I477" s="22">
        <v>4</v>
      </c>
      <c r="J477" s="22">
        <v>1</v>
      </c>
      <c r="K477" s="123" t="s">
        <v>4778</v>
      </c>
      <c r="L477" s="22">
        <v>0</v>
      </c>
      <c r="M477" s="22">
        <v>0</v>
      </c>
      <c r="N477" s="125">
        <v>0</v>
      </c>
      <c r="O477" s="22">
        <v>0</v>
      </c>
      <c r="P477" s="22">
        <v>0</v>
      </c>
      <c r="Q477" s="22" t="s">
        <v>29</v>
      </c>
      <c r="R477" s="22" t="s">
        <v>160</v>
      </c>
      <c r="S477" s="134"/>
      <c r="T477" s="22">
        <v>0</v>
      </c>
      <c r="U477" s="22">
        <v>0</v>
      </c>
      <c r="V477" s="22">
        <v>1</v>
      </c>
      <c r="W477" s="23"/>
      <c r="X477" s="23"/>
      <c r="Y477" s="23"/>
    </row>
    <row r="478" spans="1:25" ht="13.2">
      <c r="A478" s="188">
        <v>1</v>
      </c>
      <c r="B478" s="22" t="s">
        <v>4779</v>
      </c>
      <c r="C478" s="22">
        <v>480</v>
      </c>
      <c r="D478" s="22">
        <v>7</v>
      </c>
      <c r="E478" s="222">
        <v>43718</v>
      </c>
      <c r="F478" s="121" t="str">
        <f>HYPERLINK("https://www.tribunnews.com/internasional/2019/10/09/video-investigasi-bbc-pengamat-politik-di-afrika-yang-sering-tampil-di-tv-kerap-cabuli-mahasiswinya ","sumber")</f>
        <v>sumber</v>
      </c>
      <c r="G478" s="22" t="s">
        <v>1</v>
      </c>
      <c r="H478" s="22">
        <v>181</v>
      </c>
      <c r="I478" s="22">
        <v>1</v>
      </c>
      <c r="J478" s="22">
        <v>1</v>
      </c>
      <c r="K478" s="123">
        <v>0</v>
      </c>
      <c r="L478" s="22">
        <v>0</v>
      </c>
      <c r="M478" s="22">
        <v>-1</v>
      </c>
      <c r="N478" s="125">
        <v>0</v>
      </c>
      <c r="O478" s="22">
        <v>0</v>
      </c>
      <c r="P478" s="22">
        <v>0</v>
      </c>
      <c r="Q478" s="22">
        <v>0</v>
      </c>
      <c r="R478" s="22">
        <v>0</v>
      </c>
      <c r="S478" s="134"/>
      <c r="T478" s="22">
        <v>0</v>
      </c>
      <c r="U478" s="22">
        <v>0</v>
      </c>
      <c r="V478" s="22">
        <v>1</v>
      </c>
      <c r="W478" s="23"/>
      <c r="X478" s="23"/>
      <c r="Y478" s="23"/>
    </row>
    <row r="479" spans="1:25" ht="14.4">
      <c r="A479" s="148">
        <v>1</v>
      </c>
      <c r="B479" s="202" t="s">
        <v>4780</v>
      </c>
      <c r="C479" s="33">
        <v>481</v>
      </c>
      <c r="D479" s="33">
        <v>2</v>
      </c>
      <c r="E479" s="33" t="s">
        <v>4698</v>
      </c>
      <c r="F479" s="130" t="str">
        <f>HYPERLINK("https://www.cnnindonesia.com/internasional/20191126162224-134-451643/cabuli-anak-tuna-rungu-2-pastor-argentina-dibui-40-tahun","sumber")</f>
        <v>sumber</v>
      </c>
      <c r="G479" s="33" t="s">
        <v>1</v>
      </c>
      <c r="H479" s="33">
        <v>258</v>
      </c>
      <c r="I479" s="33">
        <v>1</v>
      </c>
      <c r="J479" s="33">
        <v>1</v>
      </c>
      <c r="K479" s="131"/>
      <c r="L479" s="33">
        <v>-1</v>
      </c>
      <c r="M479" s="33">
        <v>-1</v>
      </c>
      <c r="N479" s="132">
        <v>0</v>
      </c>
      <c r="O479" s="33">
        <v>1</v>
      </c>
      <c r="P479" s="33">
        <v>0</v>
      </c>
      <c r="Q479" s="33"/>
      <c r="R479" s="33"/>
      <c r="S479" s="133"/>
      <c r="T479" s="33">
        <v>0</v>
      </c>
      <c r="U479" s="33">
        <v>0</v>
      </c>
      <c r="V479" s="33">
        <v>0</v>
      </c>
      <c r="W479" s="24"/>
      <c r="X479" s="24"/>
      <c r="Y479" s="24"/>
    </row>
    <row r="480" spans="1:25" ht="13.2">
      <c r="A480" s="188">
        <v>1</v>
      </c>
      <c r="B480" s="22" t="s">
        <v>4781</v>
      </c>
      <c r="C480" s="22">
        <v>482</v>
      </c>
      <c r="D480" s="22">
        <v>7</v>
      </c>
      <c r="E480" s="22" t="s">
        <v>850</v>
      </c>
      <c r="F480" s="121" t="str">
        <f>HYPERLINK("https://www.tribunnews.com/regional/2019/11/20/pasutri-di-gresik-jual-3-janda-via-whatsapp-tarif-sekali-kencan-rp-400-ribu ","sumber")</f>
        <v>sumber</v>
      </c>
      <c r="G480" s="22" t="s">
        <v>1</v>
      </c>
      <c r="H480" s="22">
        <v>159</v>
      </c>
      <c r="I480" s="22">
        <v>1</v>
      </c>
      <c r="J480" s="22">
        <v>1</v>
      </c>
      <c r="K480" s="123" t="s">
        <v>4782</v>
      </c>
      <c r="L480" s="22">
        <v>0</v>
      </c>
      <c r="M480" s="22">
        <v>-1</v>
      </c>
      <c r="N480" s="125">
        <v>0</v>
      </c>
      <c r="O480" s="22">
        <v>0</v>
      </c>
      <c r="P480" s="22">
        <v>-1</v>
      </c>
      <c r="Q480" s="22">
        <v>0</v>
      </c>
      <c r="R480" s="22">
        <v>1</v>
      </c>
      <c r="S480" s="123" t="s">
        <v>4783</v>
      </c>
      <c r="T480" s="22">
        <v>1</v>
      </c>
      <c r="U480" s="22">
        <v>0</v>
      </c>
      <c r="V480" s="22">
        <v>0</v>
      </c>
      <c r="W480" s="23"/>
      <c r="X480" s="23"/>
      <c r="Y480" s="23"/>
    </row>
    <row r="481" spans="1:25" ht="13.2">
      <c r="A481" s="188">
        <v>1</v>
      </c>
      <c r="B481" s="22" t="s">
        <v>4784</v>
      </c>
      <c r="C481" s="22">
        <v>483</v>
      </c>
      <c r="D481" s="22">
        <v>7</v>
      </c>
      <c r="E481" s="22" t="s">
        <v>912</v>
      </c>
      <c r="F481" s="121" t="str">
        <f>HYPERLINK("https://www.tribunnews.com/regional/2019/11/21/satpol-pp-kota-tangerang-ciduk-nenek-60-tahun-di-hotel-bersama-pemuda-21-tahun ","sumber")</f>
        <v>sumber</v>
      </c>
      <c r="G481" s="22" t="s">
        <v>1</v>
      </c>
      <c r="H481" s="22">
        <v>112</v>
      </c>
      <c r="I481" s="22">
        <v>1</v>
      </c>
      <c r="J481" s="22">
        <v>1</v>
      </c>
      <c r="K481" s="123" t="s">
        <v>4785</v>
      </c>
      <c r="L481" s="22">
        <v>0</v>
      </c>
      <c r="M481" s="22">
        <v>-1</v>
      </c>
      <c r="N481" s="125">
        <v>0</v>
      </c>
      <c r="O481" s="22">
        <v>0</v>
      </c>
      <c r="P481" s="22">
        <v>-1</v>
      </c>
      <c r="Q481" s="22">
        <v>0</v>
      </c>
      <c r="R481" s="22">
        <v>-1</v>
      </c>
      <c r="S481" s="123" t="s">
        <v>4786</v>
      </c>
      <c r="T481" s="22">
        <v>1</v>
      </c>
      <c r="U481" s="22">
        <v>0</v>
      </c>
      <c r="V481" s="22">
        <v>0</v>
      </c>
      <c r="W481" s="23"/>
      <c r="X481" s="23"/>
      <c r="Y481" s="23"/>
    </row>
    <row r="482" spans="1:25" ht="13.2">
      <c r="A482" s="188">
        <v>1</v>
      </c>
      <c r="B482" s="22" t="s">
        <v>4787</v>
      </c>
      <c r="C482" s="22">
        <v>484</v>
      </c>
      <c r="D482" s="22">
        <v>2</v>
      </c>
      <c r="E482" s="22" t="s">
        <v>852</v>
      </c>
      <c r="F482" s="121" t="str">
        <f>HYPERLINK("https://www.cnnindonesia.com/internasional/20191122143219-113-450625/pria-australia-kalap-pukuli-muslimah-hamil-tanpa-alasan ","sumber")</f>
        <v>sumber</v>
      </c>
      <c r="G482" s="22" t="s">
        <v>1</v>
      </c>
      <c r="H482" s="22">
        <v>361</v>
      </c>
      <c r="I482" s="22">
        <v>1</v>
      </c>
      <c r="J482" s="22">
        <v>1</v>
      </c>
      <c r="K482" s="123" t="s">
        <v>4788</v>
      </c>
      <c r="L482" s="22">
        <v>0</v>
      </c>
      <c r="M482" s="22">
        <v>-1</v>
      </c>
      <c r="N482" s="125">
        <v>0</v>
      </c>
      <c r="O482" s="22">
        <v>0</v>
      </c>
      <c r="P482" s="22">
        <v>0</v>
      </c>
      <c r="Q482" s="22" t="s">
        <v>29</v>
      </c>
      <c r="R482" s="22" t="s">
        <v>160</v>
      </c>
      <c r="S482" s="123"/>
      <c r="T482" s="22">
        <v>0</v>
      </c>
      <c r="U482" s="22">
        <v>0</v>
      </c>
      <c r="V482" s="22">
        <v>1</v>
      </c>
      <c r="W482" s="23"/>
      <c r="X482" s="23"/>
      <c r="Y482" s="23"/>
    </row>
    <row r="483" spans="1:25" ht="13.2">
      <c r="A483" s="188">
        <v>1</v>
      </c>
      <c r="B483" s="22" t="s">
        <v>3973</v>
      </c>
      <c r="C483" s="22">
        <v>485</v>
      </c>
      <c r="D483" s="22">
        <v>9</v>
      </c>
      <c r="E483" s="22" t="s">
        <v>852</v>
      </c>
      <c r="F483" s="121" t="str">
        <f>HYPERLINK("https://internasional.republika.co.id/berita/q1dcn2/kritik-profesor-australia-indonesia-susah-terima-perbedaan ","sumber")</f>
        <v>sumber</v>
      </c>
      <c r="G483" s="22" t="s">
        <v>1</v>
      </c>
      <c r="H483" s="22">
        <v>719</v>
      </c>
      <c r="I483" s="22">
        <v>4</v>
      </c>
      <c r="J483" s="22">
        <v>1</v>
      </c>
      <c r="K483" s="123" t="s">
        <v>4789</v>
      </c>
      <c r="L483" s="22">
        <v>0</v>
      </c>
      <c r="M483" s="22">
        <v>0</v>
      </c>
      <c r="N483" s="125">
        <v>0</v>
      </c>
      <c r="O483" s="22">
        <v>0</v>
      </c>
      <c r="P483" s="22">
        <v>0</v>
      </c>
      <c r="Q483" s="22">
        <v>0</v>
      </c>
      <c r="R483" s="22">
        <v>1</v>
      </c>
      <c r="S483" s="134"/>
      <c r="T483" s="22">
        <v>0</v>
      </c>
      <c r="U483" s="22">
        <v>0</v>
      </c>
      <c r="V483" s="22">
        <v>1</v>
      </c>
      <c r="W483" s="23"/>
      <c r="X483" s="23"/>
      <c r="Y483" s="23"/>
    </row>
    <row r="484" spans="1:25" ht="14.4">
      <c r="A484" s="148">
        <v>1</v>
      </c>
      <c r="B484" s="202" t="s">
        <v>4790</v>
      </c>
      <c r="C484" s="33">
        <v>486</v>
      </c>
      <c r="D484" s="33">
        <v>7</v>
      </c>
      <c r="E484" s="288">
        <v>43565</v>
      </c>
      <c r="F484" s="130" t="str">
        <f>HYPERLINK("https://www.tribunnews.com/metropolitan/2019/10/04/pelecehan-seksual-bermodus-tanya-alamat-terjadi-di-depok-korbannya-sampai-trauma","sumber")</f>
        <v>sumber</v>
      </c>
      <c r="G484" s="33" t="s">
        <v>1</v>
      </c>
      <c r="H484" s="33">
        <v>249</v>
      </c>
      <c r="I484" s="33">
        <v>1</v>
      </c>
      <c r="J484" s="33">
        <v>1</v>
      </c>
      <c r="K484" s="131" t="s">
        <v>4791</v>
      </c>
      <c r="L484" s="33">
        <v>-1</v>
      </c>
      <c r="M484" s="33">
        <v>-1</v>
      </c>
      <c r="N484" s="132">
        <v>0</v>
      </c>
      <c r="O484" s="33">
        <v>-1</v>
      </c>
      <c r="P484" s="33">
        <v>-1</v>
      </c>
      <c r="Q484" s="33">
        <v>0</v>
      </c>
      <c r="R484" s="33">
        <v>1</v>
      </c>
      <c r="S484" s="133"/>
      <c r="T484" s="33">
        <v>0</v>
      </c>
      <c r="U484" s="33">
        <v>0</v>
      </c>
      <c r="V484" s="33">
        <v>0</v>
      </c>
      <c r="W484" s="24"/>
      <c r="X484" s="24"/>
      <c r="Y484" s="24"/>
    </row>
    <row r="485" spans="1:25" ht="14.4">
      <c r="A485" s="148">
        <v>1</v>
      </c>
      <c r="B485" s="202" t="s">
        <v>4792</v>
      </c>
      <c r="C485" s="33">
        <v>487</v>
      </c>
      <c r="D485" s="33">
        <v>2</v>
      </c>
      <c r="E485" s="33" t="s">
        <v>918</v>
      </c>
      <c r="F485" s="130" t="str">
        <f>HYPERLINK("https://www.cnnindonesia.com/internasional/20191122205538-113-450785/minta-dicekik-leher-saat-berhubungan-wanita-inggris-tewas","sumber")</f>
        <v>sumber</v>
      </c>
      <c r="G485" s="33" t="s">
        <v>1</v>
      </c>
      <c r="H485" s="33">
        <v>319</v>
      </c>
      <c r="I485" s="33">
        <v>1</v>
      </c>
      <c r="J485" s="33">
        <v>1</v>
      </c>
      <c r="K485" s="131" t="s">
        <v>4793</v>
      </c>
      <c r="L485" s="33">
        <v>-1</v>
      </c>
      <c r="M485" s="147">
        <v>0</v>
      </c>
      <c r="N485" s="33">
        <v>-1</v>
      </c>
      <c r="O485" s="33">
        <v>-1</v>
      </c>
      <c r="P485" s="33">
        <v>-1</v>
      </c>
      <c r="Q485" s="33">
        <v>0</v>
      </c>
      <c r="R485" s="33">
        <v>1</v>
      </c>
      <c r="S485" s="133"/>
      <c r="T485" s="33">
        <v>0</v>
      </c>
      <c r="U485" s="33">
        <v>0</v>
      </c>
      <c r="V485" s="33">
        <v>0</v>
      </c>
      <c r="W485" s="24"/>
      <c r="X485" s="24"/>
      <c r="Y485" s="24"/>
    </row>
    <row r="486" spans="1:25" ht="13.2">
      <c r="A486" s="188">
        <v>1</v>
      </c>
      <c r="B486" s="22" t="s">
        <v>4794</v>
      </c>
      <c r="C486" s="22">
        <v>488</v>
      </c>
      <c r="D486" s="22">
        <v>9</v>
      </c>
      <c r="E486" s="22" t="s">
        <v>918</v>
      </c>
      <c r="F486" s="121" t="str">
        <f>HYPERLINK("https://nasional.republika.co.id/berita/q1e7zv328/pelaku-pelemparan-sperma-juga-rampas-ponsel-korban ","sumber")</f>
        <v>sumber</v>
      </c>
      <c r="G486" s="22" t="s">
        <v>1</v>
      </c>
      <c r="H486" s="22">
        <v>322</v>
      </c>
      <c r="I486" s="22">
        <v>1</v>
      </c>
      <c r="J486" s="22">
        <v>1</v>
      </c>
      <c r="K486" s="123" t="s">
        <v>4795</v>
      </c>
      <c r="L486" s="22">
        <v>0</v>
      </c>
      <c r="M486" s="22">
        <v>-1</v>
      </c>
      <c r="N486" s="125">
        <v>0</v>
      </c>
      <c r="O486" s="22">
        <v>0</v>
      </c>
      <c r="P486" s="22">
        <v>0</v>
      </c>
      <c r="Q486" s="22">
        <v>0</v>
      </c>
      <c r="R486" s="22">
        <v>1</v>
      </c>
      <c r="S486" s="134"/>
      <c r="T486" s="22">
        <v>0</v>
      </c>
      <c r="U486" s="22">
        <v>0</v>
      </c>
      <c r="V486" s="22">
        <v>0</v>
      </c>
      <c r="W486" s="23"/>
      <c r="X486" s="23"/>
      <c r="Y486" s="23"/>
    </row>
    <row r="487" spans="1:25" ht="13.2">
      <c r="A487" s="188">
        <v>1</v>
      </c>
      <c r="B487" s="22" t="s">
        <v>4796</v>
      </c>
      <c r="C487" s="22">
        <v>489</v>
      </c>
      <c r="D487" s="22">
        <v>7</v>
      </c>
      <c r="E487" s="22" t="s">
        <v>926</v>
      </c>
      <c r="F487" s="121" t="str">
        <f>HYPERLINK("https://www.tribunnews.com/seleb/2019/11/24/barbie-kumalasari-pernah-alami-kdrt-istri-galih-ginanjar-kabur-tengah-malam-bawa-anak-6-bulan ","sumber")</f>
        <v>sumber</v>
      </c>
      <c r="G487" s="22" t="s">
        <v>1</v>
      </c>
      <c r="H487" s="22">
        <v>187</v>
      </c>
      <c r="I487" s="22">
        <v>2</v>
      </c>
      <c r="J487" s="22">
        <v>1</v>
      </c>
      <c r="K487" s="123" t="s">
        <v>4797</v>
      </c>
      <c r="L487" s="22">
        <v>0</v>
      </c>
      <c r="M487" s="22">
        <v>0</v>
      </c>
      <c r="N487" s="125">
        <v>0</v>
      </c>
      <c r="O487" s="22">
        <v>0</v>
      </c>
      <c r="P487" s="22">
        <v>0</v>
      </c>
      <c r="Q487" s="22">
        <v>2</v>
      </c>
      <c r="R487" s="22">
        <v>1</v>
      </c>
      <c r="S487" s="134"/>
      <c r="T487" s="22">
        <v>0</v>
      </c>
      <c r="U487" s="22">
        <v>0</v>
      </c>
      <c r="V487" s="22">
        <v>0</v>
      </c>
      <c r="W487" s="23"/>
      <c r="X487" s="23"/>
      <c r="Y487" s="23"/>
    </row>
    <row r="488" spans="1:25" ht="13.2">
      <c r="A488" s="188">
        <v>1</v>
      </c>
      <c r="B488" s="22" t="s">
        <v>4798</v>
      </c>
      <c r="C488" s="22">
        <v>490</v>
      </c>
      <c r="D488" s="22">
        <v>1</v>
      </c>
      <c r="E488" s="222">
        <v>43689</v>
      </c>
      <c r="F488" s="121" t="str">
        <f>HYPERLINK("https://hot.detik.com/movie/d-4814779/raihaanun-sabet-gelar-pemeran-utama-wanita-terbaik ","sumber")</f>
        <v>sumber</v>
      </c>
      <c r="G488" s="22" t="s">
        <v>1</v>
      </c>
      <c r="H488" s="22">
        <v>1430</v>
      </c>
      <c r="I488" s="22">
        <v>3</v>
      </c>
      <c r="J488" s="22">
        <v>1</v>
      </c>
      <c r="K488" s="123" t="s">
        <v>4799</v>
      </c>
      <c r="L488" s="22">
        <v>0</v>
      </c>
      <c r="M488" s="22">
        <v>0</v>
      </c>
      <c r="N488" s="125">
        <v>0</v>
      </c>
      <c r="O488" s="22">
        <v>0</v>
      </c>
      <c r="P488" s="22">
        <v>0</v>
      </c>
      <c r="Q488" s="22">
        <v>0</v>
      </c>
      <c r="R488" s="22">
        <v>1</v>
      </c>
      <c r="S488" s="134"/>
      <c r="T488" s="22">
        <v>0</v>
      </c>
      <c r="U488" s="22">
        <v>0</v>
      </c>
      <c r="V488" s="22">
        <v>1</v>
      </c>
      <c r="W488" s="23"/>
      <c r="X488" s="23"/>
      <c r="Y488" s="23"/>
    </row>
    <row r="489" spans="1:25" ht="14.4">
      <c r="A489" s="148">
        <v>1</v>
      </c>
      <c r="B489" s="202" t="s">
        <v>4800</v>
      </c>
      <c r="C489" s="33">
        <v>491</v>
      </c>
      <c r="D489" s="33">
        <v>8</v>
      </c>
      <c r="E489" s="300">
        <v>43750</v>
      </c>
      <c r="F489" s="130" t="str">
        <f>HYPERLINK("https://www.suara.com/news/2019/12/10/175416/mantan-pramugari-benarkan-cerita-dugaan-prostitusi-di-garuda-indonesia","sumber")</f>
        <v>sumber</v>
      </c>
      <c r="G489" s="33" t="s">
        <v>1</v>
      </c>
      <c r="H489" s="33">
        <v>488</v>
      </c>
      <c r="I489" s="33">
        <v>1</v>
      </c>
      <c r="J489" s="33">
        <v>1</v>
      </c>
      <c r="K489" s="131" t="s">
        <v>4801</v>
      </c>
      <c r="L489" s="33">
        <v>0</v>
      </c>
      <c r="M489" s="33">
        <v>1</v>
      </c>
      <c r="N489" s="132">
        <v>0</v>
      </c>
      <c r="O489" s="33">
        <v>0</v>
      </c>
      <c r="P489" s="33">
        <v>0</v>
      </c>
      <c r="Q489" s="33" t="s">
        <v>29</v>
      </c>
      <c r="R489" s="33" t="s">
        <v>160</v>
      </c>
      <c r="S489" s="131" t="s">
        <v>4802</v>
      </c>
      <c r="T489" s="33">
        <v>1</v>
      </c>
      <c r="U489" s="33">
        <v>-1</v>
      </c>
      <c r="V489" s="33">
        <v>0</v>
      </c>
      <c r="W489" s="24"/>
      <c r="X489" s="24"/>
      <c r="Y489" s="24"/>
    </row>
    <row r="490" spans="1:25" ht="14.4">
      <c r="A490" s="148">
        <v>1</v>
      </c>
      <c r="B490" s="202" t="s">
        <v>4803</v>
      </c>
      <c r="C490" s="33">
        <v>492</v>
      </c>
      <c r="D490" s="33">
        <v>3</v>
      </c>
      <c r="E490" s="33" t="s">
        <v>932</v>
      </c>
      <c r="F490" s="130" t="str">
        <f>HYPERLINK("https://news.okezone.com/read/2019/12/19/340/2143916/lagi-enak-tidur-janda-kembang-diperkosa-pemuda","sumber")</f>
        <v>sumber</v>
      </c>
      <c r="G490" s="33" t="s">
        <v>1</v>
      </c>
      <c r="H490" s="33">
        <v>261</v>
      </c>
      <c r="I490" s="33">
        <v>1</v>
      </c>
      <c r="J490" s="33">
        <v>1</v>
      </c>
      <c r="K490" s="131" t="s">
        <v>4804</v>
      </c>
      <c r="L490" s="33">
        <v>0</v>
      </c>
      <c r="M490" s="33">
        <v>-1</v>
      </c>
      <c r="N490" s="132">
        <v>0</v>
      </c>
      <c r="O490" s="33">
        <v>-1</v>
      </c>
      <c r="P490" s="33">
        <v>-1</v>
      </c>
      <c r="Q490" s="33">
        <v>0</v>
      </c>
      <c r="R490" s="33">
        <v>-1</v>
      </c>
      <c r="S490" s="131" t="s">
        <v>4805</v>
      </c>
      <c r="T490" s="33">
        <v>1</v>
      </c>
      <c r="U490" s="33">
        <v>-1</v>
      </c>
      <c r="V490" s="33">
        <v>0</v>
      </c>
      <c r="W490" s="24"/>
      <c r="X490" s="24"/>
      <c r="Y490" s="24"/>
    </row>
    <row r="491" spans="1:25" ht="14.4">
      <c r="A491" s="148">
        <v>1</v>
      </c>
      <c r="B491" s="202" t="s">
        <v>4806</v>
      </c>
      <c r="C491" s="33">
        <v>493</v>
      </c>
      <c r="D491" s="33">
        <v>7</v>
      </c>
      <c r="E491" s="33" t="s">
        <v>864</v>
      </c>
      <c r="F491" s="130" t="str">
        <f>HYPERLINK("https://www.tribunnews.com/seleb/2019/12/20/terseret-skandal-pelecehan-seksual-yoo-jae-suk-buka-suara","sumber")</f>
        <v>sumber</v>
      </c>
      <c r="G491" s="33" t="s">
        <v>1</v>
      </c>
      <c r="H491" s="33">
        <v>174</v>
      </c>
      <c r="I491" s="33">
        <v>1</v>
      </c>
      <c r="J491" s="33">
        <v>1</v>
      </c>
      <c r="K491" s="131" t="s">
        <v>4807</v>
      </c>
      <c r="L491" s="33">
        <v>-1</v>
      </c>
      <c r="M491" s="33">
        <v>-1</v>
      </c>
      <c r="N491" s="132">
        <v>0</v>
      </c>
      <c r="O491" s="33">
        <v>0</v>
      </c>
      <c r="P491" s="33">
        <v>0</v>
      </c>
      <c r="Q491" s="33" t="s">
        <v>29</v>
      </c>
      <c r="R491" s="33" t="s">
        <v>53</v>
      </c>
      <c r="S491" s="133"/>
      <c r="T491" s="33">
        <v>0</v>
      </c>
      <c r="U491" s="33">
        <v>0</v>
      </c>
      <c r="V491" s="33">
        <v>0</v>
      </c>
      <c r="W491" s="24"/>
      <c r="X491" s="24"/>
      <c r="Y491" s="24"/>
    </row>
    <row r="492" spans="1:25" ht="13.2">
      <c r="A492" s="188">
        <v>1</v>
      </c>
      <c r="B492" s="22" t="s">
        <v>4808</v>
      </c>
      <c r="C492" s="22">
        <v>494</v>
      </c>
      <c r="D492" s="22">
        <v>2</v>
      </c>
      <c r="E492" s="22" t="s">
        <v>938</v>
      </c>
      <c r="F492" s="121" t="str">
        <f>HYPERLINK("https://www.cnnindonesia.com/nasional/20191214170037-32-456995/bantah-mahfud-fahri-hamzah-sebut-pelecehan-juga-langgar-ham ","sumber")</f>
        <v>sumber</v>
      </c>
      <c r="G492" s="22" t="s">
        <v>1</v>
      </c>
      <c r="H492" s="22">
        <v>262</v>
      </c>
      <c r="I492" s="22">
        <v>4</v>
      </c>
      <c r="J492" s="22">
        <v>1</v>
      </c>
      <c r="K492" s="123" t="s">
        <v>4809</v>
      </c>
      <c r="L492" s="22">
        <v>0</v>
      </c>
      <c r="M492" s="22">
        <v>0</v>
      </c>
      <c r="N492" s="125">
        <v>0</v>
      </c>
      <c r="O492" s="22">
        <v>0</v>
      </c>
      <c r="P492" s="22">
        <v>0</v>
      </c>
      <c r="Q492" s="22">
        <v>0</v>
      </c>
      <c r="R492" s="22">
        <v>1</v>
      </c>
      <c r="S492" s="134"/>
      <c r="T492" s="22">
        <v>0</v>
      </c>
      <c r="U492" s="22">
        <v>0</v>
      </c>
      <c r="V492" s="22">
        <v>1</v>
      </c>
      <c r="W492" s="23"/>
      <c r="X492" s="23"/>
      <c r="Y492" s="23"/>
    </row>
    <row r="493" spans="1:25" ht="13.2">
      <c r="A493" s="188">
        <v>1</v>
      </c>
      <c r="B493" s="22" t="s">
        <v>4810</v>
      </c>
      <c r="C493" s="22">
        <v>495</v>
      </c>
      <c r="D493" s="22">
        <v>2</v>
      </c>
      <c r="E493" s="22" t="s">
        <v>875</v>
      </c>
      <c r="F493" s="121" t="str">
        <f>HYPERLINK("https://www.cnnindonesia.com/gaya-hidup/20190710105116-255-410790/kala-pria-rusia-beramai-ramai-jadi-beauty-vlogger ","sumber")</f>
        <v>sumber</v>
      </c>
      <c r="G493" s="22" t="s">
        <v>1</v>
      </c>
      <c r="H493" s="22">
        <v>541</v>
      </c>
      <c r="I493" s="22">
        <v>2</v>
      </c>
      <c r="J493" s="22">
        <v>2</v>
      </c>
      <c r="K493" s="123" t="s">
        <v>4811</v>
      </c>
      <c r="L493" s="22">
        <v>0</v>
      </c>
      <c r="M493" s="22">
        <v>0</v>
      </c>
      <c r="N493" s="125">
        <v>0</v>
      </c>
      <c r="O493" s="22">
        <v>0</v>
      </c>
      <c r="P493" s="22">
        <v>0</v>
      </c>
      <c r="Q493" s="22" t="s">
        <v>1991</v>
      </c>
      <c r="R493" s="22" t="s">
        <v>360</v>
      </c>
      <c r="S493" s="134"/>
      <c r="T493" s="22">
        <v>0</v>
      </c>
      <c r="U493" s="22">
        <v>0</v>
      </c>
      <c r="V493" s="22">
        <v>1</v>
      </c>
      <c r="W493" s="23"/>
      <c r="X493" s="23"/>
      <c r="Y493" s="23"/>
    </row>
    <row r="494" spans="1:25" ht="13.2">
      <c r="A494" s="209">
        <v>1</v>
      </c>
      <c r="B494" s="33" t="s">
        <v>4812</v>
      </c>
      <c r="C494" s="33">
        <v>496</v>
      </c>
      <c r="D494" s="33">
        <v>2</v>
      </c>
      <c r="E494" s="33" t="s">
        <v>861</v>
      </c>
      <c r="F494" s="130" t="str">
        <f>HYPERLINK("https://www.cnnindonesia.com/nasional/20191218132804-20-458020/dua-anggota-tni-tewas-saat-baku-tembak-dengan-kkb-di-papua ","sumber")</f>
        <v>sumber</v>
      </c>
      <c r="G494" s="33" t="s">
        <v>1</v>
      </c>
      <c r="H494" s="33">
        <v>280</v>
      </c>
      <c r="I494" s="33">
        <v>1</v>
      </c>
      <c r="J494" s="33">
        <v>1</v>
      </c>
      <c r="K494" s="131" t="s">
        <v>4813</v>
      </c>
      <c r="L494" s="33">
        <v>0</v>
      </c>
      <c r="M494" s="33">
        <v>-1</v>
      </c>
      <c r="N494" s="132">
        <v>0</v>
      </c>
      <c r="O494" s="33">
        <v>0</v>
      </c>
      <c r="P494" s="33">
        <v>0</v>
      </c>
      <c r="Q494" s="33">
        <v>0</v>
      </c>
      <c r="R494" s="33">
        <v>0</v>
      </c>
      <c r="S494" s="133"/>
      <c r="T494" s="33">
        <v>0</v>
      </c>
      <c r="U494" s="33">
        <v>0</v>
      </c>
      <c r="V494" s="33">
        <v>0</v>
      </c>
      <c r="W494" s="24"/>
      <c r="X494" s="24"/>
      <c r="Y494" s="24"/>
    </row>
    <row r="495" spans="1:25" ht="13.2">
      <c r="A495" s="188">
        <v>1</v>
      </c>
      <c r="B495" s="22" t="s">
        <v>4814</v>
      </c>
      <c r="C495" s="22">
        <v>497</v>
      </c>
      <c r="D495" s="22">
        <v>8</v>
      </c>
      <c r="E495" s="22" t="s">
        <v>861</v>
      </c>
      <c r="F495" s="121" t="str">
        <f>HYPERLINK("https://jogja.suara.com/read/2019/12/18/160326/ramai-ugmbohonglagi-aliansi-mahasiswa-ugm-siapa-jamin-januari-disahkan ","sumber")</f>
        <v>sumber</v>
      </c>
      <c r="G495" s="22" t="s">
        <v>1</v>
      </c>
      <c r="H495" s="22">
        <v>483</v>
      </c>
      <c r="I495" s="225">
        <v>1</v>
      </c>
      <c r="J495" s="225">
        <v>1</v>
      </c>
      <c r="K495" s="225" t="s">
        <v>4815</v>
      </c>
      <c r="L495" s="301">
        <v>0</v>
      </c>
      <c r="M495" s="301">
        <v>1</v>
      </c>
      <c r="N495" s="302">
        <v>0</v>
      </c>
      <c r="O495" s="301">
        <v>0</v>
      </c>
      <c r="P495" s="301">
        <v>0</v>
      </c>
      <c r="Q495" s="301" t="s">
        <v>29</v>
      </c>
      <c r="R495" s="301" t="s">
        <v>68</v>
      </c>
      <c r="S495" s="134"/>
      <c r="T495" s="301">
        <v>0</v>
      </c>
      <c r="U495" s="301">
        <v>0</v>
      </c>
      <c r="V495" s="301">
        <v>1</v>
      </c>
      <c r="W495" s="23"/>
      <c r="X495" s="23"/>
      <c r="Y495" s="23"/>
    </row>
    <row r="496" spans="1:25" ht="13.2">
      <c r="A496" s="188">
        <v>1</v>
      </c>
      <c r="B496" s="22" t="s">
        <v>4816</v>
      </c>
      <c r="C496" s="22">
        <v>498</v>
      </c>
      <c r="D496" s="22">
        <v>3</v>
      </c>
      <c r="E496" s="22" t="s">
        <v>864</v>
      </c>
      <c r="F496" s="121" t="str">
        <f>HYPERLINK("https://celebrity.okezone.com/read/2019/12/19/33/2143953/pernah-alami-kdrt-yuni-shara-akui-sulit-orgasme ","sumber")</f>
        <v>sumber</v>
      </c>
      <c r="G496" s="22" t="s">
        <v>1</v>
      </c>
      <c r="H496" s="22">
        <v>319</v>
      </c>
      <c r="I496" s="22">
        <v>2</v>
      </c>
      <c r="J496" s="22">
        <v>1</v>
      </c>
      <c r="K496" s="123" t="s">
        <v>4817</v>
      </c>
      <c r="L496" s="22">
        <v>0</v>
      </c>
      <c r="M496" s="22">
        <v>0</v>
      </c>
      <c r="N496" s="125">
        <v>0</v>
      </c>
      <c r="O496" s="22">
        <v>0</v>
      </c>
      <c r="P496" s="22">
        <v>0</v>
      </c>
      <c r="Q496" s="22">
        <v>2</v>
      </c>
      <c r="R496" s="22">
        <v>1</v>
      </c>
      <c r="S496" s="134"/>
      <c r="T496" s="22">
        <v>0</v>
      </c>
      <c r="U496" s="22">
        <v>0</v>
      </c>
      <c r="V496" s="22">
        <v>0</v>
      </c>
      <c r="W496" s="23"/>
      <c r="X496" s="23"/>
      <c r="Y496" s="23"/>
    </row>
    <row r="497" spans="1:25" ht="13.2">
      <c r="A497" s="30">
        <v>2</v>
      </c>
      <c r="B497" s="147" t="s">
        <v>4818</v>
      </c>
      <c r="C497" s="22">
        <v>499</v>
      </c>
      <c r="D497" s="22">
        <v>9</v>
      </c>
      <c r="E497" s="22" t="s">
        <v>864</v>
      </c>
      <c r="F497" s="121" t="str">
        <f>HYPERLINK("https://nasional.republika.co.id/berita/q2su3s335/anggota-tni-gugur-di-papua-naik-pangkat ","sumber")</f>
        <v>sumber</v>
      </c>
      <c r="G497" s="22" t="s">
        <v>1</v>
      </c>
      <c r="H497" s="22">
        <v>258</v>
      </c>
      <c r="I497" s="22">
        <v>3</v>
      </c>
      <c r="J497" s="22">
        <v>1</v>
      </c>
      <c r="K497" s="123" t="s">
        <v>4819</v>
      </c>
      <c r="L497" s="22">
        <v>0</v>
      </c>
      <c r="M497" s="22">
        <v>0</v>
      </c>
      <c r="N497" s="125">
        <v>0</v>
      </c>
      <c r="O497" s="22">
        <v>0</v>
      </c>
      <c r="P497" s="22">
        <v>0</v>
      </c>
      <c r="Q497" s="22">
        <v>1</v>
      </c>
      <c r="R497" s="22">
        <v>1</v>
      </c>
      <c r="S497" s="134"/>
      <c r="T497" s="22">
        <v>0</v>
      </c>
      <c r="U497" s="22">
        <v>0</v>
      </c>
      <c r="V497" s="22">
        <v>1</v>
      </c>
      <c r="W497" s="23"/>
      <c r="X497" s="23"/>
      <c r="Y497" s="23"/>
    </row>
    <row r="498" spans="1:25" ht="13.2">
      <c r="A498" s="188">
        <v>1</v>
      </c>
      <c r="B498" s="22" t="s">
        <v>4820</v>
      </c>
      <c r="C498" s="22">
        <v>500</v>
      </c>
      <c r="D498" s="22">
        <v>6</v>
      </c>
      <c r="E498" s="22" t="s">
        <v>870</v>
      </c>
      <c r="F498" s="121" t="str">
        <f>HYPERLINK("https://health.kompas.com/read/2019/12/22/133000568/belajar-dari-yuni-shara-kapan-harus-meninggalkan-hubungan-abusive- ","sumber")</f>
        <v>sumber</v>
      </c>
      <c r="G498" s="22" t="s">
        <v>1</v>
      </c>
      <c r="H498" s="22">
        <v>186</v>
      </c>
      <c r="I498" s="22">
        <v>2</v>
      </c>
      <c r="J498" s="22">
        <v>1</v>
      </c>
      <c r="K498" s="123" t="s">
        <v>4817</v>
      </c>
      <c r="L498" s="22">
        <v>0</v>
      </c>
      <c r="M498" s="22">
        <v>0</v>
      </c>
      <c r="N498" s="125">
        <v>0</v>
      </c>
      <c r="O498" s="22">
        <v>0</v>
      </c>
      <c r="P498" s="22">
        <v>0</v>
      </c>
      <c r="Q498" s="22">
        <v>0</v>
      </c>
      <c r="R498" s="22">
        <v>1</v>
      </c>
      <c r="S498" s="134"/>
      <c r="T498" s="22">
        <v>0</v>
      </c>
      <c r="U498" s="22">
        <v>0</v>
      </c>
      <c r="V498" s="22">
        <v>1</v>
      </c>
      <c r="W498" s="23"/>
      <c r="X498" s="23"/>
      <c r="Y498" s="23"/>
    </row>
    <row r="499" spans="1:25" ht="14.4">
      <c r="A499" s="148">
        <v>1</v>
      </c>
      <c r="B499" s="202" t="s">
        <v>4821</v>
      </c>
      <c r="C499" s="33">
        <v>501</v>
      </c>
      <c r="D499" s="33">
        <v>6</v>
      </c>
      <c r="E499" s="33" t="s">
        <v>861</v>
      </c>
      <c r="F499" s="130" t="str">
        <f>HYPERLINK("https://megapolitan.kompas.com/read/2019/12/18/16135871/banyak-laporan-prostitusi-online-satpol-pp-hingga-bnn-gelar-razia-jelang","sumber")</f>
        <v>sumber</v>
      </c>
      <c r="G499" s="33" t="s">
        <v>1</v>
      </c>
      <c r="H499" s="33">
        <v>198</v>
      </c>
      <c r="I499" s="33">
        <v>1</v>
      </c>
      <c r="J499" s="33">
        <v>1</v>
      </c>
      <c r="K499" s="131" t="s">
        <v>4822</v>
      </c>
      <c r="L499" s="33">
        <v>0</v>
      </c>
      <c r="M499" s="33">
        <v>-1</v>
      </c>
      <c r="N499" s="132">
        <v>0</v>
      </c>
      <c r="O499" s="33">
        <v>0</v>
      </c>
      <c r="P499" s="33">
        <v>0</v>
      </c>
      <c r="Q499" s="33">
        <v>0</v>
      </c>
      <c r="R499" s="33">
        <v>0</v>
      </c>
      <c r="S499" s="133"/>
      <c r="T499" s="33">
        <v>0</v>
      </c>
      <c r="U499" s="33">
        <v>0</v>
      </c>
      <c r="V499" s="33">
        <v>0</v>
      </c>
      <c r="W499" s="24"/>
      <c r="X499" s="24"/>
      <c r="Y499" s="24"/>
    </row>
    <row r="500" spans="1:25" ht="13.2">
      <c r="A500" s="21">
        <v>2</v>
      </c>
      <c r="B500" s="25" t="s">
        <v>4823</v>
      </c>
      <c r="C500" s="25">
        <v>502</v>
      </c>
      <c r="D500" s="26"/>
      <c r="E500" s="26"/>
      <c r="F500" s="115" t="str">
        <f>HYPERLINK("https://tirto.id/protes-politik-sepanjang-2019-direpresi-habis-habisan-epiL ","sumber")</f>
        <v>sumber</v>
      </c>
      <c r="G500" s="25" t="s">
        <v>1</v>
      </c>
      <c r="H500" s="26"/>
      <c r="I500" s="26"/>
      <c r="J500" s="26"/>
      <c r="K500" s="124"/>
      <c r="L500" s="26"/>
      <c r="M500" s="26"/>
      <c r="N500" s="26"/>
      <c r="O500" s="26"/>
      <c r="P500" s="26"/>
      <c r="Q500" s="26"/>
      <c r="R500" s="26"/>
      <c r="S500" s="124"/>
      <c r="T500" s="26"/>
      <c r="U500" s="26"/>
      <c r="V500" s="26"/>
      <c r="W500" s="26"/>
      <c r="X500" s="26"/>
      <c r="Y500" s="26"/>
    </row>
    <row r="501" spans="1:25" ht="14.4">
      <c r="A501" s="148">
        <v>1</v>
      </c>
      <c r="B501" s="202" t="s">
        <v>4824</v>
      </c>
      <c r="C501" s="33">
        <v>503</v>
      </c>
      <c r="D501" s="33">
        <v>7</v>
      </c>
      <c r="E501" s="33" t="s">
        <v>941</v>
      </c>
      <c r="F501" s="130" t="str">
        <f>HYPERLINK("https://www.tribunnews.com/regional/2019/12/29/polres-cianjur-amankan-4-mucikari-dan-belasan-psk-yang-praktek-di-kawasan-puncak","sumber")</f>
        <v>sumber</v>
      </c>
      <c r="G501" s="33" t="s">
        <v>1</v>
      </c>
      <c r="H501" s="33">
        <v>248</v>
      </c>
      <c r="I501" s="33">
        <v>1</v>
      </c>
      <c r="J501" s="33">
        <v>1</v>
      </c>
      <c r="K501" s="131" t="s">
        <v>4727</v>
      </c>
      <c r="L501" s="33">
        <v>0</v>
      </c>
      <c r="M501" s="33">
        <v>-1</v>
      </c>
      <c r="N501" s="132">
        <v>0</v>
      </c>
      <c r="O501" s="33">
        <v>0</v>
      </c>
      <c r="P501" s="33">
        <v>0</v>
      </c>
      <c r="Q501" s="33">
        <v>0</v>
      </c>
      <c r="R501" s="33">
        <v>1</v>
      </c>
      <c r="S501" s="133"/>
      <c r="T501" s="33">
        <v>0</v>
      </c>
      <c r="U501" s="33">
        <v>0</v>
      </c>
      <c r="V501" s="33">
        <v>0</v>
      </c>
      <c r="W501" s="24"/>
      <c r="X501" s="24"/>
      <c r="Y501" s="24"/>
    </row>
    <row r="502" spans="1:25" ht="13.2">
      <c r="A502" s="188">
        <v>1</v>
      </c>
      <c r="B502" s="22" t="s">
        <v>4825</v>
      </c>
      <c r="C502" s="22">
        <v>504</v>
      </c>
      <c r="D502" s="22">
        <v>5</v>
      </c>
      <c r="E502" s="22" t="s">
        <v>987</v>
      </c>
      <c r="F502" s="121" t="str">
        <f>HYPERLINK("https://tirto.id/pelecehan-seksual-di-universitas-telkom-pelaku-hanya-disanksi-maaf-epSq ","sumber")</f>
        <v>sumber</v>
      </c>
      <c r="G502" s="22" t="s">
        <v>1</v>
      </c>
      <c r="H502" s="22">
        <v>573</v>
      </c>
      <c r="I502" s="22">
        <v>1</v>
      </c>
      <c r="J502" s="22">
        <v>1</v>
      </c>
      <c r="K502" s="123" t="s">
        <v>4826</v>
      </c>
      <c r="L502" s="22">
        <v>0</v>
      </c>
      <c r="M502" s="22">
        <v>1</v>
      </c>
      <c r="N502" s="125">
        <v>0</v>
      </c>
      <c r="O502" s="22">
        <v>0</v>
      </c>
      <c r="P502" s="22">
        <v>0</v>
      </c>
      <c r="Q502" s="22" t="s">
        <v>29</v>
      </c>
      <c r="R502" s="22" t="s">
        <v>160</v>
      </c>
      <c r="S502" s="134"/>
      <c r="T502" s="22">
        <v>0</v>
      </c>
      <c r="U502" s="22">
        <v>0</v>
      </c>
      <c r="V502" s="22">
        <v>0</v>
      </c>
      <c r="W502" s="23"/>
      <c r="X502" s="23"/>
      <c r="Y502" s="23"/>
    </row>
    <row r="503" spans="1:25" ht="13.2">
      <c r="A503" s="21">
        <v>2</v>
      </c>
      <c r="B503" s="25" t="s">
        <v>4827</v>
      </c>
      <c r="C503" s="25">
        <v>505</v>
      </c>
      <c r="D503" s="26"/>
      <c r="E503" s="26"/>
      <c r="F503" s="115" t="str">
        <f>HYPERLINK("https://regional.kompas.com/read/2019/12/31/07370131/polisi-siagakan-penembak-jitu-di-puncak-cianjur-saat-perayaan-tahun-baru ","sumber")</f>
        <v>sumber</v>
      </c>
      <c r="G503" s="25" t="s">
        <v>1</v>
      </c>
      <c r="H503" s="26"/>
      <c r="I503" s="26"/>
      <c r="J503" s="26"/>
      <c r="K503" s="124"/>
      <c r="L503" s="26"/>
      <c r="M503" s="26"/>
      <c r="N503" s="303"/>
      <c r="O503" s="26"/>
      <c r="P503" s="26"/>
      <c r="Q503" s="26"/>
      <c r="R503" s="26"/>
      <c r="S503" s="124"/>
      <c r="T503" s="26"/>
      <c r="U503" s="26"/>
      <c r="V503" s="26"/>
      <c r="W503" s="26"/>
      <c r="X503" s="26"/>
      <c r="Y503" s="26"/>
    </row>
  </sheetData>
  <customSheetViews>
    <customSheetView guid="{C0FD2F62-3ADA-4E44-ABC2-10E955012945}" filter="1" showAutoFilter="1">
      <pageMargins left="0.7" right="0.7" top="0.75" bottom="0.75" header="0.3" footer="0.3"/>
      <autoFilter ref="O22:O508"/>
    </customSheetView>
    <customSheetView guid="{20CAB334-E8B9-4848-AC8F-2E0A8DBFE604}" filter="1" showAutoFilter="1">
      <pageMargins left="0.7" right="0.7" top="0.75" bottom="0.75" header="0.3" footer="0.3"/>
      <autoFilter ref="N6:N508"/>
    </customSheetView>
    <customSheetView guid="{D0A54268-7389-43AB-A5BA-78B6DAB825D3}" filter="1" showAutoFilter="1">
      <pageMargins left="0.7" right="0.7" top="0.75" bottom="0.75" header="0.3" footer="0.3"/>
      <autoFilter ref="A6:A508"/>
    </customSheetView>
    <customSheetView guid="{95107451-AD48-4E36-95D5-D44A7511BFD9}" filter="1" showAutoFilter="1">
      <pageMargins left="0.7" right="0.7" top="0.75" bottom="0.75" header="0.3" footer="0.3"/>
      <autoFilter ref="P7:P508"/>
    </customSheetView>
    <customSheetView guid="{E3B16FF4-157A-41A8-880D-5DDB83361892}" filter="1" showAutoFilter="1">
      <pageMargins left="0.7" right="0.7" top="0.75" bottom="0.75" header="0.3" footer="0.3"/>
      <autoFilter ref="Z5:Z7"/>
    </customSheetView>
    <customSheetView guid="{66348944-9FC2-49D4-937A-1A6FEBFF4639}" filter="1" showAutoFilter="1">
      <pageMargins left="0.7" right="0.7" top="0.75" bottom="0.75" header="0.3" footer="0.3"/>
      <autoFilter ref="I7:I508">
        <filterColumn colId="0">
          <filters>
            <filter val="1"/>
          </filters>
        </filterColumn>
      </autoFilter>
    </customSheetView>
    <customSheetView guid="{7A661D72-FC41-4646-AEAF-00CD193B6D95}" filter="1" showAutoFilter="1">
      <pageMargins left="0.7" right="0.7" top="0.75" bottom="0.75" header="0.3" footer="0.3"/>
      <autoFilter ref="I7:I508">
        <filterColumn colId="0">
          <filters>
            <filter val="1"/>
          </filters>
        </filterColumn>
      </autoFilter>
    </customSheetView>
    <customSheetView guid="{17EFBF60-FA66-46DD-8C66-7DD74D543108}" filter="1" showAutoFilter="1">
      <pageMargins left="0.7" right="0.7" top="0.75" bottom="0.75" header="0.3" footer="0.3"/>
      <autoFilter ref="I7:I508">
        <filterColumn colId="0">
          <filters blank="1">
            <filter val="2"/>
            <filter val="3"/>
            <filter val="4"/>
            <filter val="5"/>
          </filters>
        </filterColumn>
      </autoFilter>
    </customSheetView>
    <customSheetView guid="{B69A7256-2244-4A5A-98B8-5882F2FF8700}" filter="1" showAutoFilter="1">
      <pageMargins left="0.7" right="0.7" top="0.75" bottom="0.75" header="0.3" footer="0.3"/>
      <autoFilter ref="K6:K508"/>
    </customSheetView>
    <customSheetView guid="{E0B68C8C-9E59-4D09-A796-DABAD0F2C26F}" filter="1" showAutoFilter="1">
      <pageMargins left="0.7" right="0.7" top="0.75" bottom="0.75" header="0.3" footer="0.3"/>
      <autoFilter ref="S6:S508"/>
    </customSheetView>
    <customSheetView guid="{62CFFA2F-2CDE-4159-80E8-0067D9460027}" filter="1" showAutoFilter="1">
      <pageMargins left="0.7" right="0.7" top="0.75" bottom="0.75" header="0.3" footer="0.3"/>
      <autoFilter ref="Z1:Z674"/>
    </customSheetView>
    <customSheetView guid="{0B48C2DC-E7D4-4DCC-ACB5-09BD4089ED05}" filter="1" showAutoFilter="1">
      <pageMargins left="0.7" right="0.7" top="0.75" bottom="0.75" header="0.3" footer="0.3"/>
      <autoFilter ref="Z1:Z674"/>
    </customSheetView>
  </customSheetViews>
  <hyperlinks>
    <hyperlink ref="K447" r:id="rId1"/>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506"/>
  <sheetViews>
    <sheetView topLeftCell="B1" workbookViewId="0">
      <pane ySplit="1" topLeftCell="A2" activePane="bottomLeft" state="frozen"/>
      <selection pane="bottomLeft" activeCell="Q10" sqref="Q10"/>
    </sheetView>
  </sheetViews>
  <sheetFormatPr defaultColWidth="14.44140625" defaultRowHeight="15.75" customHeight="1"/>
  <cols>
    <col min="1" max="1" width="8.109375" customWidth="1"/>
    <col min="2" max="2" width="5.5546875" customWidth="1"/>
    <col min="3" max="3" width="4.33203125" customWidth="1"/>
    <col min="4" max="4" width="7.44140625" customWidth="1"/>
    <col min="5" max="5" width="11.44140625" customWidth="1"/>
    <col min="6" max="6" width="7.44140625" customWidth="1"/>
    <col min="7" max="7" width="7" customWidth="1"/>
    <col min="8" max="10" width="11.33203125" customWidth="1"/>
    <col min="11" max="11" width="20" customWidth="1"/>
    <col min="12" max="13" width="10.6640625" customWidth="1"/>
    <col min="14" max="16" width="12" customWidth="1"/>
    <col min="17" max="18" width="13.44140625" customWidth="1"/>
    <col min="19" max="19" width="29.33203125" customWidth="1"/>
    <col min="20" max="20" width="8.33203125" customWidth="1"/>
    <col min="21" max="21" width="8.5546875" customWidth="1"/>
    <col min="22" max="22" width="10.6640625" customWidth="1"/>
    <col min="23" max="24" width="8.109375" customWidth="1"/>
    <col min="25" max="25" width="9.88671875" customWidth="1"/>
  </cols>
  <sheetData>
    <row r="1" spans="1:25" ht="14.4">
      <c r="A1" s="304">
        <v>1</v>
      </c>
      <c r="B1" s="305" t="s">
        <v>4828</v>
      </c>
      <c r="C1" s="57">
        <v>1</v>
      </c>
      <c r="D1" s="57">
        <v>8</v>
      </c>
      <c r="E1" s="306">
        <v>43497</v>
      </c>
      <c r="F1" s="247" t="str">
        <f>HYPERLINK("https://www.suara.com/news/2019/01/02/183156/takut-pemukiman-jadi-angker-warga-desak-makam-ki-among-putro-dibongkar","sumber")</f>
        <v>sumber</v>
      </c>
      <c r="G1" s="57" t="s">
        <v>1</v>
      </c>
      <c r="H1" s="57">
        <v>370</v>
      </c>
      <c r="I1" s="147">
        <v>1</v>
      </c>
      <c r="J1" s="57">
        <v>4</v>
      </c>
      <c r="K1" s="150" t="s">
        <v>4829</v>
      </c>
      <c r="L1" s="57">
        <v>0</v>
      </c>
      <c r="M1" s="22">
        <v>0</v>
      </c>
      <c r="N1" s="307">
        <v>0</v>
      </c>
      <c r="O1" s="307">
        <v>0</v>
      </c>
      <c r="P1" s="57">
        <v>0</v>
      </c>
      <c r="Q1" s="57">
        <v>0</v>
      </c>
      <c r="R1" s="57">
        <v>0</v>
      </c>
      <c r="S1" s="150"/>
      <c r="T1" s="57">
        <v>0</v>
      </c>
      <c r="U1" s="57">
        <v>0</v>
      </c>
      <c r="V1" s="57">
        <v>1</v>
      </c>
      <c r="W1" s="57"/>
      <c r="X1" s="41"/>
      <c r="Y1" s="41"/>
    </row>
    <row r="2" spans="1:25" ht="14.4">
      <c r="A2" s="117">
        <v>1</v>
      </c>
      <c r="B2" s="294" t="s">
        <v>2841</v>
      </c>
      <c r="C2" s="22">
        <v>2</v>
      </c>
      <c r="D2" s="22">
        <v>2</v>
      </c>
      <c r="E2" s="22" t="s">
        <v>4830</v>
      </c>
      <c r="F2" s="121" t="str">
        <f>HYPERLINK("https://www.suara.com/news/2019/01/06/155637/pembubaran-buku-haqiqatul-wahyi-jemaat-ahamadiyah-bandung-inkonstitusional ","sumber")</f>
        <v>sumber</v>
      </c>
      <c r="G2" s="121" t="str">
        <f>HYPERLINK("https://drive.google.com/open?id=1UaosKhdzM3n9Xc2hSsCaxM1XdhZO0bHy","lokasi")</f>
        <v>lokasi</v>
      </c>
      <c r="H2" s="22">
        <v>365</v>
      </c>
      <c r="I2" s="22">
        <v>1</v>
      </c>
      <c r="J2" s="22">
        <v>4</v>
      </c>
      <c r="K2" s="123" t="s">
        <v>4831</v>
      </c>
      <c r="L2" s="22">
        <v>0</v>
      </c>
      <c r="M2" s="22">
        <v>-1</v>
      </c>
      <c r="N2" s="125">
        <v>0</v>
      </c>
      <c r="O2" s="125">
        <v>0</v>
      </c>
      <c r="P2" s="22">
        <v>0</v>
      </c>
      <c r="Q2" s="22">
        <v>2</v>
      </c>
      <c r="R2" s="22">
        <v>0</v>
      </c>
      <c r="S2" s="134"/>
      <c r="T2" s="22">
        <v>0</v>
      </c>
      <c r="U2" s="22">
        <v>0</v>
      </c>
      <c r="V2" s="22">
        <v>1</v>
      </c>
      <c r="W2" s="23"/>
      <c r="X2" s="23"/>
      <c r="Y2" s="23"/>
    </row>
    <row r="3" spans="1:25" ht="14.4">
      <c r="A3" s="111">
        <v>2</v>
      </c>
      <c r="B3" s="308" t="s">
        <v>4832</v>
      </c>
      <c r="C3" s="25">
        <v>3</v>
      </c>
      <c r="D3" s="25">
        <v>1</v>
      </c>
      <c r="E3" s="25" t="s">
        <v>4833</v>
      </c>
      <c r="F3" s="115" t="str">
        <f>HYPERLINK("https://news.detik.com/berita/d-4374513/menristekdikti-perguruan-tinggi-harus-jelaskan-mitigasi-bencana ","sumber")</f>
        <v>sumber</v>
      </c>
      <c r="G3" s="25" t="s">
        <v>1</v>
      </c>
      <c r="H3" s="25"/>
      <c r="I3" s="26"/>
      <c r="J3" s="26"/>
      <c r="K3" s="124"/>
      <c r="L3" s="26"/>
      <c r="M3" s="26"/>
      <c r="N3" s="26"/>
      <c r="O3" s="26"/>
      <c r="P3" s="26"/>
      <c r="Q3" s="26"/>
      <c r="R3" s="26"/>
      <c r="S3" s="124"/>
      <c r="T3" s="26"/>
      <c r="U3" s="26"/>
      <c r="V3" s="26"/>
      <c r="W3" s="26"/>
      <c r="X3" s="26"/>
      <c r="Y3" s="26"/>
    </row>
    <row r="4" spans="1:25" ht="14.4">
      <c r="A4" s="111">
        <v>2</v>
      </c>
      <c r="B4" s="308" t="s">
        <v>4834</v>
      </c>
      <c r="C4" s="25">
        <v>4</v>
      </c>
      <c r="D4" s="26"/>
      <c r="E4" s="25" t="s">
        <v>61</v>
      </c>
      <c r="F4" s="115" t="str">
        <f>HYPERLINK("https://www.liputan6.com/global/read/3871157/iran-akan-meluncurkan-satelit-buatan-sendiri-ke-orbit-dalam-waktu-dekat ","sumber")</f>
        <v>sumber</v>
      </c>
      <c r="G4" s="25" t="s">
        <v>1</v>
      </c>
      <c r="H4" s="25"/>
      <c r="I4" s="26"/>
      <c r="J4" s="26"/>
      <c r="K4" s="124"/>
      <c r="L4" s="26"/>
      <c r="M4" s="26"/>
      <c r="N4" s="26"/>
      <c r="O4" s="26"/>
      <c r="P4" s="26"/>
      <c r="Q4" s="26"/>
      <c r="R4" s="26"/>
      <c r="S4" s="124"/>
      <c r="T4" s="26"/>
      <c r="U4" s="26"/>
      <c r="V4" s="26"/>
      <c r="W4" s="26"/>
      <c r="X4" s="26"/>
      <c r="Y4" s="26"/>
    </row>
    <row r="5" spans="1:25" ht="14.4">
      <c r="A5" s="117">
        <v>1</v>
      </c>
      <c r="B5" s="294" t="s">
        <v>4835</v>
      </c>
      <c r="C5" s="22">
        <v>5</v>
      </c>
      <c r="D5" s="22">
        <v>4</v>
      </c>
      <c r="E5" s="22" t="s">
        <v>1950</v>
      </c>
      <c r="F5" s="121" t="str">
        <f>HYPERLINK("https://www.liputan6.com/news/read/3875510/abu-bakar-baasyir-dibebaskan-politis-atau-humanis ","sumber")</f>
        <v>sumber</v>
      </c>
      <c r="G5" s="121" t="str">
        <f>HYPERLINK("https://drive.google.com/open?id=1ULgZhR9z_5br-XWkxX5bCelXr-vHzTmN","lokasi")</f>
        <v>lokasi</v>
      </c>
      <c r="H5" s="22">
        <v>1363</v>
      </c>
      <c r="I5" s="22">
        <v>4</v>
      </c>
      <c r="J5" s="22">
        <v>4</v>
      </c>
      <c r="K5" s="123" t="s">
        <v>4836</v>
      </c>
      <c r="L5" s="22">
        <v>0</v>
      </c>
      <c r="M5" s="22">
        <v>0</v>
      </c>
      <c r="N5" s="125">
        <v>0</v>
      </c>
      <c r="O5" s="125">
        <v>0</v>
      </c>
      <c r="P5" s="22">
        <v>0</v>
      </c>
      <c r="Q5" s="22" t="s">
        <v>3147</v>
      </c>
      <c r="R5" s="22" t="s">
        <v>185</v>
      </c>
      <c r="S5" s="134"/>
      <c r="T5" s="22">
        <v>0</v>
      </c>
      <c r="U5" s="22">
        <v>0</v>
      </c>
      <c r="V5" s="22">
        <v>1</v>
      </c>
      <c r="W5" s="23"/>
      <c r="X5" s="23"/>
      <c r="Y5" s="23"/>
    </row>
    <row r="6" spans="1:25" ht="14.4">
      <c r="A6" s="117">
        <v>1</v>
      </c>
      <c r="B6" s="294" t="s">
        <v>313</v>
      </c>
      <c r="C6" s="22">
        <v>6</v>
      </c>
      <c r="D6" s="22">
        <v>2</v>
      </c>
      <c r="E6" s="22" t="s">
        <v>314</v>
      </c>
      <c r="F6" s="121" t="str">
        <f>HYPERLINK("https://www.cnnindonesia.com/nasional/20190125133616-12-363795/kontras-sebut-bebasnya-ahok-momentum-hapus-pasal-156a ","sumber")</f>
        <v>sumber</v>
      </c>
      <c r="G6" s="121" t="str">
        <f>HYPERLINK("https://drive.google.com/open?id=1Yq1cQdqMpEA5XW82kA1PtNeY98ZHxh62","lokasi")</f>
        <v>lokasi</v>
      </c>
      <c r="H6" s="22">
        <v>653</v>
      </c>
      <c r="I6" s="22">
        <v>4</v>
      </c>
      <c r="J6" s="22">
        <v>4</v>
      </c>
      <c r="K6" s="123" t="s">
        <v>4837</v>
      </c>
      <c r="L6" s="22">
        <v>0</v>
      </c>
      <c r="M6" s="22">
        <v>0</v>
      </c>
      <c r="N6" s="125">
        <v>0</v>
      </c>
      <c r="O6" s="125">
        <v>0</v>
      </c>
      <c r="P6" s="22">
        <v>0</v>
      </c>
      <c r="Q6" s="22">
        <v>0</v>
      </c>
      <c r="R6" s="22">
        <v>1</v>
      </c>
      <c r="S6" s="134"/>
      <c r="T6" s="22">
        <v>0</v>
      </c>
      <c r="U6" s="22">
        <v>0</v>
      </c>
      <c r="V6" s="22">
        <v>1</v>
      </c>
      <c r="W6" s="23"/>
      <c r="X6" s="23"/>
      <c r="Y6" s="23"/>
    </row>
    <row r="7" spans="1:25" ht="14.4">
      <c r="A7" s="126">
        <v>1</v>
      </c>
      <c r="B7" s="285" t="s">
        <v>4838</v>
      </c>
      <c r="C7" s="33">
        <v>7</v>
      </c>
      <c r="D7" s="33">
        <v>1</v>
      </c>
      <c r="E7" s="33" t="s">
        <v>314</v>
      </c>
      <c r="F7" s="130" t="str">
        <f>HYPERLINK("https://news.detik.com/berita/d-4371398/imam-istiqlal-tanya-calon-hakim-agung-soal-pernikahan-pemeluk-ahmadiyah ","sumber")</f>
        <v>sumber</v>
      </c>
      <c r="G7" s="33" t="s">
        <v>1</v>
      </c>
      <c r="H7" s="33">
        <v>2</v>
      </c>
      <c r="I7" s="33">
        <v>3</v>
      </c>
      <c r="J7" s="33">
        <v>4</v>
      </c>
      <c r="K7" s="131" t="s">
        <v>4839</v>
      </c>
      <c r="L7" s="33">
        <v>0</v>
      </c>
      <c r="M7" s="33">
        <v>0</v>
      </c>
      <c r="N7" s="132">
        <v>0</v>
      </c>
      <c r="O7" s="132">
        <v>0</v>
      </c>
      <c r="P7" s="33">
        <v>0</v>
      </c>
      <c r="Q7" s="33" t="s">
        <v>29</v>
      </c>
      <c r="R7" s="33" t="s">
        <v>29</v>
      </c>
      <c r="S7" s="133"/>
      <c r="T7" s="33">
        <v>0</v>
      </c>
      <c r="U7" s="33">
        <v>0</v>
      </c>
      <c r="V7" s="33">
        <v>1</v>
      </c>
      <c r="W7" s="24"/>
      <c r="X7" s="24"/>
      <c r="Y7" s="24"/>
    </row>
    <row r="8" spans="1:25" ht="14.4">
      <c r="A8" s="111">
        <v>2</v>
      </c>
      <c r="B8" s="308" t="s">
        <v>4840</v>
      </c>
      <c r="C8" s="25">
        <v>8</v>
      </c>
      <c r="D8" s="26"/>
      <c r="E8" s="25" t="s">
        <v>66</v>
      </c>
      <c r="F8" s="115" t="str">
        <f>HYPERLINK("https://news.okezone.com/read/2019/01/30/65/2011354/80-kampus-garap-produk-unggulan-daerah ","sumber")</f>
        <v>sumber</v>
      </c>
      <c r="G8" s="25" t="s">
        <v>1</v>
      </c>
      <c r="H8" s="25"/>
      <c r="I8" s="26"/>
      <c r="J8" s="26"/>
      <c r="K8" s="124"/>
      <c r="L8" s="26"/>
      <c r="M8" s="26"/>
      <c r="N8" s="26"/>
      <c r="O8" s="26"/>
      <c r="P8" s="26"/>
      <c r="Q8" s="26"/>
      <c r="R8" s="26"/>
      <c r="S8" s="124"/>
      <c r="T8" s="26"/>
      <c r="U8" s="26"/>
      <c r="V8" s="26"/>
      <c r="W8" s="26"/>
      <c r="X8" s="26"/>
      <c r="Y8" s="26"/>
    </row>
    <row r="9" spans="1:25" ht="14.4">
      <c r="A9" s="117">
        <v>1</v>
      </c>
      <c r="B9" s="294" t="s">
        <v>4841</v>
      </c>
      <c r="C9" s="22">
        <v>9</v>
      </c>
      <c r="D9" s="22">
        <v>4</v>
      </c>
      <c r="E9" s="222">
        <v>43740</v>
      </c>
      <c r="F9" s="121" t="str">
        <f>HYPERLINK("https://www.liputan6.com/regional/read/3891729/cegah-intoleransi-ciptakan-pemilu-bebas-golput ","sumber")</f>
        <v>sumber</v>
      </c>
      <c r="G9" s="121" t="str">
        <f>HYPERLINK("https://drive.google.com/open?id=1jBxOSzyuTM1wWJL6yvToWIlpvUhUna6r","lokasi")</f>
        <v>lokasi</v>
      </c>
      <c r="H9" s="22">
        <v>448</v>
      </c>
      <c r="I9" s="22">
        <v>3</v>
      </c>
      <c r="J9" s="22">
        <v>4</v>
      </c>
      <c r="K9" s="123" t="s">
        <v>4842</v>
      </c>
      <c r="L9" s="22">
        <v>0</v>
      </c>
      <c r="M9" s="22">
        <v>0</v>
      </c>
      <c r="N9" s="125">
        <v>0</v>
      </c>
      <c r="O9" s="125">
        <v>0</v>
      </c>
      <c r="P9" s="22">
        <v>0</v>
      </c>
      <c r="Q9" s="22" t="s">
        <v>87</v>
      </c>
      <c r="R9" s="22" t="s">
        <v>160</v>
      </c>
      <c r="S9" s="134"/>
      <c r="T9" s="22">
        <v>0</v>
      </c>
      <c r="U9" s="22">
        <v>0</v>
      </c>
      <c r="V9" s="22">
        <v>1</v>
      </c>
      <c r="W9" s="23"/>
      <c r="X9" s="23"/>
      <c r="Y9" s="23"/>
    </row>
    <row r="10" spans="1:25" ht="14.4">
      <c r="A10" s="111">
        <v>2</v>
      </c>
      <c r="B10" s="308" t="s">
        <v>320</v>
      </c>
      <c r="C10" s="25">
        <v>10</v>
      </c>
      <c r="D10" s="26"/>
      <c r="E10" s="25" t="s">
        <v>81</v>
      </c>
      <c r="F10" s="115" t="str">
        <f>HYPERLINK("https://www.cnnindonesia.com/internasional/20190214200320-120-369418/iran-janji-balas-serangan-bom-tuding-as-israel-dalang-teror","sumber")</f>
        <v>sumber</v>
      </c>
      <c r="G10" s="25" t="s">
        <v>1</v>
      </c>
      <c r="H10" s="25"/>
      <c r="I10" s="26"/>
      <c r="J10" s="26"/>
      <c r="K10" s="124"/>
      <c r="L10" s="26"/>
      <c r="M10" s="26"/>
      <c r="N10" s="26"/>
      <c r="O10" s="26"/>
      <c r="P10" s="26"/>
      <c r="Q10" s="26"/>
      <c r="R10" s="26"/>
      <c r="S10" s="124"/>
      <c r="T10" s="26"/>
      <c r="U10" s="26"/>
      <c r="V10" s="26"/>
      <c r="W10" s="26"/>
      <c r="X10" s="26"/>
      <c r="Y10" s="26"/>
    </row>
    <row r="11" spans="1:25" ht="14.4">
      <c r="A11" s="117">
        <v>1</v>
      </c>
      <c r="B11" s="294" t="s">
        <v>4843</v>
      </c>
      <c r="C11" s="22">
        <v>11</v>
      </c>
      <c r="D11" s="22">
        <v>7</v>
      </c>
      <c r="E11" s="22" t="s">
        <v>437</v>
      </c>
      <c r="F11" s="121" t="s">
        <v>2163</v>
      </c>
      <c r="G11" s="22" t="s">
        <v>1</v>
      </c>
      <c r="H11" s="22">
        <v>234</v>
      </c>
      <c r="I11" s="22">
        <v>3</v>
      </c>
      <c r="J11" s="22">
        <v>4</v>
      </c>
      <c r="K11" s="123" t="s">
        <v>4844</v>
      </c>
      <c r="L11" s="22">
        <v>0</v>
      </c>
      <c r="M11" s="22">
        <v>0</v>
      </c>
      <c r="N11" s="125">
        <v>0</v>
      </c>
      <c r="O11" s="125">
        <v>0</v>
      </c>
      <c r="P11" s="22">
        <v>0</v>
      </c>
      <c r="Q11" s="22">
        <v>0</v>
      </c>
      <c r="R11" s="22">
        <v>1</v>
      </c>
      <c r="S11" s="134"/>
      <c r="T11" s="22">
        <v>0</v>
      </c>
      <c r="U11" s="22">
        <v>0</v>
      </c>
      <c r="V11" s="22">
        <v>1</v>
      </c>
      <c r="W11" s="23"/>
      <c r="X11" s="23"/>
      <c r="Y11" s="23"/>
    </row>
    <row r="12" spans="1:25" ht="14.4">
      <c r="A12" s="117">
        <v>1</v>
      </c>
      <c r="B12" s="294" t="s">
        <v>4845</v>
      </c>
      <c r="C12" s="22">
        <v>12</v>
      </c>
      <c r="D12" s="22">
        <v>3</v>
      </c>
      <c r="E12" s="22" t="s">
        <v>328</v>
      </c>
      <c r="F12" s="121" t="str">
        <f>HYPERLINK("https://nasional.okezone.com/read/2019/02/27/337/2023508/ini-penjelasan-kemendagri-soal-kolom-agama-dan-kepercayaan-pada-e-ktp","sumber")</f>
        <v>sumber</v>
      </c>
      <c r="G12" s="22" t="s">
        <v>1</v>
      </c>
      <c r="H12" s="22">
        <v>389</v>
      </c>
      <c r="I12" s="22">
        <v>4</v>
      </c>
      <c r="J12" s="22">
        <v>4</v>
      </c>
      <c r="K12" s="123" t="s">
        <v>4846</v>
      </c>
      <c r="L12" s="22">
        <v>0</v>
      </c>
      <c r="M12" s="22">
        <v>0</v>
      </c>
      <c r="N12" s="125">
        <v>0</v>
      </c>
      <c r="O12" s="125">
        <v>0</v>
      </c>
      <c r="P12" s="22">
        <v>0</v>
      </c>
      <c r="Q12" s="22">
        <v>0</v>
      </c>
      <c r="R12" s="22">
        <v>1</v>
      </c>
      <c r="S12" s="134"/>
      <c r="T12" s="22">
        <v>0</v>
      </c>
      <c r="U12" s="22">
        <v>0</v>
      </c>
      <c r="V12" s="22">
        <v>1</v>
      </c>
      <c r="W12" s="23"/>
      <c r="X12" s="23"/>
      <c r="Y12" s="23"/>
    </row>
    <row r="13" spans="1:25" ht="14.4">
      <c r="A13" s="117">
        <v>1</v>
      </c>
      <c r="B13" s="294" t="s">
        <v>4847</v>
      </c>
      <c r="C13" s="22">
        <v>13</v>
      </c>
      <c r="D13" s="22">
        <v>6</v>
      </c>
      <c r="E13" s="22" t="s">
        <v>2304</v>
      </c>
      <c r="F13" s="121" t="str">
        <f>HYPERLINK("https://regional.kompas.com/read/2019/02/28/15281891/pemkot-bandung-sudah-keluarkan-6-ktp-untuk-penghayat ","sumber")</f>
        <v>sumber</v>
      </c>
      <c r="G13" s="22" t="s">
        <v>1</v>
      </c>
      <c r="H13" s="22">
        <v>226</v>
      </c>
      <c r="I13" s="22">
        <v>4</v>
      </c>
      <c r="J13" s="22">
        <v>4</v>
      </c>
      <c r="K13" s="123" t="s">
        <v>4848</v>
      </c>
      <c r="L13" s="22">
        <v>0</v>
      </c>
      <c r="M13" s="22">
        <v>0</v>
      </c>
      <c r="N13" s="125">
        <v>0</v>
      </c>
      <c r="O13" s="125">
        <v>0</v>
      </c>
      <c r="P13" s="22">
        <v>0</v>
      </c>
      <c r="Q13" s="22">
        <v>0</v>
      </c>
      <c r="R13" s="22">
        <v>0</v>
      </c>
      <c r="S13" s="134"/>
      <c r="T13" s="22">
        <v>0</v>
      </c>
      <c r="U13" s="22">
        <v>0</v>
      </c>
      <c r="V13" s="22">
        <v>1</v>
      </c>
      <c r="W13" s="23"/>
      <c r="X13" s="23"/>
      <c r="Y13" s="23"/>
    </row>
    <row r="14" spans="1:25" ht="14.4">
      <c r="A14" s="117">
        <v>1</v>
      </c>
      <c r="B14" s="294" t="s">
        <v>4849</v>
      </c>
      <c r="C14" s="22">
        <v>14</v>
      </c>
      <c r="D14" s="22">
        <v>5</v>
      </c>
      <c r="E14" s="222">
        <v>43468</v>
      </c>
      <c r="F14" s="121" t="str">
        <f>HYPERLINK("https://tirto.id/sering-dipakai-untuk-mendiskriminasi-kata-kafir-perlu-dihapus-dibu","sumber")</f>
        <v>sumber</v>
      </c>
      <c r="G14" s="22" t="s">
        <v>1</v>
      </c>
      <c r="H14" s="22">
        <v>572</v>
      </c>
      <c r="I14" s="22">
        <v>3</v>
      </c>
      <c r="J14" s="22">
        <v>4</v>
      </c>
      <c r="K14" s="123" t="s">
        <v>4850</v>
      </c>
      <c r="L14" s="22">
        <v>0</v>
      </c>
      <c r="M14" s="22">
        <v>0</v>
      </c>
      <c r="N14" s="125">
        <v>0</v>
      </c>
      <c r="O14" s="125">
        <v>0</v>
      </c>
      <c r="P14" s="22">
        <v>0</v>
      </c>
      <c r="Q14" s="22" t="s">
        <v>87</v>
      </c>
      <c r="R14" s="22" t="s">
        <v>160</v>
      </c>
      <c r="S14" s="134"/>
      <c r="T14" s="22">
        <v>0</v>
      </c>
      <c r="U14" s="22">
        <v>0</v>
      </c>
      <c r="V14" s="22">
        <v>1</v>
      </c>
      <c r="W14" s="23"/>
      <c r="X14" s="23"/>
      <c r="Y14" s="23"/>
    </row>
    <row r="15" spans="1:25" ht="14.4">
      <c r="A15" s="111">
        <v>2</v>
      </c>
      <c r="B15" s="308" t="s">
        <v>4851</v>
      </c>
      <c r="C15" s="25">
        <v>15</v>
      </c>
      <c r="D15" s="26"/>
      <c r="E15" s="234">
        <v>43558</v>
      </c>
      <c r="F15" s="115" t="str">
        <f>HYPERLINK("http://www.tribunnews.com/regional/2019/03/04/lima-hotspot-terpantau-di-wilayah-aceh ","sumber")</f>
        <v>sumber</v>
      </c>
      <c r="G15" s="25" t="s">
        <v>1</v>
      </c>
      <c r="H15" s="25"/>
      <c r="I15" s="26"/>
      <c r="J15" s="26"/>
      <c r="K15" s="124"/>
      <c r="L15" s="26"/>
      <c r="M15" s="26"/>
      <c r="N15" s="26"/>
      <c r="O15" s="26"/>
      <c r="P15" s="26"/>
      <c r="Q15" s="26"/>
      <c r="R15" s="26"/>
      <c r="S15" s="124"/>
      <c r="T15" s="26"/>
      <c r="U15" s="26"/>
      <c r="V15" s="26"/>
      <c r="W15" s="26"/>
      <c r="X15" s="26"/>
      <c r="Y15" s="26"/>
    </row>
    <row r="16" spans="1:25" ht="14.4">
      <c r="A16" s="117">
        <v>1</v>
      </c>
      <c r="B16" s="294" t="s">
        <v>4852</v>
      </c>
      <c r="C16" s="22">
        <v>16</v>
      </c>
      <c r="D16" s="22">
        <v>9</v>
      </c>
      <c r="E16" s="222">
        <v>43649</v>
      </c>
      <c r="F16" s="121" t="str">
        <f>HYPERLINK("https://nasional.republika.co.id/berita/nasional/politik/pnzjsy430/kpu-sampang-coret-ratusan-pengungsi-syiah-dari-dpt ","sumber")</f>
        <v>sumber</v>
      </c>
      <c r="G16" s="22" t="s">
        <v>1</v>
      </c>
      <c r="H16" s="22">
        <v>430</v>
      </c>
      <c r="I16" s="22">
        <v>4</v>
      </c>
      <c r="J16" s="22">
        <v>4</v>
      </c>
      <c r="K16" s="123" t="s">
        <v>4853</v>
      </c>
      <c r="L16" s="22">
        <v>0</v>
      </c>
      <c r="M16" s="22">
        <v>0</v>
      </c>
      <c r="N16" s="125">
        <v>0</v>
      </c>
      <c r="O16" s="125">
        <v>0</v>
      </c>
      <c r="P16" s="22">
        <v>0</v>
      </c>
      <c r="Q16" s="22">
        <v>0</v>
      </c>
      <c r="R16" s="22">
        <v>0</v>
      </c>
      <c r="S16" s="134"/>
      <c r="T16" s="22">
        <v>0</v>
      </c>
      <c r="U16" s="22">
        <v>0</v>
      </c>
      <c r="V16" s="22">
        <v>1</v>
      </c>
      <c r="W16" s="23"/>
      <c r="X16" s="23"/>
      <c r="Y16" s="23"/>
    </row>
    <row r="17" spans="1:25" ht="14.4">
      <c r="A17" s="111">
        <v>2</v>
      </c>
      <c r="B17" s="308" t="s">
        <v>4854</v>
      </c>
      <c r="C17" s="25">
        <v>17</v>
      </c>
      <c r="D17" s="25"/>
      <c r="E17" s="234">
        <v>43649</v>
      </c>
      <c r="F17" s="115" t="str">
        <f>HYPERLINK("https://tirto.id/sejarah-hindu-bali-upaya-menuntut-pengakuan-dari-negara-diDD","sumber")</f>
        <v>sumber</v>
      </c>
      <c r="G17" s="25" t="s">
        <v>1</v>
      </c>
      <c r="H17" s="25"/>
      <c r="I17" s="26"/>
      <c r="J17" s="26"/>
      <c r="K17" s="124"/>
      <c r="L17" s="26"/>
      <c r="M17" s="26"/>
      <c r="N17" s="26"/>
      <c r="O17" s="26"/>
      <c r="P17" s="26"/>
      <c r="Q17" s="26"/>
      <c r="R17" s="26"/>
      <c r="S17" s="124"/>
      <c r="T17" s="26"/>
      <c r="U17" s="26"/>
      <c r="V17" s="26"/>
      <c r="W17" s="26"/>
      <c r="X17" s="26"/>
      <c r="Y17" s="26"/>
    </row>
    <row r="18" spans="1:25" ht="14.4">
      <c r="A18" s="111">
        <v>2</v>
      </c>
      <c r="B18" s="308" t="s">
        <v>4855</v>
      </c>
      <c r="C18" s="25">
        <v>18</v>
      </c>
      <c r="D18" s="26"/>
      <c r="E18" s="234">
        <v>43680</v>
      </c>
      <c r="F18" s="115" t="str">
        <f>HYPERLINK("https://www.liputan6.com/global/read/3911854/ledakan-maut-targetkan-agenda-kumpul-politik-di-afghanistan-3-orang-tewas ","sumber")</f>
        <v>sumber</v>
      </c>
      <c r="G18" s="25" t="s">
        <v>1</v>
      </c>
      <c r="H18" s="25"/>
      <c r="I18" s="26"/>
      <c r="J18" s="26"/>
      <c r="K18" s="124"/>
      <c r="L18" s="26"/>
      <c r="M18" s="26"/>
      <c r="N18" s="26"/>
      <c r="O18" s="26"/>
      <c r="P18" s="26"/>
      <c r="Q18" s="26"/>
      <c r="R18" s="26"/>
      <c r="S18" s="124"/>
      <c r="T18" s="26"/>
      <c r="U18" s="26"/>
      <c r="V18" s="26"/>
      <c r="W18" s="26"/>
      <c r="X18" s="26"/>
      <c r="Y18" s="26"/>
    </row>
    <row r="19" spans="1:25" ht="14.4">
      <c r="A19" s="111">
        <v>2</v>
      </c>
      <c r="B19" s="308" t="s">
        <v>4038</v>
      </c>
      <c r="C19" s="25">
        <v>19</v>
      </c>
      <c r="D19" s="26"/>
      <c r="E19" s="234">
        <v>43711</v>
      </c>
      <c r="F19" s="115" t="str">
        <f>HYPERLINK("https://nasional.republika.co.id/berita/nasional/politik/po3ppr409/bawaslu-sampang-temukan-dua-wna-masuk-dpt-pemilu-2019 ","sumber")</f>
        <v>sumber</v>
      </c>
      <c r="G19" s="25" t="s">
        <v>1</v>
      </c>
      <c r="H19" s="25"/>
      <c r="I19" s="26"/>
      <c r="J19" s="26"/>
      <c r="K19" s="124"/>
      <c r="L19" s="26"/>
      <c r="M19" s="26"/>
      <c r="N19" s="26"/>
      <c r="O19" s="26"/>
      <c r="P19" s="26"/>
      <c r="Q19" s="26"/>
      <c r="R19" s="26"/>
      <c r="S19" s="124"/>
      <c r="T19" s="26"/>
      <c r="U19" s="26"/>
      <c r="V19" s="26"/>
      <c r="W19" s="26"/>
      <c r="X19" s="26"/>
      <c r="Y19" s="26"/>
    </row>
    <row r="20" spans="1:25" ht="14.4">
      <c r="A20" s="111">
        <v>2</v>
      </c>
      <c r="B20" s="308" t="s">
        <v>4856</v>
      </c>
      <c r="C20" s="25">
        <v>20</v>
      </c>
      <c r="D20" s="26"/>
      <c r="E20" s="25" t="s">
        <v>121</v>
      </c>
      <c r="F20" s="115" t="str">
        <f>HYPERLINK("https://dunia.tempo.co/read/1183917/pertama-kali-presiden-iran-hassan-rouhani-akan-kunjungi-irak/full&amp;view=ok","sumber")</f>
        <v>sumber</v>
      </c>
      <c r="G20" s="25" t="s">
        <v>1</v>
      </c>
      <c r="H20" s="25"/>
      <c r="I20" s="26"/>
      <c r="J20" s="26"/>
      <c r="K20" s="124"/>
      <c r="L20" s="26"/>
      <c r="M20" s="26"/>
      <c r="N20" s="26"/>
      <c r="O20" s="26"/>
      <c r="P20" s="26"/>
      <c r="Q20" s="26"/>
      <c r="R20" s="26"/>
      <c r="S20" s="124"/>
      <c r="T20" s="26"/>
      <c r="U20" s="26"/>
      <c r="V20" s="26"/>
      <c r="W20" s="26"/>
      <c r="X20" s="26"/>
      <c r="Y20" s="26"/>
    </row>
    <row r="21" spans="1:25" ht="14.4">
      <c r="A21" s="117">
        <v>1</v>
      </c>
      <c r="B21" s="294" t="s">
        <v>1981</v>
      </c>
      <c r="C21" s="22">
        <v>21</v>
      </c>
      <c r="D21" s="22">
        <v>7</v>
      </c>
      <c r="E21" s="22" t="s">
        <v>491</v>
      </c>
      <c r="F21" s="121" t="str">
        <f>HYPERLINK("http://www.tribunnews.com/australia-plus/2019/03/19/penghayat-kepercayaan-indonesia-ingin-diakui-lebih-dari-kolom-ktp","sumber")</f>
        <v>sumber</v>
      </c>
      <c r="G21" s="22" t="s">
        <v>1</v>
      </c>
      <c r="H21" s="22">
        <v>271</v>
      </c>
      <c r="I21" s="22">
        <v>3</v>
      </c>
      <c r="J21" s="22">
        <v>4</v>
      </c>
      <c r="K21" s="123" t="s">
        <v>4857</v>
      </c>
      <c r="L21" s="22">
        <v>0</v>
      </c>
      <c r="M21" s="22">
        <v>0</v>
      </c>
      <c r="N21" s="125">
        <v>0</v>
      </c>
      <c r="O21" s="125">
        <v>0</v>
      </c>
      <c r="P21" s="22">
        <v>0</v>
      </c>
      <c r="Q21" s="22" t="s">
        <v>4858</v>
      </c>
      <c r="R21" s="22" t="s">
        <v>160</v>
      </c>
      <c r="S21" s="134"/>
      <c r="T21" s="22">
        <v>0</v>
      </c>
      <c r="U21" s="22">
        <v>0</v>
      </c>
      <c r="V21" s="22">
        <v>1</v>
      </c>
      <c r="W21" s="23"/>
      <c r="X21" s="23"/>
      <c r="Y21" s="23"/>
    </row>
    <row r="22" spans="1:25" ht="14.4">
      <c r="A22" s="111">
        <v>2</v>
      </c>
      <c r="B22" s="308" t="s">
        <v>4859</v>
      </c>
      <c r="C22" s="25">
        <v>22</v>
      </c>
      <c r="D22" s="26"/>
      <c r="E22" s="25" t="s">
        <v>493</v>
      </c>
      <c r="F22" s="115" t="str">
        <f>HYPERLINK("https://www.cnnindonesia.com/nasional/20190322173442-20-379850/jumlah-siswa-yang-lulus-snmptn-2019-lebih-sedikit-dari-2018 ","sumber")</f>
        <v>sumber</v>
      </c>
      <c r="G22" s="25" t="s">
        <v>1</v>
      </c>
      <c r="H22" s="25"/>
      <c r="I22" s="26"/>
      <c r="J22" s="26"/>
      <c r="K22" s="124"/>
      <c r="L22" s="26"/>
      <c r="M22" s="26"/>
      <c r="N22" s="26"/>
      <c r="O22" s="26"/>
      <c r="P22" s="26"/>
      <c r="Q22" s="26"/>
      <c r="R22" s="26"/>
      <c r="S22" s="124"/>
      <c r="T22" s="26"/>
      <c r="U22" s="26"/>
      <c r="V22" s="26"/>
      <c r="W22" s="26"/>
      <c r="X22" s="26"/>
      <c r="Y22" s="26"/>
    </row>
    <row r="23" spans="1:25" ht="14.4">
      <c r="A23" s="126">
        <v>1</v>
      </c>
      <c r="B23" s="285" t="s">
        <v>4860</v>
      </c>
      <c r="C23" s="33">
        <v>23</v>
      </c>
      <c r="D23" s="33">
        <v>6</v>
      </c>
      <c r="E23" s="33" t="s">
        <v>127</v>
      </c>
      <c r="F23" s="130" t="str">
        <f>HYPERLINK("https://nasional.kompas.com/read/2019/03/12/09305941/partai-partai-seharusnya-juga-diberi-kesempatan-debat-untuk-adu-gagasan","sumber")</f>
        <v>sumber</v>
      </c>
      <c r="G23" s="33" t="s">
        <v>1</v>
      </c>
      <c r="H23" s="33">
        <v>1</v>
      </c>
      <c r="I23" s="33">
        <v>3</v>
      </c>
      <c r="J23" s="33">
        <v>4</v>
      </c>
      <c r="K23" s="131" t="s">
        <v>4861</v>
      </c>
      <c r="L23" s="33">
        <v>0</v>
      </c>
      <c r="M23" s="33">
        <v>0</v>
      </c>
      <c r="N23" s="132">
        <v>0</v>
      </c>
      <c r="O23" s="132">
        <v>0</v>
      </c>
      <c r="P23" s="33">
        <v>0</v>
      </c>
      <c r="Q23" s="33">
        <v>0</v>
      </c>
      <c r="R23" s="33">
        <v>1</v>
      </c>
      <c r="S23" s="133"/>
      <c r="T23" s="33">
        <v>0</v>
      </c>
      <c r="U23" s="33">
        <v>0</v>
      </c>
      <c r="V23" s="33">
        <v>1</v>
      </c>
      <c r="W23" s="24"/>
      <c r="X23" s="24"/>
      <c r="Y23" s="24"/>
    </row>
    <row r="24" spans="1:25" ht="14.4">
      <c r="A24" s="111">
        <v>2</v>
      </c>
      <c r="B24" s="308" t="s">
        <v>4862</v>
      </c>
      <c r="C24" s="25">
        <v>24</v>
      </c>
      <c r="D24" s="26"/>
      <c r="E24" s="234">
        <v>43469</v>
      </c>
      <c r="F24" s="115" t="str">
        <f>HYPERLINK("https://www.liputan6.com/pilpres/read/3931621/kpu-akan-gelar-doa-bersama-usai-debat-kelima-pilpres-2019 https://www.liputan6.com/pilpres/read/3931621/kpu-akan-gelar-doa-bersama-usai-debat-kelima-pilpres-2019 ","sumber")</f>
        <v>sumber</v>
      </c>
      <c r="G24" s="25" t="s">
        <v>1</v>
      </c>
      <c r="H24" s="26"/>
      <c r="I24" s="26"/>
      <c r="J24" s="26"/>
      <c r="K24" s="124"/>
      <c r="L24" s="26"/>
      <c r="M24" s="26"/>
      <c r="N24" s="26"/>
      <c r="O24" s="26"/>
      <c r="P24" s="26"/>
      <c r="Q24" s="26"/>
      <c r="R24" s="26"/>
      <c r="S24" s="124"/>
      <c r="T24" s="26"/>
      <c r="U24" s="26"/>
      <c r="V24" s="26"/>
      <c r="W24" s="26"/>
      <c r="X24" s="26"/>
      <c r="Y24" s="26"/>
    </row>
    <row r="25" spans="1:25" ht="15.75" customHeight="1">
      <c r="A25" s="111">
        <v>2</v>
      </c>
      <c r="B25" s="308" t="s">
        <v>2909</v>
      </c>
      <c r="C25" s="25">
        <v>25</v>
      </c>
      <c r="D25" s="26"/>
      <c r="E25" s="234">
        <v>43500</v>
      </c>
      <c r="F25" s="115" t="str">
        <f>HYPERLINK("https://nasional.republika.co.id/berita/nasional/politik/ppc1jb430/kpu-undang-seluruh-ketum-parpol-hadiri-debat-terakhir ","sumber")</f>
        <v>sumber</v>
      </c>
      <c r="G25" s="25" t="s">
        <v>1</v>
      </c>
      <c r="H25" s="26"/>
      <c r="I25" s="26"/>
      <c r="J25" s="26"/>
      <c r="K25" s="124"/>
      <c r="L25" s="26"/>
      <c r="M25" s="26"/>
      <c r="N25" s="26"/>
      <c r="O25" s="26"/>
      <c r="P25" s="26"/>
      <c r="Q25" s="26"/>
      <c r="R25" s="26"/>
      <c r="S25" s="124"/>
      <c r="T25" s="26"/>
      <c r="U25" s="26"/>
      <c r="V25" s="26"/>
      <c r="W25" s="26"/>
      <c r="X25" s="26"/>
      <c r="Y25" s="26"/>
    </row>
    <row r="26" spans="1:25" ht="14.4">
      <c r="A26" s="111">
        <v>2</v>
      </c>
      <c r="B26" s="308" t="s">
        <v>4863</v>
      </c>
      <c r="C26" s="25">
        <v>26</v>
      </c>
      <c r="D26" s="26"/>
      <c r="E26" s="234">
        <v>43500</v>
      </c>
      <c r="F26" s="115" t="str">
        <f>HYPERLINK("http://www.tribunnews.com/nasional/2019/04/02/berita-hoax-naik-tajam-jelang-pemilu ","sumber")</f>
        <v>sumber</v>
      </c>
      <c r="G26" s="25" t="s">
        <v>1</v>
      </c>
      <c r="H26" s="26"/>
      <c r="I26" s="26"/>
      <c r="J26" s="26"/>
      <c r="K26" s="124"/>
      <c r="L26" s="26"/>
      <c r="M26" s="26"/>
      <c r="N26" s="26"/>
      <c r="O26" s="26"/>
      <c r="P26" s="26"/>
      <c r="Q26" s="26"/>
      <c r="R26" s="26"/>
      <c r="S26" s="124"/>
      <c r="T26" s="26"/>
      <c r="U26" s="26"/>
      <c r="V26" s="26"/>
      <c r="W26" s="26"/>
      <c r="X26" s="26"/>
      <c r="Y26" s="26"/>
    </row>
    <row r="27" spans="1:25" ht="14.4">
      <c r="A27" s="126">
        <v>1</v>
      </c>
      <c r="B27" s="285" t="s">
        <v>4864</v>
      </c>
      <c r="C27" s="33">
        <v>27</v>
      </c>
      <c r="D27" s="33">
        <v>3</v>
      </c>
      <c r="E27" s="288">
        <v>43528</v>
      </c>
      <c r="F27" s="130" t="str">
        <f>HYPERLINK("https://news.okezone.com/read/2019/04/03/337/2038539/penghayat-kepercayaan-masih-sulit-revisi-kolom-agama-di-ktp ","sumber")</f>
        <v>sumber</v>
      </c>
      <c r="G27" s="33" t="s">
        <v>1</v>
      </c>
      <c r="H27" s="33">
        <v>3</v>
      </c>
      <c r="I27" s="33">
        <v>4</v>
      </c>
      <c r="J27" s="33">
        <v>4</v>
      </c>
      <c r="K27" s="131" t="s">
        <v>4865</v>
      </c>
      <c r="L27" s="33">
        <v>0</v>
      </c>
      <c r="M27" s="33">
        <v>0</v>
      </c>
      <c r="N27" s="132">
        <v>0</v>
      </c>
      <c r="O27" s="132">
        <v>0</v>
      </c>
      <c r="P27" s="33">
        <v>0</v>
      </c>
      <c r="Q27" s="33" t="s">
        <v>4866</v>
      </c>
      <c r="R27" s="33" t="s">
        <v>360</v>
      </c>
      <c r="S27" s="133"/>
      <c r="T27" s="33">
        <v>0</v>
      </c>
      <c r="U27" s="33">
        <v>0</v>
      </c>
      <c r="V27" s="33">
        <v>1</v>
      </c>
      <c r="W27" s="24"/>
      <c r="X27" s="24"/>
      <c r="Y27" s="24"/>
    </row>
    <row r="28" spans="1:25" ht="14.4">
      <c r="A28" s="111">
        <v>2</v>
      </c>
      <c r="B28" s="308" t="s">
        <v>4867</v>
      </c>
      <c r="C28" s="25">
        <v>28</v>
      </c>
      <c r="D28" s="26"/>
      <c r="E28" s="234">
        <v>43650</v>
      </c>
      <c r="F28" s="115" t="str">
        <f>HYPERLINK("http://www.tribunnews.com/bisnis/2019/04/07/punya-potensi-sda-melimpah-bppt-akan-genjot-produktivitas-kopi-dan-atsiri-aceh ","sumber")</f>
        <v>sumber</v>
      </c>
      <c r="G28" s="25" t="s">
        <v>1</v>
      </c>
      <c r="H28" s="26"/>
      <c r="I28" s="26"/>
      <c r="J28" s="26"/>
      <c r="K28" s="124"/>
      <c r="L28" s="26"/>
      <c r="M28" s="26"/>
      <c r="N28" s="26"/>
      <c r="O28" s="26"/>
      <c r="P28" s="26"/>
      <c r="Q28" s="26"/>
      <c r="R28" s="26"/>
      <c r="S28" s="124"/>
      <c r="T28" s="26"/>
      <c r="U28" s="26"/>
      <c r="V28" s="26"/>
      <c r="W28" s="26"/>
      <c r="X28" s="26"/>
      <c r="Y28" s="26"/>
    </row>
    <row r="29" spans="1:25" ht="14.4">
      <c r="A29" s="111">
        <v>2</v>
      </c>
      <c r="B29" s="308" t="s">
        <v>4059</v>
      </c>
      <c r="C29" s="25">
        <v>29</v>
      </c>
      <c r="D29" s="26"/>
      <c r="E29" s="234">
        <v>43681</v>
      </c>
      <c r="F29" s="115" t="str">
        <f>HYPERLINK("https://edukasi.kompas.com/read/2019/04/08/21220471/menumbuhkan-startup-kampus-lewat-cppbt-boot-camp-2019 ","sumber")</f>
        <v>sumber</v>
      </c>
      <c r="G29" s="25" t="s">
        <v>1</v>
      </c>
      <c r="H29" s="26"/>
      <c r="I29" s="26"/>
      <c r="J29" s="26"/>
      <c r="K29" s="124"/>
      <c r="L29" s="26"/>
      <c r="M29" s="26"/>
      <c r="N29" s="26"/>
      <c r="O29" s="26"/>
      <c r="P29" s="26"/>
      <c r="Q29" s="26"/>
      <c r="R29" s="26"/>
      <c r="S29" s="124"/>
      <c r="T29" s="26"/>
      <c r="U29" s="26"/>
      <c r="V29" s="26"/>
      <c r="W29" s="26"/>
      <c r="X29" s="26"/>
      <c r="Y29" s="26"/>
    </row>
    <row r="30" spans="1:25" ht="14.4">
      <c r="A30" s="111">
        <v>2</v>
      </c>
      <c r="B30" s="308" t="s">
        <v>2003</v>
      </c>
      <c r="C30" s="25">
        <v>30</v>
      </c>
      <c r="D30" s="26"/>
      <c r="E30" s="234">
        <v>43681</v>
      </c>
      <c r="F30" s="115" t="str">
        <f>HYPERLINK("https://www.tribunnews.com/internasional/2019/04/08/as-akan-masukkan-garda-revolusi-iran-dalam-daftar-hitam-kelompok-teroris","sumber")</f>
        <v>sumber</v>
      </c>
      <c r="G30" s="25" t="s">
        <v>1</v>
      </c>
      <c r="H30" s="26"/>
      <c r="I30" s="26"/>
      <c r="J30" s="26"/>
      <c r="K30" s="124"/>
      <c r="L30" s="25"/>
      <c r="M30" s="26"/>
      <c r="N30" s="26"/>
      <c r="O30" s="26"/>
      <c r="P30" s="26"/>
      <c r="Q30" s="26"/>
      <c r="R30" s="26"/>
      <c r="S30" s="124"/>
      <c r="T30" s="26"/>
      <c r="U30" s="26"/>
      <c r="V30" s="26"/>
      <c r="W30" s="26"/>
      <c r="X30" s="26"/>
      <c r="Y30" s="26"/>
    </row>
    <row r="31" spans="1:25" ht="14.4">
      <c r="A31" s="117">
        <v>1</v>
      </c>
      <c r="B31" s="294" t="s">
        <v>4868</v>
      </c>
      <c r="C31" s="22">
        <v>31</v>
      </c>
      <c r="D31" s="22">
        <v>8</v>
      </c>
      <c r="E31" s="222">
        <v>43742</v>
      </c>
      <c r="F31" s="121" t="str">
        <f>HYPERLINK("https://www.suara.com/news/2019/04/10/073500/yahudi-ortodoks-di-jakarta-hidup-melawan-stigma-meretas-jalan-pengakuan ","sumber")</f>
        <v>sumber</v>
      </c>
      <c r="G31" s="22" t="s">
        <v>1</v>
      </c>
      <c r="H31" s="22">
        <v>2375</v>
      </c>
      <c r="I31" s="22">
        <v>2</v>
      </c>
      <c r="J31" s="22">
        <v>4</v>
      </c>
      <c r="K31" s="123" t="s">
        <v>4869</v>
      </c>
      <c r="L31" s="22">
        <v>0</v>
      </c>
      <c r="M31" s="22">
        <v>0</v>
      </c>
      <c r="N31" s="125">
        <v>0</v>
      </c>
      <c r="O31" s="125">
        <v>0</v>
      </c>
      <c r="P31" s="22">
        <v>0</v>
      </c>
      <c r="Q31" s="22" t="s">
        <v>159</v>
      </c>
      <c r="R31" s="22" t="s">
        <v>160</v>
      </c>
      <c r="S31" s="134"/>
      <c r="T31" s="22">
        <v>0</v>
      </c>
      <c r="U31" s="22">
        <v>0</v>
      </c>
      <c r="V31" s="22">
        <v>0</v>
      </c>
      <c r="W31" s="23"/>
      <c r="X31" s="23"/>
      <c r="Y31" s="23"/>
    </row>
    <row r="32" spans="1:25" ht="14.4">
      <c r="A32" s="111">
        <v>2</v>
      </c>
      <c r="B32" s="308" t="s">
        <v>4870</v>
      </c>
      <c r="C32" s="25">
        <v>32</v>
      </c>
      <c r="D32" s="26"/>
      <c r="E32" s="234">
        <v>43742</v>
      </c>
      <c r="F32" s="115" t="str">
        <f>HYPERLINK("https://kolom.tempo.co/read/1194092/pentingnya-ratifikasi-konvensi-anti-penghilangan-paksa/full&amp;view=ok","sumber")</f>
        <v>sumber</v>
      </c>
      <c r="G32" s="25" t="s">
        <v>1</v>
      </c>
      <c r="H32" s="26"/>
      <c r="I32" s="26"/>
      <c r="J32" s="26"/>
      <c r="K32" s="124"/>
      <c r="L32" s="26"/>
      <c r="M32" s="26"/>
      <c r="N32" s="26"/>
      <c r="O32" s="26"/>
      <c r="P32" s="26"/>
      <c r="Q32" s="26"/>
      <c r="R32" s="26"/>
      <c r="S32" s="124"/>
      <c r="T32" s="26"/>
      <c r="U32" s="26"/>
      <c r="V32" s="26"/>
      <c r="W32" s="26"/>
      <c r="X32" s="26"/>
      <c r="Y32" s="26"/>
    </row>
    <row r="33" spans="1:25" ht="14.4">
      <c r="A33" s="111">
        <v>2</v>
      </c>
      <c r="B33" s="308" t="s">
        <v>4871</v>
      </c>
      <c r="C33" s="25">
        <v>33</v>
      </c>
      <c r="D33" s="26"/>
      <c r="E33" s="234">
        <v>43803</v>
      </c>
      <c r="F33" s="115" t="str">
        <f>HYPERLINK("https://www.liputan6.com/global/read/3940380/bom-meledak-di-pasar-pakistan-18-orang-dilaporkan-tewas ","sumber")</f>
        <v>sumber</v>
      </c>
      <c r="G33" s="25" t="s">
        <v>1</v>
      </c>
      <c r="H33" s="26"/>
      <c r="I33" s="26"/>
      <c r="J33" s="26"/>
      <c r="K33" s="124"/>
      <c r="L33" s="26"/>
      <c r="M33" s="26"/>
      <c r="N33" s="26"/>
      <c r="O33" s="26"/>
      <c r="P33" s="26"/>
      <c r="Q33" s="26"/>
      <c r="R33" s="26"/>
      <c r="S33" s="124"/>
      <c r="T33" s="26"/>
      <c r="U33" s="26"/>
      <c r="V33" s="26"/>
      <c r="W33" s="26"/>
      <c r="X33" s="26"/>
      <c r="Y33" s="26"/>
    </row>
    <row r="34" spans="1:25" ht="14.4">
      <c r="A34" s="117">
        <v>1</v>
      </c>
      <c r="B34" s="294" t="s">
        <v>4872</v>
      </c>
      <c r="C34" s="22">
        <v>34</v>
      </c>
      <c r="D34" s="22">
        <v>5</v>
      </c>
      <c r="E34" s="22" t="s">
        <v>734</v>
      </c>
      <c r="F34" s="121" t="str">
        <f>HYPERLINK("https://tirto.id/perumahan-khusus-muslim-dan-ancaman-toleransi-di-yogyakarta-dl1D ","sumber")</f>
        <v>sumber</v>
      </c>
      <c r="G34" s="22" t="s">
        <v>1</v>
      </c>
      <c r="H34" s="22">
        <v>1848</v>
      </c>
      <c r="I34" s="22">
        <v>4</v>
      </c>
      <c r="J34" s="22">
        <v>4</v>
      </c>
      <c r="K34" s="123" t="s">
        <v>4873</v>
      </c>
      <c r="L34" s="22">
        <v>0</v>
      </c>
      <c r="M34" s="22">
        <v>0</v>
      </c>
      <c r="N34" s="125">
        <v>0</v>
      </c>
      <c r="O34" s="125">
        <v>0</v>
      </c>
      <c r="P34" s="22">
        <v>0</v>
      </c>
      <c r="Q34" s="22" t="s">
        <v>4874</v>
      </c>
      <c r="R34" s="22" t="s">
        <v>4875</v>
      </c>
      <c r="S34" s="134"/>
      <c r="T34" s="22">
        <v>0</v>
      </c>
      <c r="U34" s="22">
        <v>0</v>
      </c>
      <c r="V34" s="22">
        <v>1</v>
      </c>
      <c r="W34" s="23"/>
      <c r="X34" s="23"/>
      <c r="Y34" s="23"/>
    </row>
    <row r="35" spans="1:25" ht="14.4">
      <c r="A35" s="111">
        <v>2</v>
      </c>
      <c r="B35" s="308" t="s">
        <v>4876</v>
      </c>
      <c r="C35" s="25">
        <v>35</v>
      </c>
      <c r="D35" s="26"/>
      <c r="E35" s="25" t="s">
        <v>516</v>
      </c>
      <c r="F35" s="115" t="str">
        <f>HYPERLINK("https://tirto.id/pasang-surut-karier-kanye-west-yang-mengilhami-sekte-yeezianity-dlTP ","sumber")</f>
        <v>sumber</v>
      </c>
      <c r="G35" s="25" t="s">
        <v>1</v>
      </c>
      <c r="H35" s="26"/>
      <c r="I35" s="26"/>
      <c r="J35" s="26"/>
      <c r="K35" s="124"/>
      <c r="L35" s="26"/>
      <c r="M35" s="26"/>
      <c r="N35" s="26"/>
      <c r="O35" s="26"/>
      <c r="P35" s="26"/>
      <c r="Q35" s="26"/>
      <c r="R35" s="26"/>
      <c r="S35" s="124"/>
      <c r="T35" s="26"/>
      <c r="U35" s="26"/>
      <c r="V35" s="26"/>
      <c r="W35" s="26"/>
      <c r="X35" s="26"/>
      <c r="Y35" s="26"/>
    </row>
    <row r="36" spans="1:25" ht="14.4">
      <c r="A36" s="117">
        <v>1</v>
      </c>
      <c r="B36" s="294" t="s">
        <v>4877</v>
      </c>
      <c r="C36" s="22">
        <v>36</v>
      </c>
      <c r="D36" s="22">
        <v>1</v>
      </c>
      <c r="E36" s="22" t="s">
        <v>165</v>
      </c>
      <c r="F36" s="121" t="str">
        <f>HYPERLINK("https://news.detik.com/berita-jawa-tengah/d-4523077/pertama-kalinya-sedulur-sikep-akan-catat-pernikahan-ke-disdukcapil-kudus ","sumber")</f>
        <v>sumber</v>
      </c>
      <c r="G36" s="22" t="s">
        <v>1</v>
      </c>
      <c r="H36" s="22">
        <v>300</v>
      </c>
      <c r="I36" s="22">
        <v>4</v>
      </c>
      <c r="J36" s="22">
        <v>4</v>
      </c>
      <c r="K36" s="123" t="s">
        <v>4878</v>
      </c>
      <c r="L36" s="22">
        <v>0</v>
      </c>
      <c r="M36" s="22">
        <v>0</v>
      </c>
      <c r="N36" s="125">
        <v>0</v>
      </c>
      <c r="O36" s="125">
        <v>0</v>
      </c>
      <c r="P36" s="22">
        <v>0</v>
      </c>
      <c r="Q36" s="22" t="s">
        <v>178</v>
      </c>
      <c r="R36" s="22" t="s">
        <v>68</v>
      </c>
      <c r="S36" s="134"/>
      <c r="T36" s="22">
        <v>0</v>
      </c>
      <c r="U36" s="22">
        <v>0</v>
      </c>
      <c r="V36" s="22">
        <v>1</v>
      </c>
      <c r="W36" s="23"/>
      <c r="X36" s="23"/>
      <c r="Y36" s="23"/>
    </row>
    <row r="37" spans="1:25" ht="14.4">
      <c r="A37" s="111">
        <v>2</v>
      </c>
      <c r="B37" s="308" t="s">
        <v>4065</v>
      </c>
      <c r="C37" s="25">
        <v>37</v>
      </c>
      <c r="D37" s="26"/>
      <c r="E37" s="25" t="s">
        <v>165</v>
      </c>
      <c r="F37" s="115" t="str">
        <f>HYPERLINK("http://www.tribunnews.com/internasional/2019/04/24/pbb-desak-arab-saudi-menunda-semua-rencana-pelaksanaan-hukuman-mati ","sumber")</f>
        <v>sumber</v>
      </c>
      <c r="G37" s="25" t="s">
        <v>1</v>
      </c>
      <c r="H37" s="26"/>
      <c r="I37" s="26"/>
      <c r="J37" s="25"/>
      <c r="K37" s="124"/>
      <c r="L37" s="26"/>
      <c r="M37" s="26"/>
      <c r="N37" s="26"/>
      <c r="O37" s="26"/>
      <c r="P37" s="26"/>
      <c r="Q37" s="26"/>
      <c r="R37" s="26"/>
      <c r="S37" s="124"/>
      <c r="T37" s="26"/>
      <c r="U37" s="26"/>
      <c r="V37" s="26"/>
      <c r="W37" s="26"/>
      <c r="X37" s="26"/>
      <c r="Y37" s="26"/>
    </row>
    <row r="38" spans="1:25" ht="14.4">
      <c r="A38" s="111">
        <v>2</v>
      </c>
      <c r="B38" s="308" t="s">
        <v>4879</v>
      </c>
      <c r="C38" s="25">
        <v>38</v>
      </c>
      <c r="D38" s="26"/>
      <c r="E38" s="25" t="s">
        <v>354</v>
      </c>
      <c r="F38" s="115" t="str">
        <f>HYPERLINK("https://internasional.republika.co.id/berita/internasional/asia/pqpm32382/polisi-india-geledah-rumah-terduga-anggota-kelompok-teror ","sumber")</f>
        <v>sumber</v>
      </c>
      <c r="G38" s="25" t="s">
        <v>1</v>
      </c>
      <c r="H38" s="26"/>
      <c r="I38" s="26"/>
      <c r="J38" s="26"/>
      <c r="K38" s="124"/>
      <c r="L38" s="26"/>
      <c r="M38" s="26"/>
      <c r="N38" s="26"/>
      <c r="O38" s="26"/>
      <c r="P38" s="26"/>
      <c r="Q38" s="26"/>
      <c r="R38" s="26"/>
      <c r="S38" s="124"/>
      <c r="T38" s="26"/>
      <c r="U38" s="26"/>
      <c r="V38" s="26"/>
      <c r="W38" s="26"/>
      <c r="X38" s="26"/>
      <c r="Y38" s="26"/>
    </row>
    <row r="39" spans="1:25" ht="14.4">
      <c r="A39" s="111">
        <v>2</v>
      </c>
      <c r="B39" s="308" t="s">
        <v>4880</v>
      </c>
      <c r="C39" s="25">
        <v>39</v>
      </c>
      <c r="D39" s="26"/>
      <c r="E39" s="234">
        <v>43529</v>
      </c>
      <c r="F39" s="115" t="str">
        <f>HYPERLINK("https://news.okezone.com/read/2019/05/03/18/2050927/usai-penggal-37-orang-teroris-arab-saudi-didesak-untuk-hentikan-eksekusi-massal ","sumber")</f>
        <v>sumber</v>
      </c>
      <c r="G39" s="25" t="s">
        <v>1</v>
      </c>
      <c r="H39" s="26"/>
      <c r="I39" s="26"/>
      <c r="J39" s="26"/>
      <c r="K39" s="124"/>
      <c r="L39" s="26"/>
      <c r="M39" s="26"/>
      <c r="N39" s="26"/>
      <c r="O39" s="26"/>
      <c r="P39" s="26"/>
      <c r="Q39" s="26"/>
      <c r="R39" s="26"/>
      <c r="S39" s="124"/>
      <c r="T39" s="26"/>
      <c r="U39" s="26"/>
      <c r="V39" s="26"/>
      <c r="W39" s="26"/>
      <c r="X39" s="26"/>
      <c r="Y39" s="26"/>
    </row>
    <row r="40" spans="1:25" ht="14.4">
      <c r="A40" s="111">
        <v>2</v>
      </c>
      <c r="B40" s="308" t="s">
        <v>4881</v>
      </c>
      <c r="C40" s="25">
        <v>40</v>
      </c>
      <c r="D40" s="26"/>
      <c r="E40" s="25" t="s">
        <v>1963</v>
      </c>
      <c r="F40" s="115" t="str">
        <f>HYPERLINK("https://regional.kompas.com/read/2019/05/15/07323531/bocor-jantung-sejak-lahir-bayi-11-bulan-di-banda-aceh-butuh-bantuan ","sumber")</f>
        <v>sumber</v>
      </c>
      <c r="G40" s="25" t="s">
        <v>1</v>
      </c>
      <c r="H40" s="26"/>
      <c r="I40" s="26"/>
      <c r="J40" s="26"/>
      <c r="K40" s="124"/>
      <c r="L40" s="26"/>
      <c r="M40" s="26"/>
      <c r="N40" s="26"/>
      <c r="O40" s="26"/>
      <c r="P40" s="26"/>
      <c r="Q40" s="26"/>
      <c r="R40" s="26"/>
      <c r="S40" s="124"/>
      <c r="T40" s="26"/>
      <c r="U40" s="26"/>
      <c r="V40" s="26"/>
      <c r="W40" s="26"/>
      <c r="X40" s="26"/>
      <c r="Y40" s="26"/>
    </row>
    <row r="41" spans="1:25" ht="14.4">
      <c r="A41" s="117">
        <v>1</v>
      </c>
      <c r="B41" s="294" t="s">
        <v>4882</v>
      </c>
      <c r="C41" s="22">
        <v>41</v>
      </c>
      <c r="D41" s="22">
        <v>8</v>
      </c>
      <c r="E41" s="22" t="s">
        <v>362</v>
      </c>
      <c r="F41" s="121" t="str">
        <f>HYPERLINK("https://www.suara.com/news/2019/05/15/122925/potret-langka-sunni-syiah-dan-ahmadiyah-indonesia-buka-puasa-bersama ","sumber")</f>
        <v>sumber</v>
      </c>
      <c r="G41" s="22" t="s">
        <v>1</v>
      </c>
      <c r="H41" s="22">
        <v>608</v>
      </c>
      <c r="I41" s="22">
        <v>3</v>
      </c>
      <c r="J41" s="22">
        <v>4</v>
      </c>
      <c r="K41" s="123" t="s">
        <v>4883</v>
      </c>
      <c r="L41" s="22">
        <v>0</v>
      </c>
      <c r="M41" s="22">
        <v>0</v>
      </c>
      <c r="N41" s="125">
        <v>0</v>
      </c>
      <c r="O41" s="125">
        <v>0</v>
      </c>
      <c r="P41" s="22">
        <v>0</v>
      </c>
      <c r="Q41" s="22" t="s">
        <v>4884</v>
      </c>
      <c r="R41" s="22" t="s">
        <v>360</v>
      </c>
      <c r="S41" s="134"/>
      <c r="T41" s="22">
        <v>0</v>
      </c>
      <c r="U41" s="22">
        <v>0</v>
      </c>
      <c r="V41" s="22">
        <v>1</v>
      </c>
      <c r="W41" s="23"/>
      <c r="X41" s="23"/>
      <c r="Y41" s="23"/>
    </row>
    <row r="42" spans="1:25" ht="14.4">
      <c r="A42" s="117">
        <v>1</v>
      </c>
      <c r="B42" s="294" t="s">
        <v>4885</v>
      </c>
      <c r="C42" s="22">
        <v>42</v>
      </c>
      <c r="D42" s="22">
        <v>8</v>
      </c>
      <c r="E42" s="22" t="s">
        <v>358</v>
      </c>
      <c r="F42" s="121" t="str">
        <f>HYPERLINK("https://jabar.suara.com/read/2019/05/19/161820/bedah-buku-menemani-minoritas-perlu-perspektif-lain-membaca-ahmadiyah ","sumber")</f>
        <v>sumber</v>
      </c>
      <c r="G42" s="22" t="s">
        <v>1</v>
      </c>
      <c r="H42" s="22">
        <v>531</v>
      </c>
      <c r="I42" s="22">
        <v>3</v>
      </c>
      <c r="J42" s="22">
        <v>4</v>
      </c>
      <c r="K42" s="123" t="s">
        <v>4886</v>
      </c>
      <c r="L42" s="22">
        <v>0</v>
      </c>
      <c r="M42" s="22">
        <v>0</v>
      </c>
      <c r="N42" s="125">
        <v>0</v>
      </c>
      <c r="O42" s="125">
        <v>0</v>
      </c>
      <c r="P42" s="22">
        <v>0</v>
      </c>
      <c r="Q42" s="22" t="s">
        <v>29</v>
      </c>
      <c r="R42" s="22" t="s">
        <v>160</v>
      </c>
      <c r="S42" s="134"/>
      <c r="T42" s="22">
        <v>0</v>
      </c>
      <c r="U42" s="22">
        <v>0</v>
      </c>
      <c r="V42" s="22">
        <v>1</v>
      </c>
      <c r="W42" s="23"/>
      <c r="X42" s="23"/>
      <c r="Y42" s="23"/>
    </row>
    <row r="43" spans="1:25" ht="14.4">
      <c r="A43" s="111">
        <v>2</v>
      </c>
      <c r="B43" s="308" t="s">
        <v>367</v>
      </c>
      <c r="C43" s="25">
        <v>43</v>
      </c>
      <c r="D43" s="26"/>
      <c r="E43" s="25" t="s">
        <v>212</v>
      </c>
      <c r="F43" s="115" t="str">
        <f>HYPERLINK("https://dunia.tempo.co/read/1207361/ulama-syiah-terkemuka-minta-irak-tidak-diseret-dalam-perang ","sumber")</f>
        <v>sumber</v>
      </c>
      <c r="G43" s="25" t="s">
        <v>1</v>
      </c>
      <c r="H43" s="25"/>
      <c r="I43" s="26"/>
      <c r="J43" s="26"/>
      <c r="K43" s="124"/>
      <c r="L43" s="26"/>
      <c r="M43" s="26"/>
      <c r="N43" s="26"/>
      <c r="O43" s="26"/>
      <c r="P43" s="26"/>
      <c r="Q43" s="26"/>
      <c r="R43" s="26"/>
      <c r="S43" s="124"/>
      <c r="T43" s="26"/>
      <c r="U43" s="26"/>
      <c r="V43" s="26"/>
      <c r="W43" s="26"/>
      <c r="X43" s="26"/>
      <c r="Y43" s="26"/>
    </row>
    <row r="44" spans="1:25" ht="14.4">
      <c r="A44" s="111">
        <v>2</v>
      </c>
      <c r="B44" s="308" t="s">
        <v>1130</v>
      </c>
      <c r="C44" s="25">
        <v>44</v>
      </c>
      <c r="D44" s="26"/>
      <c r="E44" s="25" t="s">
        <v>205</v>
      </c>
      <c r="F44" s="115" t="str">
        <f>HYPERLINK("https://www.liputan6.com/global/read/3971441/ini-balasan-iran-atas-ancaman-genosida-oleh-donald-trump ","sumber")</f>
        <v>sumber</v>
      </c>
      <c r="G44" s="25" t="s">
        <v>1</v>
      </c>
      <c r="H44" s="26"/>
      <c r="I44" s="26"/>
      <c r="J44" s="26"/>
      <c r="K44" s="124"/>
      <c r="L44" s="26"/>
      <c r="M44" s="26"/>
      <c r="N44" s="26"/>
      <c r="O44" s="26"/>
      <c r="P44" s="26"/>
      <c r="Q44" s="26"/>
      <c r="R44" s="26"/>
      <c r="S44" s="124"/>
      <c r="T44" s="26"/>
      <c r="U44" s="26"/>
      <c r="V44" s="26"/>
      <c r="W44" s="26"/>
      <c r="X44" s="26"/>
      <c r="Y44" s="26"/>
    </row>
    <row r="45" spans="1:25" ht="14.4">
      <c r="A45" s="111">
        <v>2</v>
      </c>
      <c r="B45" s="308" t="s">
        <v>4887</v>
      </c>
      <c r="C45" s="25">
        <v>45</v>
      </c>
      <c r="D45" s="26"/>
      <c r="E45" s="25" t="s">
        <v>205</v>
      </c>
      <c r="F45" s="115" t="str">
        <f>HYPERLINK("https://internasional.republika.co.id/berita/internasional/timur-tengah/prutyo320/presiden-iran-sekarang-bukan-saatnya-bernegosiasi-dengan-as ","sumber")</f>
        <v>sumber</v>
      </c>
      <c r="G45" s="25" t="s">
        <v>1</v>
      </c>
      <c r="H45" s="26"/>
      <c r="I45" s="26"/>
      <c r="J45" s="26"/>
      <c r="K45" s="124"/>
      <c r="L45" s="26"/>
      <c r="M45" s="26"/>
      <c r="N45" s="26"/>
      <c r="O45" s="26"/>
      <c r="P45" s="26"/>
      <c r="Q45" s="26"/>
      <c r="R45" s="26"/>
      <c r="S45" s="124"/>
      <c r="T45" s="26"/>
      <c r="U45" s="26"/>
      <c r="V45" s="26"/>
      <c r="W45" s="26"/>
      <c r="X45" s="26"/>
      <c r="Y45" s="26"/>
    </row>
    <row r="46" spans="1:25" ht="14.4">
      <c r="A46" s="111">
        <v>2</v>
      </c>
      <c r="B46" s="308" t="s">
        <v>4888</v>
      </c>
      <c r="C46" s="25">
        <v>46</v>
      </c>
      <c r="D46" s="26"/>
      <c r="E46" s="25" t="s">
        <v>558</v>
      </c>
      <c r="F46" s="115" t="str">
        <f>HYPERLINK("https://dunia.tempo.co/read/1208448/pentagon-diminta-tambah-5000-tentara-di-timur-tengah-hadapi-iran ","sumber")</f>
        <v>sumber</v>
      </c>
      <c r="G46" s="25" t="s">
        <v>1</v>
      </c>
      <c r="H46" s="26"/>
      <c r="I46" s="26"/>
      <c r="J46" s="26"/>
      <c r="K46" s="124"/>
      <c r="L46" s="26"/>
      <c r="M46" s="26"/>
      <c r="N46" s="26"/>
      <c r="O46" s="26"/>
      <c r="P46" s="26"/>
      <c r="Q46" s="26"/>
      <c r="R46" s="26"/>
      <c r="S46" s="124"/>
      <c r="T46" s="26"/>
      <c r="U46" s="26"/>
      <c r="V46" s="26"/>
      <c r="W46" s="26"/>
      <c r="X46" s="26"/>
      <c r="Y46" s="26"/>
    </row>
    <row r="47" spans="1:25" ht="14.4">
      <c r="A47" s="111">
        <v>2</v>
      </c>
      <c r="B47" s="308" t="s">
        <v>4889</v>
      </c>
      <c r="C47" s="25">
        <v>47</v>
      </c>
      <c r="D47" s="26"/>
      <c r="E47" s="25" t="s">
        <v>2177</v>
      </c>
      <c r="F47" s="115" t="str">
        <f>HYPERLINK("https://tirto.id/kredo-jawaharlal-nehru-sistem-terbaik-india-adalah-sekularisme-dZt9 ","sumber")</f>
        <v>sumber</v>
      </c>
      <c r="G47" s="25" t="s">
        <v>1</v>
      </c>
      <c r="H47" s="26"/>
      <c r="I47" s="26"/>
      <c r="J47" s="26"/>
      <c r="K47" s="124"/>
      <c r="L47" s="26"/>
      <c r="M47" s="26"/>
      <c r="N47" s="26"/>
      <c r="O47" s="26"/>
      <c r="P47" s="26"/>
      <c r="Q47" s="26"/>
      <c r="R47" s="26"/>
      <c r="S47" s="124"/>
      <c r="T47" s="26"/>
      <c r="U47" s="26"/>
      <c r="V47" s="26"/>
      <c r="W47" s="26"/>
      <c r="X47" s="26"/>
      <c r="Y47" s="26"/>
    </row>
    <row r="48" spans="1:25" ht="14.4">
      <c r="A48" s="111">
        <v>2</v>
      </c>
      <c r="B48" s="308" t="s">
        <v>4890</v>
      </c>
      <c r="C48" s="25">
        <v>48</v>
      </c>
      <c r="D48" s="26"/>
      <c r="E48" s="234">
        <v>43622</v>
      </c>
      <c r="F48" s="115" t="str">
        <f>HYPERLINK("https://regional.kompas.com/read/2019/06/06/06000071/kerinduan-mendengar-suara-takbir-di-tengah-misi-menjaga-perdamaian-dunia- ","sumber")</f>
        <v>sumber</v>
      </c>
      <c r="G48" s="25" t="s">
        <v>1</v>
      </c>
      <c r="H48" s="26"/>
      <c r="I48" s="26"/>
      <c r="J48" s="26"/>
      <c r="K48" s="124"/>
      <c r="L48" s="26"/>
      <c r="M48" s="26"/>
      <c r="N48" s="26"/>
      <c r="O48" s="26"/>
      <c r="P48" s="26"/>
      <c r="Q48" s="26"/>
      <c r="R48" s="26"/>
      <c r="S48" s="124"/>
      <c r="T48" s="26"/>
      <c r="U48" s="26"/>
      <c r="V48" s="26"/>
      <c r="W48" s="26"/>
      <c r="X48" s="26"/>
      <c r="Y48" s="26"/>
    </row>
    <row r="49" spans="1:25" ht="14.4">
      <c r="A49" s="111">
        <v>2</v>
      </c>
      <c r="B49" s="308" t="s">
        <v>4891</v>
      </c>
      <c r="C49" s="25">
        <v>49</v>
      </c>
      <c r="D49" s="26"/>
      <c r="E49" s="234">
        <v>43744</v>
      </c>
      <c r="F49" s="115" t="str">
        <f>HYPERLINK("https://www.liputan6.com/global/read/3986636/protes-pemerintah-remaja-arab-saudi-terancam-hukuman-mati ","sumber")</f>
        <v>sumber</v>
      </c>
      <c r="G49" s="25" t="s">
        <v>1</v>
      </c>
      <c r="H49" s="26"/>
      <c r="I49" s="26"/>
      <c r="J49" s="26"/>
      <c r="K49" s="124"/>
      <c r="L49" s="26"/>
      <c r="M49" s="26"/>
      <c r="N49" s="26"/>
      <c r="O49" s="26"/>
      <c r="P49" s="26"/>
      <c r="Q49" s="26"/>
      <c r="R49" s="26"/>
      <c r="S49" s="124"/>
      <c r="T49" s="26"/>
      <c r="U49" s="26"/>
      <c r="V49" s="26"/>
      <c r="W49" s="26"/>
      <c r="X49" s="26"/>
      <c r="Y49" s="26"/>
    </row>
    <row r="50" spans="1:25" ht="14.4">
      <c r="A50" s="111">
        <v>2</v>
      </c>
      <c r="B50" s="308" t="s">
        <v>4892</v>
      </c>
      <c r="C50" s="25">
        <v>50</v>
      </c>
      <c r="D50" s="26"/>
      <c r="E50" s="25" t="s">
        <v>4385</v>
      </c>
      <c r="F50" s="115" t="str">
        <f>HYPERLINK("https://www.liputan6.com/global/read/3988899/siapa-houthi-yang-merudal-bandara-abha-dan-perangi-koalisi-saudi-di-yaman ","sumber")</f>
        <v>sumber</v>
      </c>
      <c r="G50" s="25" t="s">
        <v>1</v>
      </c>
      <c r="H50" s="26"/>
      <c r="I50" s="26"/>
      <c r="J50" s="26"/>
      <c r="K50" s="124"/>
      <c r="L50" s="26"/>
      <c r="M50" s="26"/>
      <c r="N50" s="26"/>
      <c r="O50" s="26"/>
      <c r="P50" s="26"/>
      <c r="Q50" s="26"/>
      <c r="R50" s="26"/>
      <c r="S50" s="124"/>
      <c r="T50" s="26"/>
      <c r="U50" s="26"/>
      <c r="V50" s="26"/>
      <c r="W50" s="26"/>
      <c r="X50" s="26"/>
      <c r="Y50" s="26"/>
    </row>
    <row r="51" spans="1:25" ht="14.4">
      <c r="A51" s="111">
        <v>2</v>
      </c>
      <c r="B51" s="308" t="s">
        <v>4893</v>
      </c>
      <c r="C51" s="25">
        <v>51</v>
      </c>
      <c r="D51" s="26"/>
      <c r="E51" s="25" t="s">
        <v>2370</v>
      </c>
      <c r="F51" s="115" t="str">
        <f>HYPERLINK("https://news.okezone.com/read/2019/06/14/65/2066627/fakta-menarik-pendaftaran-sbmptn-2019-youtuber-bisa-daftar-jalur-prestasi ","sumber")</f>
        <v>sumber</v>
      </c>
      <c r="G51" s="25" t="s">
        <v>1</v>
      </c>
      <c r="H51" s="26"/>
      <c r="I51" s="26"/>
      <c r="J51" s="26"/>
      <c r="K51" s="124"/>
      <c r="L51" s="26"/>
      <c r="M51" s="26"/>
      <c r="N51" s="26"/>
      <c r="O51" s="26"/>
      <c r="P51" s="26"/>
      <c r="Q51" s="26"/>
      <c r="R51" s="26"/>
      <c r="S51" s="124"/>
      <c r="T51" s="26"/>
      <c r="U51" s="26"/>
      <c r="V51" s="26"/>
      <c r="W51" s="26"/>
      <c r="X51" s="26"/>
      <c r="Y51" s="26"/>
    </row>
    <row r="52" spans="1:25" ht="14.4">
      <c r="A52" s="304">
        <v>1</v>
      </c>
      <c r="B52" s="305" t="s">
        <v>4894</v>
      </c>
      <c r="C52" s="57">
        <v>52</v>
      </c>
      <c r="D52" s="57">
        <v>5</v>
      </c>
      <c r="E52" s="57" t="s">
        <v>388</v>
      </c>
      <c r="F52" s="247" t="str">
        <f>HYPERLINK("https://tirto.id/sisingamangaraja-xii-dan-upayanya-membuka-sistem-politik-batak-ctTZ ","sumber")</f>
        <v>sumber</v>
      </c>
      <c r="G52" s="57" t="s">
        <v>1</v>
      </c>
      <c r="H52" s="57">
        <v>1</v>
      </c>
      <c r="I52" s="57">
        <v>2</v>
      </c>
      <c r="J52" s="57">
        <v>4</v>
      </c>
      <c r="K52" s="150"/>
      <c r="L52" s="57">
        <v>0</v>
      </c>
      <c r="M52" s="57">
        <v>0</v>
      </c>
      <c r="N52" s="307">
        <v>0</v>
      </c>
      <c r="O52" s="307">
        <v>0</v>
      </c>
      <c r="P52" s="57">
        <v>0</v>
      </c>
      <c r="Q52" s="57"/>
      <c r="R52" s="57"/>
      <c r="S52" s="309"/>
      <c r="T52" s="57">
        <v>0</v>
      </c>
      <c r="U52" s="57">
        <v>0</v>
      </c>
      <c r="V52" s="57">
        <v>1</v>
      </c>
      <c r="W52" s="41"/>
      <c r="X52" s="41"/>
      <c r="Y52" s="41"/>
    </row>
    <row r="53" spans="1:25" ht="14.4">
      <c r="A53" s="111">
        <v>2</v>
      </c>
      <c r="B53" s="308" t="s">
        <v>384</v>
      </c>
      <c r="C53" s="25">
        <v>53</v>
      </c>
      <c r="D53" s="26"/>
      <c r="E53" s="25" t="s">
        <v>382</v>
      </c>
      <c r="F53" s="115" t="str">
        <f>HYPERLINK("https://www.liputan6.com/global/read/3992634/arab-saudi-tembak-dua-drone-bermuatan-bom-houthi-menyasar-kawasan-abha ","sumber")</f>
        <v>sumber</v>
      </c>
      <c r="G53" s="25" t="s">
        <v>1</v>
      </c>
      <c r="H53" s="26"/>
      <c r="I53" s="26"/>
      <c r="J53" s="26"/>
      <c r="K53" s="124"/>
      <c r="L53" s="26"/>
      <c r="M53" s="26"/>
      <c r="N53" s="26"/>
      <c r="O53" s="26"/>
      <c r="P53" s="26"/>
      <c r="Q53" s="26"/>
      <c r="R53" s="26"/>
      <c r="S53" s="124"/>
      <c r="T53" s="26"/>
      <c r="U53" s="26"/>
      <c r="V53" s="26"/>
      <c r="W53" s="26"/>
      <c r="X53" s="26"/>
      <c r="Y53" s="26"/>
    </row>
    <row r="54" spans="1:25" ht="14.4">
      <c r="A54" s="111">
        <v>2</v>
      </c>
      <c r="B54" s="308" t="s">
        <v>4895</v>
      </c>
      <c r="C54" s="25">
        <v>54</v>
      </c>
      <c r="D54" s="26"/>
      <c r="E54" s="25" t="s">
        <v>575</v>
      </c>
      <c r="F54" s="115" t="str">
        <f>HYPERLINK("https://www.liputan6.com/global/read/3993711/melawat-ke-indonesia-ulama-china-bahas-situasi-uighur-di-xinjiang ","sumber")</f>
        <v>sumber</v>
      </c>
      <c r="G54" s="25" t="s">
        <v>1</v>
      </c>
      <c r="H54" s="26"/>
      <c r="I54" s="26"/>
      <c r="J54" s="26"/>
      <c r="K54" s="124"/>
      <c r="L54" s="26"/>
      <c r="M54" s="26"/>
      <c r="N54" s="26"/>
      <c r="O54" s="26"/>
      <c r="P54" s="26"/>
      <c r="Q54" s="26"/>
      <c r="R54" s="26"/>
      <c r="S54" s="124"/>
      <c r="T54" s="26"/>
      <c r="U54" s="26"/>
      <c r="V54" s="26"/>
      <c r="W54" s="26"/>
      <c r="X54" s="26"/>
      <c r="Y54" s="26"/>
    </row>
    <row r="55" spans="1:25" ht="14.4">
      <c r="A55" s="111">
        <v>2</v>
      </c>
      <c r="B55" s="308" t="s">
        <v>4896</v>
      </c>
      <c r="C55" s="25">
        <v>55</v>
      </c>
      <c r="D55" s="26"/>
      <c r="E55" s="25" t="s">
        <v>575</v>
      </c>
      <c r="F55" s="115" t="str">
        <f>HYPERLINK("http://www.tribunnews.com/pertamina/2019/06/19/pertamina-kenalkan-inovasi-pertaflosim-ke-perguruan-tinggi-di-indonesia ","sumber")</f>
        <v>sumber</v>
      </c>
      <c r="G55" s="25" t="s">
        <v>1</v>
      </c>
      <c r="H55" s="26"/>
      <c r="I55" s="26"/>
      <c r="J55" s="26"/>
      <c r="K55" s="124"/>
      <c r="L55" s="26"/>
      <c r="M55" s="26"/>
      <c r="N55" s="26"/>
      <c r="O55" s="26"/>
      <c r="P55" s="26"/>
      <c r="Q55" s="26"/>
      <c r="R55" s="26"/>
      <c r="S55" s="124"/>
      <c r="T55" s="26"/>
      <c r="U55" s="26"/>
      <c r="V55" s="26"/>
      <c r="W55" s="26"/>
      <c r="X55" s="26"/>
      <c r="Y55" s="26"/>
    </row>
    <row r="56" spans="1:25" ht="14.4">
      <c r="A56" s="111">
        <v>2</v>
      </c>
      <c r="B56" s="308" t="s">
        <v>4897</v>
      </c>
      <c r="C56" s="25">
        <v>56</v>
      </c>
      <c r="D56" s="26"/>
      <c r="E56" s="25" t="s">
        <v>589</v>
      </c>
      <c r="F56" s="115" t="str">
        <f>HYPERLINK("https://internasional.republika.co.id/berita/internasional/timur-tengah/ptw6v7415/iran-jadi-sorotan-trump-dan-pangeran-salman ","sumber")</f>
        <v>sumber</v>
      </c>
      <c r="G56" s="25" t="s">
        <v>1</v>
      </c>
      <c r="H56" s="26"/>
      <c r="I56" s="26"/>
      <c r="J56" s="26"/>
      <c r="K56" s="124"/>
      <c r="L56" s="26"/>
      <c r="M56" s="26"/>
      <c r="N56" s="26"/>
      <c r="O56" s="26"/>
      <c r="P56" s="26"/>
      <c r="Q56" s="26"/>
      <c r="R56" s="26"/>
      <c r="S56" s="124"/>
      <c r="T56" s="26"/>
      <c r="U56" s="26"/>
      <c r="V56" s="26"/>
      <c r="W56" s="26"/>
      <c r="X56" s="26"/>
      <c r="Y56" s="26"/>
    </row>
    <row r="57" spans="1:25" ht="14.4">
      <c r="A57" s="126">
        <v>1</v>
      </c>
      <c r="B57" s="285" t="s">
        <v>4898</v>
      </c>
      <c r="C57" s="33">
        <v>57</v>
      </c>
      <c r="D57" s="33">
        <v>1</v>
      </c>
      <c r="E57" s="288">
        <v>43684</v>
      </c>
      <c r="F57" s="130" t="str">
        <f>HYPERLINK("https://news.detik.com/internasional/d-4643375/bahrain-eksekusi-mati-2-warga-syiah-iran-mengecam-keras ","sumber")</f>
        <v>sumber</v>
      </c>
      <c r="G57" s="33" t="s">
        <v>1</v>
      </c>
      <c r="H57" s="33">
        <v>1</v>
      </c>
      <c r="I57" s="33">
        <v>4</v>
      </c>
      <c r="J57" s="33">
        <v>4</v>
      </c>
      <c r="K57" s="131" t="s">
        <v>4899</v>
      </c>
      <c r="L57" s="33">
        <v>0</v>
      </c>
      <c r="M57" s="33">
        <v>0</v>
      </c>
      <c r="N57" s="132">
        <v>0</v>
      </c>
      <c r="O57" s="132">
        <v>0</v>
      </c>
      <c r="P57" s="33">
        <v>0</v>
      </c>
      <c r="Q57" s="33">
        <v>0</v>
      </c>
      <c r="R57" s="33">
        <v>1</v>
      </c>
      <c r="S57" s="133"/>
      <c r="T57" s="33">
        <v>0</v>
      </c>
      <c r="U57" s="33">
        <v>0</v>
      </c>
      <c r="V57" s="33">
        <v>0</v>
      </c>
      <c r="W57" s="24"/>
      <c r="X57" s="24"/>
      <c r="Y57" s="24"/>
    </row>
    <row r="58" spans="1:25" ht="14.4">
      <c r="A58" s="111">
        <v>2</v>
      </c>
      <c r="B58" s="308" t="s">
        <v>4900</v>
      </c>
      <c r="C58" s="25">
        <v>58</v>
      </c>
      <c r="D58" s="26"/>
      <c r="E58" s="234">
        <v>43715</v>
      </c>
      <c r="F58" s="115" t="str">
        <f>HYPERLINK("https://www.liputan6.com/global/read/4008080/hadiri-konferensi-muslim-di-kanada-justin-trudeau-tekankan-pentingnya-perdamaian ","sumber")</f>
        <v>sumber</v>
      </c>
      <c r="G58" s="25" t="s">
        <v>1</v>
      </c>
      <c r="H58" s="26"/>
      <c r="I58" s="26"/>
      <c r="J58" s="26"/>
      <c r="K58" s="124"/>
      <c r="L58" s="26"/>
      <c r="M58" s="26"/>
      <c r="N58" s="26"/>
      <c r="O58" s="26"/>
      <c r="P58" s="26"/>
      <c r="Q58" s="26"/>
      <c r="R58" s="26"/>
      <c r="S58" s="124"/>
      <c r="T58" s="26"/>
      <c r="U58" s="26"/>
      <c r="V58" s="26"/>
      <c r="W58" s="26"/>
      <c r="X58" s="26"/>
      <c r="Y58" s="26"/>
    </row>
    <row r="59" spans="1:25" ht="14.4">
      <c r="A59" s="111">
        <v>2</v>
      </c>
      <c r="B59" s="308" t="s">
        <v>4901</v>
      </c>
      <c r="C59" s="25">
        <v>59</v>
      </c>
      <c r="D59" s="26"/>
      <c r="E59" s="25" t="s">
        <v>828</v>
      </c>
      <c r="F59" s="115" t="str">
        <f>HYPERLINK("https://dunia.tempo.co/read/1224406/diplomat-uni-eropa-dukung-irak-damaikan-amerika-dan-iran ","sumber")</f>
        <v>sumber</v>
      </c>
      <c r="G59" s="25" t="s">
        <v>1</v>
      </c>
      <c r="H59" s="26"/>
      <c r="I59" s="26"/>
      <c r="J59" s="26"/>
      <c r="K59" s="124"/>
      <c r="L59" s="26"/>
      <c r="M59" s="26"/>
      <c r="N59" s="26"/>
      <c r="O59" s="26"/>
      <c r="P59" s="26"/>
      <c r="Q59" s="26"/>
      <c r="R59" s="26"/>
      <c r="S59" s="124"/>
      <c r="T59" s="26"/>
      <c r="U59" s="26"/>
      <c r="V59" s="26"/>
      <c r="W59" s="26"/>
      <c r="X59" s="26"/>
      <c r="Y59" s="26"/>
    </row>
    <row r="60" spans="1:25" ht="14.4">
      <c r="A60" s="111">
        <v>2</v>
      </c>
      <c r="B60" s="308" t="s">
        <v>1155</v>
      </c>
      <c r="C60" s="25">
        <v>60</v>
      </c>
      <c r="D60" s="26"/>
      <c r="E60" s="25" t="s">
        <v>610</v>
      </c>
      <c r="F60" s="115" t="str">
        <f>HYPERLINK("https://regional.kompas.com/read/2019/07/22/16595261/21-tahun-terpisah-dari-keluarga-tki-asal-cirebon-tiba-di-kampung-halaman","sumber")</f>
        <v>sumber</v>
      </c>
      <c r="G60" s="25" t="s">
        <v>1</v>
      </c>
      <c r="H60" s="26"/>
      <c r="I60" s="26"/>
      <c r="J60" s="26"/>
      <c r="K60" s="124"/>
      <c r="L60" s="26"/>
      <c r="M60" s="26"/>
      <c r="N60" s="26"/>
      <c r="O60" s="26"/>
      <c r="P60" s="26"/>
      <c r="Q60" s="26"/>
      <c r="R60" s="26"/>
      <c r="S60" s="124"/>
      <c r="T60" s="26"/>
      <c r="U60" s="26"/>
      <c r="V60" s="26"/>
      <c r="W60" s="26"/>
      <c r="X60" s="26"/>
      <c r="Y60" s="26"/>
    </row>
    <row r="61" spans="1:25" ht="14.4">
      <c r="A61" s="310">
        <v>1</v>
      </c>
      <c r="B61" s="294" t="s">
        <v>4902</v>
      </c>
      <c r="C61" s="22">
        <v>61</v>
      </c>
      <c r="D61" s="22">
        <v>6</v>
      </c>
      <c r="E61" s="22" t="s">
        <v>263</v>
      </c>
      <c r="F61" s="121" t="str">
        <f>HYPERLINK("https://internasional.kompas.com/read/2019/07/24/21323661/3-pelaku-pembakaran-masjid-di-melbourne-dijatuhi-hukuman-penjara-lebih ","sumber")</f>
        <v>sumber</v>
      </c>
      <c r="G61" s="22" t="s">
        <v>1</v>
      </c>
      <c r="H61" s="22">
        <v>2</v>
      </c>
      <c r="I61" s="22">
        <v>4</v>
      </c>
      <c r="J61" s="22">
        <v>4</v>
      </c>
      <c r="K61" s="123" t="s">
        <v>4903</v>
      </c>
      <c r="L61" s="22">
        <v>0</v>
      </c>
      <c r="M61" s="22">
        <v>0</v>
      </c>
      <c r="N61" s="125">
        <v>0</v>
      </c>
      <c r="O61" s="125">
        <v>0</v>
      </c>
      <c r="P61" s="22">
        <v>0</v>
      </c>
      <c r="Q61" s="22">
        <v>0</v>
      </c>
      <c r="R61" s="22">
        <v>1</v>
      </c>
      <c r="S61" s="134"/>
      <c r="T61" s="22">
        <v>0</v>
      </c>
      <c r="U61" s="22">
        <v>0</v>
      </c>
      <c r="V61" s="22">
        <v>1</v>
      </c>
      <c r="W61" s="23"/>
      <c r="X61" s="23"/>
      <c r="Y61" s="23"/>
    </row>
    <row r="62" spans="1:25" ht="14.4">
      <c r="A62" s="111">
        <v>2</v>
      </c>
      <c r="B62" s="308" t="s">
        <v>4904</v>
      </c>
      <c r="C62" s="25">
        <v>62</v>
      </c>
      <c r="D62" s="26"/>
      <c r="E62" s="25" t="s">
        <v>839</v>
      </c>
      <c r="F62" s="115" t="str">
        <f>HYPERLINK("https://www.liputan6.com/global/read/4021450/purnatugas-dubes-iran-untuk-indonesia-kenang-bangsa-persia-di-sumatra ","sumber")</f>
        <v>sumber</v>
      </c>
      <c r="G62" s="25" t="s">
        <v>1</v>
      </c>
      <c r="H62" s="26"/>
      <c r="I62" s="26"/>
      <c r="J62" s="26"/>
      <c r="K62" s="124"/>
      <c r="L62" s="26"/>
      <c r="M62" s="26"/>
      <c r="N62" s="26"/>
      <c r="O62" s="26"/>
      <c r="P62" s="26"/>
      <c r="Q62" s="26"/>
      <c r="R62" s="26"/>
      <c r="S62" s="124"/>
      <c r="T62" s="26"/>
      <c r="U62" s="26"/>
      <c r="V62" s="26"/>
      <c r="W62" s="26"/>
      <c r="X62" s="26"/>
      <c r="Y62" s="26"/>
    </row>
    <row r="63" spans="1:25" ht="14.4">
      <c r="A63" s="117">
        <v>1</v>
      </c>
      <c r="B63" s="294" t="s">
        <v>4905</v>
      </c>
      <c r="C63" s="22">
        <v>63</v>
      </c>
      <c r="D63" s="22">
        <v>8</v>
      </c>
      <c r="E63" s="22" t="s">
        <v>839</v>
      </c>
      <c r="F63" s="121" t="str">
        <f>HYPERLINK("https://www.suara.com/news/2019/07/25/111907/polri-pastikan-penghayat-kepercayaan-boleh-jadi-polisi ","sumber")</f>
        <v>sumber</v>
      </c>
      <c r="G63" s="22" t="s">
        <v>1</v>
      </c>
      <c r="H63" s="22">
        <v>289</v>
      </c>
      <c r="I63" s="22">
        <v>4</v>
      </c>
      <c r="J63" s="22">
        <v>4</v>
      </c>
      <c r="K63" s="123" t="s">
        <v>4906</v>
      </c>
      <c r="L63" s="22">
        <v>0</v>
      </c>
      <c r="M63" s="22">
        <v>0</v>
      </c>
      <c r="N63" s="125">
        <v>0</v>
      </c>
      <c r="O63" s="125">
        <v>0</v>
      </c>
      <c r="P63" s="22">
        <v>0</v>
      </c>
      <c r="Q63" s="22" t="s">
        <v>87</v>
      </c>
      <c r="R63" s="22" t="s">
        <v>68</v>
      </c>
      <c r="S63" s="134"/>
      <c r="T63" s="22">
        <v>0</v>
      </c>
      <c r="U63" s="22">
        <v>0</v>
      </c>
      <c r="V63" s="22">
        <v>1</v>
      </c>
      <c r="W63" s="23"/>
      <c r="X63" s="23"/>
      <c r="Y63" s="23"/>
    </row>
    <row r="64" spans="1:25" ht="14.4">
      <c r="A64" s="111">
        <v>2</v>
      </c>
      <c r="B64" s="308" t="s">
        <v>4907</v>
      </c>
      <c r="C64" s="25">
        <v>64</v>
      </c>
      <c r="D64" s="26"/>
      <c r="E64" s="25" t="s">
        <v>2587</v>
      </c>
      <c r="F64" s="115" t="str">
        <f>HYPERLINK("https://www.cnnindonesia.com/nasional/20190729222044-12-416593/polri-gandeng-polisi-negara-lain-untuk-tangkap-teroris ","sumber")</f>
        <v>sumber</v>
      </c>
      <c r="G64" s="25" t="s">
        <v>1</v>
      </c>
      <c r="H64" s="26"/>
      <c r="I64" s="26"/>
      <c r="J64" s="26"/>
      <c r="K64" s="124"/>
      <c r="L64" s="26"/>
      <c r="M64" s="26"/>
      <c r="N64" s="26"/>
      <c r="O64" s="26"/>
      <c r="P64" s="26"/>
      <c r="Q64" s="26"/>
      <c r="R64" s="26"/>
      <c r="S64" s="124"/>
      <c r="T64" s="26"/>
      <c r="U64" s="26"/>
      <c r="V64" s="26"/>
      <c r="W64" s="26"/>
      <c r="X64" s="26"/>
      <c r="Y64" s="26"/>
    </row>
    <row r="65" spans="1:25" ht="14.4">
      <c r="A65" s="111">
        <v>2</v>
      </c>
      <c r="B65" s="308" t="s">
        <v>4908</v>
      </c>
      <c r="C65" s="25">
        <v>65</v>
      </c>
      <c r="D65" s="26"/>
      <c r="E65" s="234">
        <v>43504</v>
      </c>
      <c r="F65" s="115" t="str">
        <f>HYPERLINK("https://republika.co.id/berita/pvlmfx291/uns-peringkat-7-nasional-versi-webometrics ","sumber")</f>
        <v>sumber</v>
      </c>
      <c r="G65" s="25" t="s">
        <v>1</v>
      </c>
      <c r="H65" s="26"/>
      <c r="I65" s="26"/>
      <c r="J65" s="26"/>
      <c r="K65" s="124"/>
      <c r="L65" s="26"/>
      <c r="M65" s="26"/>
      <c r="N65" s="26"/>
      <c r="O65" s="26"/>
      <c r="P65" s="26"/>
      <c r="Q65" s="26"/>
      <c r="R65" s="26"/>
      <c r="S65" s="124"/>
      <c r="T65" s="26"/>
      <c r="U65" s="26"/>
      <c r="V65" s="26"/>
      <c r="W65" s="26"/>
      <c r="X65" s="26"/>
      <c r="Y65" s="26"/>
    </row>
    <row r="66" spans="1:25" ht="14.4">
      <c r="A66" s="111">
        <v>2</v>
      </c>
      <c r="B66" s="308" t="s">
        <v>4909</v>
      </c>
      <c r="C66" s="25">
        <v>66</v>
      </c>
      <c r="D66" s="26"/>
      <c r="E66" s="234">
        <v>43685</v>
      </c>
      <c r="F66" s="115" t="str">
        <f>HYPERLINK("https://edukasi.kompas.com/read/2019/08/08/10554661/ini-dia-para-pemenang-mtq-mahasiswa-nasional-2019 ","sumber")</f>
        <v>sumber</v>
      </c>
      <c r="G66" s="25" t="s">
        <v>1</v>
      </c>
      <c r="H66" s="26"/>
      <c r="I66" s="26"/>
      <c r="J66" s="26"/>
      <c r="K66" s="124"/>
      <c r="L66" s="26"/>
      <c r="M66" s="26"/>
      <c r="N66" s="26"/>
      <c r="O66" s="26"/>
      <c r="P66" s="26"/>
      <c r="Q66" s="26"/>
      <c r="R66" s="26"/>
      <c r="S66" s="124"/>
      <c r="T66" s="26"/>
      <c r="U66" s="26"/>
      <c r="V66" s="26"/>
      <c r="W66" s="26"/>
      <c r="X66" s="26"/>
      <c r="Y66" s="26"/>
    </row>
    <row r="67" spans="1:25" ht="14.4">
      <c r="A67" s="310">
        <v>2</v>
      </c>
      <c r="B67" s="294" t="s">
        <v>4910</v>
      </c>
      <c r="C67" s="22">
        <v>67</v>
      </c>
      <c r="D67" s="22">
        <v>8</v>
      </c>
      <c r="E67" s="222">
        <v>43807</v>
      </c>
      <c r="F67" s="121" t="str">
        <f>HYPERLINK("https://www.suara.com/news/2019/08/12/211512/abi-yahya-ngaku-bertemu-allah-swt-dan-4-berita-pilihan-hari-ini ","sumber")</f>
        <v>sumber</v>
      </c>
      <c r="G67" s="22" t="s">
        <v>1</v>
      </c>
      <c r="H67" s="22">
        <v>2</v>
      </c>
      <c r="I67" s="22">
        <v>2</v>
      </c>
      <c r="J67" s="22">
        <v>4</v>
      </c>
      <c r="K67" s="123" t="s">
        <v>4911</v>
      </c>
      <c r="L67" s="22">
        <v>0</v>
      </c>
      <c r="M67" s="22">
        <v>0</v>
      </c>
      <c r="N67" s="125">
        <v>0</v>
      </c>
      <c r="O67" s="125">
        <v>0</v>
      </c>
      <c r="P67" s="22">
        <v>0</v>
      </c>
      <c r="Q67" s="22">
        <v>0</v>
      </c>
      <c r="R67" s="22">
        <v>1</v>
      </c>
      <c r="S67" s="134"/>
      <c r="T67" s="22">
        <v>0</v>
      </c>
      <c r="U67" s="22">
        <v>0</v>
      </c>
      <c r="V67" s="22">
        <v>0</v>
      </c>
      <c r="W67" s="23"/>
      <c r="X67" s="23"/>
      <c r="Y67" s="23"/>
    </row>
    <row r="68" spans="1:25" ht="14.4">
      <c r="A68" s="111">
        <v>2</v>
      </c>
      <c r="B68" s="308" t="s">
        <v>4912</v>
      </c>
      <c r="C68" s="25">
        <v>68</v>
      </c>
      <c r="D68" s="26"/>
      <c r="E68" s="25" t="s">
        <v>2055</v>
      </c>
      <c r="F68" s="115" t="str">
        <f>HYPERLINK("https://www.cnnindonesia.com/internasional/20190813083301-120-420764/gudang-peluru-di-irak-meledak-13-orang-luka-luka ","sumber")</f>
        <v>sumber</v>
      </c>
      <c r="G68" s="25" t="s">
        <v>1</v>
      </c>
      <c r="H68" s="26"/>
      <c r="I68" s="26"/>
      <c r="J68" s="26"/>
      <c r="K68" s="124"/>
      <c r="L68" s="26"/>
      <c r="M68" s="26"/>
      <c r="N68" s="26"/>
      <c r="O68" s="26"/>
      <c r="P68" s="26"/>
      <c r="Q68" s="26"/>
      <c r="R68" s="26"/>
      <c r="S68" s="124"/>
      <c r="T68" s="26"/>
      <c r="U68" s="26"/>
      <c r="V68" s="26"/>
      <c r="W68" s="26"/>
      <c r="X68" s="26"/>
      <c r="Y68" s="26"/>
    </row>
    <row r="69" spans="1:25" ht="14.4">
      <c r="A69" s="117">
        <v>1</v>
      </c>
      <c r="B69" s="294" t="s">
        <v>4913</v>
      </c>
      <c r="C69" s="22">
        <v>69</v>
      </c>
      <c r="D69" s="22">
        <v>8</v>
      </c>
      <c r="E69" s="22" t="s">
        <v>2055</v>
      </c>
      <c r="F69" s="121" t="str">
        <f>HYPERLINK("https://www.suara.com/news/2019/08/13/130814/ngaku-bertemu-allah-swt-yahya-bikin-pengajian-di-makam-syiah-kuala ","sumber")</f>
        <v>sumber</v>
      </c>
      <c r="G69" s="22" t="s">
        <v>1</v>
      </c>
      <c r="H69" s="22">
        <v>259</v>
      </c>
      <c r="I69" s="22">
        <v>1</v>
      </c>
      <c r="J69" s="22" t="s">
        <v>4914</v>
      </c>
      <c r="K69" s="123" t="s">
        <v>4915</v>
      </c>
      <c r="L69" s="22">
        <v>0</v>
      </c>
      <c r="M69" s="147">
        <v>0</v>
      </c>
      <c r="N69" s="125">
        <v>0</v>
      </c>
      <c r="O69" s="125">
        <v>0</v>
      </c>
      <c r="P69" s="22">
        <v>0</v>
      </c>
      <c r="Q69" s="22" t="s">
        <v>29</v>
      </c>
      <c r="R69" s="22" t="s">
        <v>182</v>
      </c>
      <c r="S69" s="123" t="s">
        <v>4916</v>
      </c>
      <c r="T69" s="22">
        <v>1</v>
      </c>
      <c r="U69" s="22">
        <v>0</v>
      </c>
      <c r="V69" s="22">
        <v>1</v>
      </c>
      <c r="W69" s="23"/>
      <c r="X69" s="23"/>
      <c r="Y69" s="23"/>
    </row>
    <row r="70" spans="1:25" ht="14.4">
      <c r="A70" s="111">
        <v>2</v>
      </c>
      <c r="B70" s="308" t="s">
        <v>4917</v>
      </c>
      <c r="C70" s="25">
        <v>70</v>
      </c>
      <c r="D70" s="26"/>
      <c r="E70" s="25" t="s">
        <v>2437</v>
      </c>
      <c r="F70" s="115" t="str">
        <f>HYPERLINK("https://dunia.tempo.co/read/1237746/isis-klaim-dalang-serangan-resepsi-pernikahan-di-afganistan ","sumber")</f>
        <v>sumber</v>
      </c>
      <c r="G70" s="25" t="s">
        <v>1</v>
      </c>
      <c r="H70" s="26"/>
      <c r="I70" s="26"/>
      <c r="J70" s="26"/>
      <c r="K70" s="124"/>
      <c r="L70" s="26"/>
      <c r="M70" s="26"/>
      <c r="N70" s="26"/>
      <c r="O70" s="26"/>
      <c r="P70" s="26"/>
      <c r="Q70" s="26"/>
      <c r="R70" s="26"/>
      <c r="S70" s="124"/>
      <c r="T70" s="26"/>
      <c r="U70" s="26"/>
      <c r="V70" s="26"/>
      <c r="W70" s="26"/>
      <c r="X70" s="26"/>
      <c r="Y70" s="26"/>
    </row>
    <row r="71" spans="1:25" ht="14.4">
      <c r="A71" s="111">
        <v>2</v>
      </c>
      <c r="B71" s="308" t="s">
        <v>4918</v>
      </c>
      <c r="C71" s="25">
        <v>71</v>
      </c>
      <c r="D71" s="26"/>
      <c r="E71" s="25" t="s">
        <v>283</v>
      </c>
      <c r="F71" s="115" t="str">
        <f>HYPERLINK("https://www.liputan6.com/global/read/4048210/israel-mengebom-faksi-palestina-di-perbatasan-lebanon-suriah ","sumber")</f>
        <v>sumber</v>
      </c>
      <c r="G71" s="25" t="s">
        <v>1</v>
      </c>
      <c r="H71" s="26"/>
      <c r="I71" s="26"/>
      <c r="J71" s="26"/>
      <c r="K71" s="124"/>
      <c r="L71" s="26"/>
      <c r="M71" s="26"/>
      <c r="N71" s="26"/>
      <c r="O71" s="26"/>
      <c r="P71" s="26"/>
      <c r="Q71" s="26"/>
      <c r="R71" s="26"/>
      <c r="S71" s="124"/>
      <c r="T71" s="26"/>
      <c r="U71" s="26"/>
      <c r="V71" s="26"/>
      <c r="W71" s="26"/>
      <c r="X71" s="26"/>
      <c r="Y71" s="26"/>
    </row>
    <row r="72" spans="1:25" ht="14.4">
      <c r="A72" s="310">
        <v>4</v>
      </c>
      <c r="B72" s="294" t="s">
        <v>4919</v>
      </c>
      <c r="C72" s="22">
        <v>72</v>
      </c>
      <c r="D72" s="22">
        <v>1</v>
      </c>
      <c r="E72" s="22" t="s">
        <v>2630</v>
      </c>
      <c r="F72" s="121" t="str">
        <f>HYPERLINK("https://news.detik.com/berita/d-4687400/kemendagri-ingin-tata-kelola-ormas-diperbaiki-cegah-radikalisme ","sumber")</f>
        <v>sumber</v>
      </c>
      <c r="G72" s="22" t="s">
        <v>1</v>
      </c>
      <c r="H72" s="22"/>
      <c r="I72" s="22">
        <v>1</v>
      </c>
      <c r="J72" s="22"/>
      <c r="K72" s="123" t="s">
        <v>4920</v>
      </c>
      <c r="L72" s="22">
        <v>0</v>
      </c>
      <c r="M72" s="22">
        <v>-1</v>
      </c>
      <c r="N72" s="22">
        <v>0</v>
      </c>
      <c r="O72" s="22">
        <v>0</v>
      </c>
      <c r="P72" s="22">
        <v>0</v>
      </c>
      <c r="Q72" s="22">
        <v>0</v>
      </c>
      <c r="R72" s="22">
        <v>-1</v>
      </c>
      <c r="S72" s="134"/>
      <c r="T72" s="22">
        <v>0</v>
      </c>
      <c r="U72" s="22">
        <v>0</v>
      </c>
      <c r="V72" s="22">
        <v>0</v>
      </c>
      <c r="W72" s="23"/>
      <c r="X72" s="23"/>
      <c r="Y72" s="23"/>
    </row>
    <row r="73" spans="1:25" ht="14.4">
      <c r="A73" s="111">
        <v>2</v>
      </c>
      <c r="B73" s="308" t="s">
        <v>4921</v>
      </c>
      <c r="C73" s="25">
        <v>73</v>
      </c>
      <c r="D73" s="26"/>
      <c r="E73" s="234">
        <v>43505</v>
      </c>
      <c r="F73" s="115" t="str">
        <f>HYPERLINK("https://www.suara.com/news/2019/09/02/102017/jk-akan-berikan-orasi-ilmiah-di-milad-ke-58-unsyiah ","sumber")</f>
        <v>sumber</v>
      </c>
      <c r="G73" s="25" t="s">
        <v>1</v>
      </c>
      <c r="H73" s="26"/>
      <c r="I73" s="26"/>
      <c r="J73" s="26"/>
      <c r="K73" s="124"/>
      <c r="L73" s="26"/>
      <c r="M73" s="26"/>
      <c r="N73" s="26"/>
      <c r="O73" s="26"/>
      <c r="P73" s="26"/>
      <c r="Q73" s="26"/>
      <c r="R73" s="26"/>
      <c r="S73" s="124"/>
      <c r="T73" s="26"/>
      <c r="U73" s="26"/>
      <c r="V73" s="26"/>
      <c r="W73" s="26"/>
      <c r="X73" s="26"/>
      <c r="Y73" s="26"/>
    </row>
    <row r="74" spans="1:25" ht="14.4">
      <c r="A74" s="111">
        <v>2</v>
      </c>
      <c r="B74" s="308" t="s">
        <v>4922</v>
      </c>
      <c r="C74" s="25">
        <v>74</v>
      </c>
      <c r="D74" s="26"/>
      <c r="E74" s="234">
        <v>43533</v>
      </c>
      <c r="F74" s="115" t="str">
        <f>HYPERLINK("https://www.cnnindonesia.com/nasional/20190903160823-20-427169/panja-uu-perkawinan-sepakati-usia-minimal-nikah-18-tahun ","sumber")</f>
        <v>sumber</v>
      </c>
      <c r="G74" s="25" t="s">
        <v>1</v>
      </c>
      <c r="H74" s="26"/>
      <c r="I74" s="26"/>
      <c r="J74" s="26"/>
      <c r="K74" s="124"/>
      <c r="L74" s="26"/>
      <c r="M74" s="26"/>
      <c r="N74" s="26"/>
      <c r="O74" s="26"/>
      <c r="P74" s="26"/>
      <c r="Q74" s="26"/>
      <c r="R74" s="26"/>
      <c r="S74" s="124"/>
      <c r="T74" s="26"/>
      <c r="U74" s="26"/>
      <c r="V74" s="26"/>
      <c r="W74" s="26"/>
      <c r="X74" s="26"/>
      <c r="Y74" s="26"/>
    </row>
    <row r="75" spans="1:25" ht="14.4">
      <c r="A75" s="111">
        <v>2</v>
      </c>
      <c r="B75" s="308" t="s">
        <v>4923</v>
      </c>
      <c r="C75" s="25">
        <v>75</v>
      </c>
      <c r="D75" s="26"/>
      <c r="E75" s="234">
        <v>43497</v>
      </c>
      <c r="F75" s="115" t="str">
        <f>HYPERLINK("https://www.cnnindonesia.com/nasional/20190101165845-32-357793/prabowo-2019-tahun-penentuan-dan-kebangkitan-kembali ","sumber")</f>
        <v>sumber</v>
      </c>
      <c r="G75" s="25" t="s">
        <v>1</v>
      </c>
      <c r="H75" s="26"/>
      <c r="I75" s="26"/>
      <c r="J75" s="26"/>
      <c r="K75" s="124"/>
      <c r="L75" s="26"/>
      <c r="M75" s="26"/>
      <c r="N75" s="26"/>
      <c r="O75" s="26"/>
      <c r="P75" s="26"/>
      <c r="Q75" s="26"/>
      <c r="R75" s="26"/>
      <c r="S75" s="124"/>
      <c r="T75" s="26"/>
      <c r="U75" s="26"/>
      <c r="V75" s="26"/>
      <c r="W75" s="26"/>
      <c r="X75" s="26"/>
      <c r="Y75" s="26"/>
    </row>
    <row r="76" spans="1:25" ht="14.4">
      <c r="A76" s="111">
        <v>2</v>
      </c>
      <c r="B76" s="308" t="s">
        <v>4924</v>
      </c>
      <c r="C76" s="25">
        <v>76</v>
      </c>
      <c r="D76" s="26"/>
      <c r="E76" s="234">
        <v>43525</v>
      </c>
      <c r="F76" s="115" t="str">
        <f>HYPERLINK("https://www.cnnindonesia.com/hiburan/20190103134402-220-358202/rima-melati-adams-dibutakan-hantu-kebaya-merah ","sumber")</f>
        <v>sumber</v>
      </c>
      <c r="G76" s="25" t="s">
        <v>1</v>
      </c>
      <c r="H76" s="26"/>
      <c r="I76" s="26"/>
      <c r="J76" s="26"/>
      <c r="K76" s="124"/>
      <c r="L76" s="26"/>
      <c r="M76" s="26"/>
      <c r="N76" s="26"/>
      <c r="O76" s="26"/>
      <c r="P76" s="26"/>
      <c r="Q76" s="26"/>
      <c r="R76" s="26"/>
      <c r="S76" s="124"/>
      <c r="T76" s="26"/>
      <c r="U76" s="26"/>
      <c r="V76" s="26"/>
      <c r="W76" s="26"/>
      <c r="X76" s="26"/>
      <c r="Y76" s="26"/>
    </row>
    <row r="77" spans="1:25" ht="14.4">
      <c r="A77" s="111">
        <v>2</v>
      </c>
      <c r="B77" s="308" t="s">
        <v>4925</v>
      </c>
      <c r="C77" s="25">
        <v>77</v>
      </c>
      <c r="D77" s="26"/>
      <c r="E77" s="234">
        <v>43556</v>
      </c>
      <c r="F77" s="115" t="str">
        <f>HYPERLINK("https://tekno.tempo.co/read/1161485/rilis-di-indonesia-harga-oppo-r17-pro-rp-9999-juta ","sumber")</f>
        <v>sumber</v>
      </c>
      <c r="G77" s="25" t="s">
        <v>1</v>
      </c>
      <c r="H77" s="26"/>
      <c r="I77" s="26"/>
      <c r="J77" s="26"/>
      <c r="K77" s="124"/>
      <c r="L77" s="26"/>
      <c r="M77" s="26"/>
      <c r="N77" s="26"/>
      <c r="O77" s="26"/>
      <c r="P77" s="26"/>
      <c r="Q77" s="26"/>
      <c r="R77" s="26"/>
      <c r="S77" s="124"/>
      <c r="T77" s="26"/>
      <c r="U77" s="26"/>
      <c r="V77" s="26"/>
      <c r="W77" s="26"/>
      <c r="X77" s="26"/>
      <c r="Y77" s="26"/>
    </row>
    <row r="78" spans="1:25" ht="14.4">
      <c r="A78" s="111">
        <v>2</v>
      </c>
      <c r="B78" s="308" t="s">
        <v>4926</v>
      </c>
      <c r="C78" s="25">
        <v>78</v>
      </c>
      <c r="D78" s="26"/>
      <c r="E78" s="234">
        <v>43678</v>
      </c>
      <c r="F78" s="115" t="str">
        <f>HYPERLINK("https://tirto.id/indikator-debat-pilpres-berdampak-kuat-bagi-swing-voters-ddMC ","sumber")</f>
        <v>sumber</v>
      </c>
      <c r="G78" s="25" t="s">
        <v>1</v>
      </c>
      <c r="H78" s="26"/>
      <c r="I78" s="26"/>
      <c r="J78" s="26"/>
      <c r="K78" s="124"/>
      <c r="L78" s="26"/>
      <c r="M78" s="26"/>
      <c r="N78" s="26"/>
      <c r="O78" s="26"/>
      <c r="P78" s="26"/>
      <c r="Q78" s="26"/>
      <c r="R78" s="26"/>
      <c r="S78" s="124"/>
      <c r="T78" s="26"/>
      <c r="U78" s="26"/>
      <c r="V78" s="26"/>
      <c r="W78" s="26"/>
      <c r="X78" s="26"/>
      <c r="Y78" s="26"/>
    </row>
    <row r="79" spans="1:25" ht="14.4">
      <c r="A79" s="111">
        <v>2</v>
      </c>
      <c r="B79" s="308" t="s">
        <v>423</v>
      </c>
      <c r="C79" s="25">
        <v>79</v>
      </c>
      <c r="D79" s="26"/>
      <c r="E79" s="234">
        <v>43770</v>
      </c>
      <c r="F79" s="115" t="str">
        <f>HYPERLINK("https://tirto.id/jadwal-sholat-dzuhur-kab-balangan-desember-2018-hari-ini-ddZf ","sumber")</f>
        <v>sumber</v>
      </c>
      <c r="G79" s="25" t="s">
        <v>1</v>
      </c>
      <c r="H79" s="26"/>
      <c r="I79" s="26"/>
      <c r="J79" s="26"/>
      <c r="K79" s="124"/>
      <c r="L79" s="26"/>
      <c r="M79" s="26"/>
      <c r="N79" s="26"/>
      <c r="O79" s="26"/>
      <c r="P79" s="26"/>
      <c r="Q79" s="26"/>
      <c r="R79" s="26"/>
      <c r="S79" s="124"/>
      <c r="T79" s="26"/>
      <c r="U79" s="26"/>
      <c r="V79" s="26"/>
      <c r="W79" s="26"/>
      <c r="X79" s="26"/>
      <c r="Y79" s="26"/>
    </row>
    <row r="80" spans="1:25" ht="14.4">
      <c r="A80" s="310">
        <v>1</v>
      </c>
      <c r="B80" s="294" t="s">
        <v>4927</v>
      </c>
      <c r="C80" s="22">
        <v>80</v>
      </c>
      <c r="D80" s="22">
        <v>4</v>
      </c>
      <c r="E80" s="222">
        <v>43800</v>
      </c>
      <c r="F80" s="121" t="str">
        <f>HYPERLINK("https://www.liputan6.com/bola/read/3869089/pelatih-fitnes-ini-terkena-gangguan-jiwa-gara-gara-kecanduan-main-pubg ","sumber")</f>
        <v>sumber</v>
      </c>
      <c r="G80" s="22" t="s">
        <v>1</v>
      </c>
      <c r="H80" s="22">
        <v>1</v>
      </c>
      <c r="I80" s="22">
        <v>2</v>
      </c>
      <c r="J80" s="22">
        <v>2</v>
      </c>
      <c r="K80" s="123"/>
      <c r="L80" s="22">
        <v>0</v>
      </c>
      <c r="M80" s="22">
        <v>0</v>
      </c>
      <c r="N80" s="125">
        <v>0</v>
      </c>
      <c r="O80" s="125">
        <v>0</v>
      </c>
      <c r="P80" s="22">
        <v>0</v>
      </c>
      <c r="Q80" s="22"/>
      <c r="R80" s="22"/>
      <c r="S80" s="134"/>
      <c r="T80" s="22">
        <v>0</v>
      </c>
      <c r="U80" s="22">
        <v>0</v>
      </c>
      <c r="V80" s="22">
        <v>1</v>
      </c>
      <c r="W80" s="23"/>
      <c r="X80" s="23"/>
      <c r="Y80" s="23"/>
    </row>
    <row r="81" spans="1:25" ht="14.4">
      <c r="A81" s="126">
        <v>1</v>
      </c>
      <c r="B81" s="285" t="s">
        <v>2081</v>
      </c>
      <c r="C81" s="33">
        <v>81</v>
      </c>
      <c r="D81" s="33">
        <v>8</v>
      </c>
      <c r="E81" s="33" t="s">
        <v>657</v>
      </c>
      <c r="F81" s="130" t="str">
        <f>HYPERLINK("https://www.suara.com/wawancara/2019/01/07/172614/triyono-pencetus-ojek-online-difabel-pertama-di-dunia ","sumber")</f>
        <v>sumber</v>
      </c>
      <c r="G81" s="33" t="s">
        <v>1</v>
      </c>
      <c r="H81" s="33">
        <v>3</v>
      </c>
      <c r="I81" s="33">
        <v>2</v>
      </c>
      <c r="J81" s="33">
        <v>2</v>
      </c>
      <c r="K81" s="131" t="s">
        <v>4928</v>
      </c>
      <c r="L81" s="33">
        <v>0</v>
      </c>
      <c r="M81" s="33">
        <v>0</v>
      </c>
      <c r="N81" s="132">
        <v>0</v>
      </c>
      <c r="O81" s="132">
        <v>0</v>
      </c>
      <c r="P81" s="33">
        <v>0</v>
      </c>
      <c r="Q81" s="33">
        <v>2</v>
      </c>
      <c r="R81" s="33">
        <v>1</v>
      </c>
      <c r="S81" s="133"/>
      <c r="T81" s="33">
        <v>0</v>
      </c>
      <c r="U81" s="33">
        <v>0</v>
      </c>
      <c r="V81" s="33">
        <v>1</v>
      </c>
      <c r="W81" s="24"/>
      <c r="X81" s="24"/>
      <c r="Y81" s="24"/>
    </row>
    <row r="82" spans="1:25" ht="14.4">
      <c r="A82" s="111">
        <v>2</v>
      </c>
      <c r="B82" s="308" t="s">
        <v>4929</v>
      </c>
      <c r="C82" s="25">
        <v>82</v>
      </c>
      <c r="D82" s="26"/>
      <c r="E82" s="25" t="s">
        <v>657</v>
      </c>
      <c r="F82" s="115" t="str">
        <f>HYPERLINK("http://www.tribunnews.com/nasional/2019/01/14/kolaborasi-agustina-dan-agustanto-semangati-relawan-demi-jokowi ","sumber")</f>
        <v>sumber</v>
      </c>
      <c r="G82" s="25" t="s">
        <v>1</v>
      </c>
      <c r="H82" s="26"/>
      <c r="I82" s="26"/>
      <c r="J82" s="26"/>
      <c r="K82" s="124"/>
      <c r="L82" s="26"/>
      <c r="M82" s="26"/>
      <c r="N82" s="26"/>
      <c r="O82" s="26"/>
      <c r="P82" s="26"/>
      <c r="Q82" s="26"/>
      <c r="R82" s="26"/>
      <c r="S82" s="124"/>
      <c r="T82" s="26"/>
      <c r="U82" s="26"/>
      <c r="V82" s="26"/>
      <c r="W82" s="26"/>
      <c r="X82" s="26"/>
      <c r="Y82" s="26"/>
    </row>
    <row r="83" spans="1:25" ht="14.4">
      <c r="A83" s="311">
        <v>2</v>
      </c>
      <c r="B83" s="312" t="s">
        <v>4930</v>
      </c>
      <c r="C83" s="287">
        <v>83</v>
      </c>
      <c r="D83" s="313"/>
      <c r="E83" s="287" t="s">
        <v>425</v>
      </c>
      <c r="F83" s="314" t="str">
        <f>HYPERLINK("http://www.tribunnews.com/kesehatan/2019/01/16/ajaib-dokter-temukan-janin-bayi-di-perut-bayi-berusia-3-bulan ","sumber")</f>
        <v>sumber</v>
      </c>
      <c r="G83" s="287" t="s">
        <v>1</v>
      </c>
      <c r="H83" s="313"/>
      <c r="I83" s="313"/>
      <c r="J83" s="313"/>
      <c r="K83" s="315"/>
      <c r="L83" s="313"/>
      <c r="M83" s="313"/>
      <c r="N83" s="313"/>
      <c r="O83" s="313"/>
      <c r="P83" s="313"/>
      <c r="Q83" s="313"/>
      <c r="R83" s="313"/>
      <c r="S83" s="315"/>
      <c r="T83" s="313"/>
      <c r="U83" s="313"/>
      <c r="V83" s="313"/>
      <c r="W83" s="313"/>
      <c r="X83" s="313"/>
      <c r="Y83" s="313"/>
    </row>
    <row r="84" spans="1:25" ht="14.4">
      <c r="A84" s="111">
        <v>2</v>
      </c>
      <c r="B84" s="308" t="s">
        <v>4931</v>
      </c>
      <c r="C84" s="25">
        <v>84</v>
      </c>
      <c r="D84" s="26"/>
      <c r="E84" s="25" t="s">
        <v>2468</v>
      </c>
      <c r="F84" s="115" t="str">
        <f>HYPERLINK("https://www.liputan6.com/pilpres/read/3873637/prabowo-sebut-presiden-chief-law-officer-tim-jokowi-itu-kesalahan-fatal ","sumber")</f>
        <v>sumber</v>
      </c>
      <c r="G84" s="25" t="s">
        <v>1</v>
      </c>
      <c r="H84" s="26"/>
      <c r="I84" s="26"/>
      <c r="J84" s="26"/>
      <c r="K84" s="124"/>
      <c r="L84" s="26"/>
      <c r="M84" s="26"/>
      <c r="N84" s="26"/>
      <c r="O84" s="26"/>
      <c r="P84" s="26"/>
      <c r="Q84" s="26"/>
      <c r="R84" s="26"/>
      <c r="S84" s="124"/>
      <c r="T84" s="26"/>
      <c r="U84" s="26"/>
      <c r="V84" s="26"/>
      <c r="W84" s="26"/>
      <c r="X84" s="26"/>
      <c r="Y84" s="26"/>
    </row>
    <row r="85" spans="1:25" ht="14.4">
      <c r="A85" s="117">
        <v>1</v>
      </c>
      <c r="B85" s="294" t="s">
        <v>4932</v>
      </c>
      <c r="C85" s="22">
        <v>85</v>
      </c>
      <c r="D85" s="22">
        <v>10</v>
      </c>
      <c r="E85" s="22" t="s">
        <v>2468</v>
      </c>
      <c r="F85" s="121" t="str">
        <f>HYPERLINK("https://difabel.tempo.co/read/1165912/3-perpustakaan-mandiri-yang-ramah-buat-tunanetra ","sumber")</f>
        <v>sumber</v>
      </c>
      <c r="G85" s="22" t="s">
        <v>1</v>
      </c>
      <c r="H85" s="22">
        <v>285</v>
      </c>
      <c r="I85" s="22">
        <v>4</v>
      </c>
      <c r="J85" s="22">
        <v>2</v>
      </c>
      <c r="K85" s="123" t="s">
        <v>4933</v>
      </c>
      <c r="L85" s="22">
        <v>0</v>
      </c>
      <c r="M85" s="22">
        <v>0</v>
      </c>
      <c r="N85" s="125">
        <v>0</v>
      </c>
      <c r="O85" s="125">
        <v>0</v>
      </c>
      <c r="P85" s="22">
        <v>0</v>
      </c>
      <c r="Q85" s="22" t="s">
        <v>360</v>
      </c>
      <c r="R85" s="22" t="s">
        <v>360</v>
      </c>
      <c r="S85" s="134"/>
      <c r="T85" s="22">
        <v>0</v>
      </c>
      <c r="U85" s="22">
        <v>0</v>
      </c>
      <c r="V85" s="22">
        <v>1</v>
      </c>
      <c r="W85" s="23"/>
      <c r="X85" s="23"/>
      <c r="Y85" s="23"/>
    </row>
    <row r="86" spans="1:25" ht="14.4">
      <c r="A86" s="117">
        <v>1</v>
      </c>
      <c r="B86" s="294" t="s">
        <v>4934</v>
      </c>
      <c r="C86" s="22">
        <v>86</v>
      </c>
      <c r="D86" s="22">
        <v>6</v>
      </c>
      <c r="E86" s="22" t="s">
        <v>666</v>
      </c>
      <c r="F86" s="121" t="str">
        <f>HYPERLINK("https://properti.kompas.com/read/2019/01/18/100000521/jokowi-klaim-bangun-fasilitas-untuk-difabel-cek-faktanya-","sumber")</f>
        <v>sumber</v>
      </c>
      <c r="G86" s="22" t="s">
        <v>1</v>
      </c>
      <c r="H86" s="22">
        <v>281</v>
      </c>
      <c r="I86" s="22">
        <v>4</v>
      </c>
      <c r="J86" s="22">
        <v>2</v>
      </c>
      <c r="K86" s="123" t="s">
        <v>4935</v>
      </c>
      <c r="L86" s="22">
        <v>0</v>
      </c>
      <c r="M86" s="22">
        <v>0</v>
      </c>
      <c r="N86" s="125">
        <v>0</v>
      </c>
      <c r="O86" s="125">
        <v>0</v>
      </c>
      <c r="P86" s="22">
        <v>0</v>
      </c>
      <c r="Q86" s="22">
        <v>0</v>
      </c>
      <c r="R86" s="22">
        <v>0</v>
      </c>
      <c r="S86" s="134"/>
      <c r="T86" s="22">
        <v>0</v>
      </c>
      <c r="U86" s="22">
        <v>0</v>
      </c>
      <c r="V86" s="22">
        <v>1</v>
      </c>
      <c r="W86" s="23"/>
      <c r="X86" s="23"/>
      <c r="Y86" s="23"/>
    </row>
    <row r="87" spans="1:25" ht="14.4">
      <c r="A87" s="111">
        <v>2</v>
      </c>
      <c r="B87" s="308" t="s">
        <v>4936</v>
      </c>
      <c r="C87" s="25">
        <v>87</v>
      </c>
      <c r="D87" s="26"/>
      <c r="E87" s="228" t="s">
        <v>2857</v>
      </c>
      <c r="F87" s="115" t="str">
        <f>HYPERLINK("https://tirto.id/hasil-liverpool-vs-palace-4-3-the-reds-jauhi-city-7-poin-deLd","sumber")</f>
        <v>sumber</v>
      </c>
      <c r="G87" s="25" t="s">
        <v>1</v>
      </c>
      <c r="H87" s="26"/>
      <c r="I87" s="26"/>
      <c r="J87" s="26"/>
      <c r="K87" s="124"/>
      <c r="L87" s="26"/>
      <c r="M87" s="26"/>
      <c r="N87" s="26"/>
      <c r="O87" s="26"/>
      <c r="P87" s="26"/>
      <c r="Q87" s="26"/>
      <c r="R87" s="26"/>
      <c r="S87" s="124"/>
      <c r="T87" s="26"/>
      <c r="U87" s="26"/>
      <c r="V87" s="26"/>
      <c r="W87" s="26"/>
      <c r="X87" s="26"/>
      <c r="Y87" s="26"/>
    </row>
    <row r="88" spans="1:25" ht="14.4">
      <c r="A88" s="126">
        <v>1</v>
      </c>
      <c r="B88" s="285" t="s">
        <v>4937</v>
      </c>
      <c r="C88" s="33">
        <v>88</v>
      </c>
      <c r="D88" s="33">
        <v>10</v>
      </c>
      <c r="E88" s="33" t="s">
        <v>4938</v>
      </c>
      <c r="F88" s="130" t="str">
        <f>HYPERLINK("https://difabel.tempo.co/read/1162584/mesin-ketik-perkins-alat-pembuat-huruf-braille ","sumber")</f>
        <v>sumber</v>
      </c>
      <c r="G88" s="33" t="s">
        <v>1</v>
      </c>
      <c r="H88" s="33">
        <v>1</v>
      </c>
      <c r="I88" s="33">
        <v>2</v>
      </c>
      <c r="J88" s="33">
        <v>2</v>
      </c>
      <c r="K88" s="131" t="s">
        <v>4939</v>
      </c>
      <c r="L88" s="33">
        <v>0</v>
      </c>
      <c r="M88" s="33">
        <v>0</v>
      </c>
      <c r="N88" s="132">
        <v>0</v>
      </c>
      <c r="O88" s="132">
        <v>0</v>
      </c>
      <c r="P88" s="33">
        <v>0</v>
      </c>
      <c r="Q88" s="33" t="s">
        <v>4940</v>
      </c>
      <c r="R88" s="33" t="s">
        <v>1046</v>
      </c>
      <c r="S88" s="133"/>
      <c r="T88" s="33">
        <v>0</v>
      </c>
      <c r="U88" s="33">
        <v>-1</v>
      </c>
      <c r="V88" s="33">
        <v>1</v>
      </c>
      <c r="W88" s="24"/>
      <c r="X88" s="24"/>
      <c r="Y88" s="24"/>
    </row>
    <row r="89" spans="1:25" ht="14.4">
      <c r="A89" s="316">
        <v>2</v>
      </c>
      <c r="B89" s="317" t="s">
        <v>442</v>
      </c>
      <c r="C89" s="25">
        <v>89</v>
      </c>
      <c r="D89" s="26"/>
      <c r="E89" s="25" t="s">
        <v>4941</v>
      </c>
      <c r="F89" s="318" t="str">
        <f>HYPERLINK("https://internasional.kompas.com/read/2019/02/05/18352221/rusia-uji-coba-senjata-yang-bisa-bikin-halusinasi-dan-muntah ","sumber")</f>
        <v>sumber</v>
      </c>
      <c r="G89" s="25" t="s">
        <v>1</v>
      </c>
      <c r="H89" s="26"/>
      <c r="I89" s="26"/>
      <c r="J89" s="26"/>
      <c r="K89" s="124"/>
      <c r="L89" s="26"/>
      <c r="M89" s="26"/>
      <c r="N89" s="26"/>
      <c r="O89" s="26"/>
      <c r="P89" s="26"/>
      <c r="Q89" s="26"/>
      <c r="R89" s="26"/>
      <c r="S89" s="124"/>
      <c r="T89" s="26"/>
      <c r="U89" s="26"/>
      <c r="V89" s="26"/>
      <c r="W89" s="26"/>
      <c r="X89" s="26"/>
      <c r="Y89" s="26"/>
    </row>
    <row r="90" spans="1:25" ht="14.4">
      <c r="A90" s="310">
        <v>1</v>
      </c>
      <c r="B90" s="294" t="s">
        <v>4942</v>
      </c>
      <c r="C90" s="22">
        <v>90</v>
      </c>
      <c r="D90" s="22">
        <v>2</v>
      </c>
      <c r="E90" s="222">
        <v>43648</v>
      </c>
      <c r="F90" s="121" t="str">
        <f>HYPERLINK("https://www.cnnindonesia.com/nasional/20190207164230-12-367226/bunuh-adik-ipar-eks-wakapolres-tak-dibui-karena-sakit-jiwa","sumber")</f>
        <v>sumber</v>
      </c>
      <c r="G90" s="22" t="s">
        <v>1</v>
      </c>
      <c r="H90" s="22">
        <v>2</v>
      </c>
      <c r="I90" s="22">
        <v>4</v>
      </c>
      <c r="J90" s="22">
        <v>2</v>
      </c>
      <c r="K90" s="123" t="s">
        <v>4943</v>
      </c>
      <c r="L90" s="22">
        <v>0</v>
      </c>
      <c r="M90" s="22">
        <v>0</v>
      </c>
      <c r="N90" s="125">
        <v>0</v>
      </c>
      <c r="O90" s="125">
        <v>0</v>
      </c>
      <c r="P90" s="22">
        <v>0</v>
      </c>
      <c r="Q90" s="22" t="s">
        <v>29</v>
      </c>
      <c r="R90" s="22" t="s">
        <v>160</v>
      </c>
      <c r="S90" s="134"/>
      <c r="T90" s="22">
        <v>0</v>
      </c>
      <c r="U90" s="22">
        <v>0</v>
      </c>
      <c r="V90" s="22">
        <v>1</v>
      </c>
      <c r="W90" s="23"/>
      <c r="X90" s="23"/>
      <c r="Y90" s="23"/>
    </row>
    <row r="91" spans="1:25" ht="14.4">
      <c r="A91" s="126">
        <v>1</v>
      </c>
      <c r="B91" s="285" t="s">
        <v>4944</v>
      </c>
      <c r="C91" s="33">
        <v>91</v>
      </c>
      <c r="D91" s="33">
        <v>8</v>
      </c>
      <c r="E91" s="288">
        <v>43710</v>
      </c>
      <c r="F91" s="130" t="str">
        <f>HYPERLINK("https://www.suara.com/lifestyle/2019/02/23/132623/bera-ivanishvili-model-albino-paling-ganteng-sejagat-raya ","sumber")</f>
        <v>sumber</v>
      </c>
      <c r="G91" s="33" t="s">
        <v>1</v>
      </c>
      <c r="H91" s="33">
        <v>1</v>
      </c>
      <c r="I91" s="33">
        <v>2</v>
      </c>
      <c r="J91" s="33">
        <v>2</v>
      </c>
      <c r="K91" s="131"/>
      <c r="L91" s="33">
        <v>0</v>
      </c>
      <c r="M91" s="33">
        <v>0</v>
      </c>
      <c r="N91" s="132">
        <v>0</v>
      </c>
      <c r="O91" s="132">
        <v>0</v>
      </c>
      <c r="P91" s="33">
        <v>0</v>
      </c>
      <c r="Q91" s="33"/>
      <c r="R91" s="33"/>
      <c r="S91" s="133"/>
      <c r="T91" s="33">
        <v>0</v>
      </c>
      <c r="U91" s="33">
        <v>0</v>
      </c>
      <c r="V91" s="33">
        <v>0</v>
      </c>
      <c r="W91" s="24"/>
      <c r="X91" s="24"/>
      <c r="Y91" s="24"/>
    </row>
    <row r="92" spans="1:25" ht="14.4">
      <c r="A92" s="126">
        <v>1</v>
      </c>
      <c r="B92" s="285" t="s">
        <v>4945</v>
      </c>
      <c r="C92" s="33">
        <v>92</v>
      </c>
      <c r="D92" s="33">
        <v>6</v>
      </c>
      <c r="E92" s="288">
        <v>43771</v>
      </c>
      <c r="F92" s="130" t="str">
        <f>HYPERLINK("https://nasional.kompas.com/read/2019/02/18/15314681/mesin-notula-mentranskrip-semua-dialog-dalam-debat-pilpres-2019 ","sumber")</f>
        <v>sumber</v>
      </c>
      <c r="G92" s="33" t="s">
        <v>1</v>
      </c>
      <c r="H92" s="33">
        <v>2</v>
      </c>
      <c r="I92" s="33">
        <v>2</v>
      </c>
      <c r="J92" s="33">
        <v>2</v>
      </c>
      <c r="K92" s="131" t="s">
        <v>4946</v>
      </c>
      <c r="L92" s="33">
        <v>0</v>
      </c>
      <c r="M92" s="33">
        <v>0</v>
      </c>
      <c r="N92" s="132">
        <v>0</v>
      </c>
      <c r="O92" s="132">
        <v>0</v>
      </c>
      <c r="P92" s="33">
        <v>0</v>
      </c>
      <c r="Q92" s="33">
        <v>0</v>
      </c>
      <c r="R92" s="33">
        <v>1</v>
      </c>
      <c r="S92" s="133"/>
      <c r="T92" s="33">
        <v>0</v>
      </c>
      <c r="U92" s="33">
        <v>0</v>
      </c>
      <c r="V92" s="33">
        <v>0</v>
      </c>
      <c r="W92" s="24"/>
      <c r="X92" s="24"/>
      <c r="Y92" s="24"/>
    </row>
    <row r="93" spans="1:25" ht="14.4">
      <c r="A93" s="126">
        <v>1</v>
      </c>
      <c r="B93" s="285" t="s">
        <v>4947</v>
      </c>
      <c r="C93" s="33">
        <v>93</v>
      </c>
      <c r="D93" s="33">
        <v>1</v>
      </c>
      <c r="E93" s="33" t="s">
        <v>81</v>
      </c>
      <c r="F93" s="130" t="str">
        <f>HYPERLINK("https://health.detik.com/berita-detikhealth/d-4417444/ada-bercak-di-kulit-dan-tak-terasa-curigai-kusta ","sumber")</f>
        <v>sumber</v>
      </c>
      <c r="G93" s="33" t="s">
        <v>1</v>
      </c>
      <c r="H93" s="33">
        <v>1</v>
      </c>
      <c r="I93" s="33">
        <v>3</v>
      </c>
      <c r="J93" s="33">
        <v>2</v>
      </c>
      <c r="K93" s="131" t="s">
        <v>4948</v>
      </c>
      <c r="L93" s="33">
        <v>0</v>
      </c>
      <c r="M93" s="33">
        <v>0</v>
      </c>
      <c r="N93" s="132">
        <v>0</v>
      </c>
      <c r="O93" s="132">
        <v>0</v>
      </c>
      <c r="P93" s="33">
        <v>0</v>
      </c>
      <c r="Q93" s="33">
        <v>0</v>
      </c>
      <c r="R93" s="33">
        <v>0</v>
      </c>
      <c r="S93" s="133"/>
      <c r="T93" s="33">
        <v>0</v>
      </c>
      <c r="U93" s="33">
        <v>0</v>
      </c>
      <c r="V93" s="33">
        <v>1</v>
      </c>
      <c r="W93" s="24"/>
      <c r="X93" s="24"/>
      <c r="Y93" s="24"/>
    </row>
    <row r="94" spans="1:25" ht="14.4">
      <c r="A94" s="126">
        <v>1</v>
      </c>
      <c r="B94" s="285" t="s">
        <v>4949</v>
      </c>
      <c r="C94" s="33">
        <v>94</v>
      </c>
      <c r="D94" s="33">
        <v>5</v>
      </c>
      <c r="E94" s="33" t="s">
        <v>85</v>
      </c>
      <c r="F94" s="130" t="str">
        <f>HYPERLINK("https://tirto.id/ppua-caleg-disabilitas-perlu-menyuarakan-hak-yang-belum-terwujud-dfPb ","sumber")</f>
        <v>sumber</v>
      </c>
      <c r="G94" s="33" t="s">
        <v>1</v>
      </c>
      <c r="H94" s="33">
        <v>1</v>
      </c>
      <c r="I94" s="33">
        <v>3</v>
      </c>
      <c r="J94" s="33">
        <v>2</v>
      </c>
      <c r="K94" s="131" t="s">
        <v>4950</v>
      </c>
      <c r="L94" s="33">
        <v>0</v>
      </c>
      <c r="M94" s="33">
        <v>0</v>
      </c>
      <c r="N94" s="132">
        <v>0</v>
      </c>
      <c r="O94" s="132">
        <v>0</v>
      </c>
      <c r="P94" s="33">
        <v>0</v>
      </c>
      <c r="Q94" s="33">
        <v>1</v>
      </c>
      <c r="R94" s="33">
        <v>1</v>
      </c>
      <c r="S94" s="133"/>
      <c r="T94" s="33">
        <v>0</v>
      </c>
      <c r="U94" s="33">
        <v>0</v>
      </c>
      <c r="V94" s="33">
        <v>1</v>
      </c>
      <c r="W94" s="24"/>
      <c r="X94" s="24"/>
      <c r="Y94" s="24"/>
    </row>
    <row r="95" spans="1:25" ht="14.4">
      <c r="A95" s="111">
        <v>2</v>
      </c>
      <c r="B95" s="308" t="s">
        <v>4951</v>
      </c>
      <c r="C95" s="25">
        <v>95</v>
      </c>
      <c r="D95" s="26"/>
      <c r="E95" s="25" t="s">
        <v>444</v>
      </c>
      <c r="F95" s="115" t="str">
        <f>HYPERLINK("https://economy.okezone.com/read/2019/02/19/320/2019963/dinilai-tangguh-qualcomm-naikkan-gaji-ceo-steve-mollenkop","sumber")</f>
        <v>sumber</v>
      </c>
      <c r="G95" s="25" t="s">
        <v>1</v>
      </c>
      <c r="H95" s="26"/>
      <c r="I95" s="26"/>
      <c r="J95" s="26"/>
      <c r="K95" s="124"/>
      <c r="L95" s="26"/>
      <c r="M95" s="26"/>
      <c r="N95" s="26"/>
      <c r="O95" s="26"/>
      <c r="P95" s="26"/>
      <c r="Q95" s="26"/>
      <c r="R95" s="26"/>
      <c r="S95" s="124"/>
      <c r="T95" s="26"/>
      <c r="U95" s="26"/>
      <c r="V95" s="26"/>
      <c r="W95" s="26"/>
      <c r="X95" s="26"/>
      <c r="Y95" s="26"/>
    </row>
    <row r="96" spans="1:25" ht="14.4">
      <c r="A96" s="117">
        <v>1</v>
      </c>
      <c r="B96" s="294" t="s">
        <v>4952</v>
      </c>
      <c r="C96" s="22">
        <v>96</v>
      </c>
      <c r="D96" s="22">
        <v>2</v>
      </c>
      <c r="E96" s="22" t="s">
        <v>2117</v>
      </c>
      <c r="F96" s="121" t="str">
        <f>HYPERLINK("https://www.cnnindonesia.com/nasional/20190222200631-20-371945/pemerintah-targetkan-ruu-pks-disahkan-agustus-2019 ","sumber")</f>
        <v>sumber</v>
      </c>
      <c r="G96" s="22" t="s">
        <v>1</v>
      </c>
      <c r="H96" s="22">
        <v>465</v>
      </c>
      <c r="I96" s="22">
        <v>4</v>
      </c>
      <c r="J96" s="22">
        <v>1</v>
      </c>
      <c r="K96" s="123" t="s">
        <v>4953</v>
      </c>
      <c r="L96" s="22">
        <v>0</v>
      </c>
      <c r="M96" s="22">
        <v>0</v>
      </c>
      <c r="N96" s="125">
        <v>0</v>
      </c>
      <c r="O96" s="125">
        <v>0</v>
      </c>
      <c r="P96" s="22">
        <v>0</v>
      </c>
      <c r="Q96" s="22">
        <v>1</v>
      </c>
      <c r="R96" s="22">
        <v>1</v>
      </c>
      <c r="S96" s="134"/>
      <c r="T96" s="22">
        <v>0</v>
      </c>
      <c r="U96" s="22">
        <v>0</v>
      </c>
      <c r="V96" s="22">
        <v>1</v>
      </c>
      <c r="W96" s="23"/>
      <c r="X96" s="23"/>
      <c r="Y96" s="23"/>
    </row>
    <row r="97" spans="1:25" ht="14.4">
      <c r="A97" s="126">
        <v>1</v>
      </c>
      <c r="B97" s="285" t="s">
        <v>4954</v>
      </c>
      <c r="C97" s="33">
        <v>97</v>
      </c>
      <c r="D97" s="33">
        <v>1</v>
      </c>
      <c r="E97" s="33" t="s">
        <v>2117</v>
      </c>
      <c r="F97" s="130" t="str">
        <f>HYPERLINK("https://health.detik.com/berita-detikhealth/d-4440480/hubungan-incest-hasilkan-keturunan-cacat-benarkah ","sumber")</f>
        <v>sumber</v>
      </c>
      <c r="G97" s="33" t="s">
        <v>1</v>
      </c>
      <c r="H97" s="33">
        <v>1</v>
      </c>
      <c r="I97" s="33">
        <v>1</v>
      </c>
      <c r="J97" s="33">
        <v>3</v>
      </c>
      <c r="K97" s="131"/>
      <c r="L97" s="33">
        <v>0</v>
      </c>
      <c r="M97" s="33">
        <v>0</v>
      </c>
      <c r="N97" s="132">
        <v>0</v>
      </c>
      <c r="O97" s="132">
        <v>0</v>
      </c>
      <c r="P97" s="33">
        <v>0</v>
      </c>
      <c r="Q97" s="33"/>
      <c r="R97" s="33"/>
      <c r="S97" s="133"/>
      <c r="T97" s="33">
        <v>0</v>
      </c>
      <c r="U97" s="33">
        <v>0</v>
      </c>
      <c r="V97" s="33">
        <v>1</v>
      </c>
      <c r="W97" s="24"/>
      <c r="X97" s="24"/>
      <c r="Y97" s="24"/>
    </row>
    <row r="98" spans="1:25" ht="14.4">
      <c r="A98" s="111">
        <v>2</v>
      </c>
      <c r="B98" s="308" t="s">
        <v>2116</v>
      </c>
      <c r="C98" s="25">
        <v>98</v>
      </c>
      <c r="D98" s="26"/>
      <c r="E98" s="25" t="s">
        <v>2117</v>
      </c>
      <c r="F98" s="115" t="str">
        <f>HYPERLINK("http://www.tribunnews.com/section/2019/02/23/jimin-bts-jadi-perbincangan-saat-fotonya-muncul-dalam-sebuah-acara-beri-dukungan-pada-teman-lama ","sumber")</f>
        <v>sumber</v>
      </c>
      <c r="G98" s="25" t="s">
        <v>1</v>
      </c>
      <c r="H98" s="26"/>
      <c r="I98" s="26"/>
      <c r="J98" s="26"/>
      <c r="K98" s="124"/>
      <c r="L98" s="26"/>
      <c r="M98" s="26"/>
      <c r="N98" s="26"/>
      <c r="O98" s="26"/>
      <c r="P98" s="26"/>
      <c r="Q98" s="26"/>
      <c r="R98" s="26"/>
      <c r="S98" s="124"/>
      <c r="T98" s="26"/>
      <c r="U98" s="26"/>
      <c r="V98" s="26"/>
      <c r="W98" s="26"/>
      <c r="X98" s="26"/>
      <c r="Y98" s="26"/>
    </row>
    <row r="99" spans="1:25" ht="14.4">
      <c r="A99" s="126">
        <v>1</v>
      </c>
      <c r="B99" s="285" t="s">
        <v>4955</v>
      </c>
      <c r="C99" s="33">
        <v>99</v>
      </c>
      <c r="D99" s="33">
        <v>3</v>
      </c>
      <c r="E99" s="33" t="s">
        <v>2304</v>
      </c>
      <c r="F99" s="130" t="str">
        <f>HYPERLINK("https://news.okezone.com/read/2019/03/07/340/2026953/pelaku-pembongkaran-kuburan-bayi-ditangkap-motifnya-tali-pocong-untuk-jimat ","sumber")</f>
        <v>sumber</v>
      </c>
      <c r="G99" s="33" t="s">
        <v>1</v>
      </c>
      <c r="H99" s="33">
        <v>2</v>
      </c>
      <c r="I99" s="33">
        <v>1</v>
      </c>
      <c r="J99" s="33">
        <v>2</v>
      </c>
      <c r="K99" s="131" t="s">
        <v>4956</v>
      </c>
      <c r="L99" s="33">
        <v>0</v>
      </c>
      <c r="M99" s="33">
        <v>0</v>
      </c>
      <c r="N99" s="132">
        <v>0</v>
      </c>
      <c r="O99" s="132">
        <v>0</v>
      </c>
      <c r="P99" s="33">
        <v>0</v>
      </c>
      <c r="Q99" s="33">
        <v>0</v>
      </c>
      <c r="R99" s="33">
        <v>0</v>
      </c>
      <c r="S99" s="133"/>
      <c r="T99" s="33">
        <v>0</v>
      </c>
      <c r="U99" s="33">
        <v>0</v>
      </c>
      <c r="V99" s="33">
        <v>0</v>
      </c>
      <c r="W99" s="24"/>
      <c r="X99" s="24"/>
      <c r="Y99" s="24"/>
    </row>
    <row r="100" spans="1:25" ht="14.4">
      <c r="A100" s="126">
        <v>1</v>
      </c>
      <c r="B100" s="285" t="s">
        <v>4957</v>
      </c>
      <c r="C100" s="33">
        <v>100</v>
      </c>
      <c r="D100" s="33">
        <v>7</v>
      </c>
      <c r="E100" s="288">
        <v>43558</v>
      </c>
      <c r="F100" s="130" t="str">
        <f>HYPERLINK("http://www.tribunnews.com/seleb/2019/03/25/paula-verhoeven-senang-saat-baim-wong-ngeprank-hingga-kelewatan-batas ","sumber")</f>
        <v>sumber</v>
      </c>
      <c r="G100" s="33" t="s">
        <v>1</v>
      </c>
      <c r="H100" s="33">
        <v>1</v>
      </c>
      <c r="I100" s="33">
        <v>2</v>
      </c>
      <c r="J100" s="33">
        <v>2</v>
      </c>
      <c r="K100" s="131" t="s">
        <v>4958</v>
      </c>
      <c r="L100" s="33">
        <v>0</v>
      </c>
      <c r="M100" s="33">
        <v>0</v>
      </c>
      <c r="N100" s="132">
        <v>0</v>
      </c>
      <c r="O100" s="132">
        <v>0</v>
      </c>
      <c r="P100" s="33">
        <v>0</v>
      </c>
      <c r="Q100" s="33">
        <v>0</v>
      </c>
      <c r="R100" s="33">
        <v>0</v>
      </c>
      <c r="S100" s="133"/>
      <c r="T100" s="33">
        <v>0</v>
      </c>
      <c r="U100" s="33">
        <v>0</v>
      </c>
      <c r="V100" s="33">
        <v>0</v>
      </c>
      <c r="W100" s="24"/>
      <c r="X100" s="24"/>
      <c r="Y100" s="24"/>
    </row>
    <row r="101" spans="1:25" ht="14.4">
      <c r="A101" s="126">
        <v>1</v>
      </c>
      <c r="B101" s="319" t="s">
        <v>4959</v>
      </c>
      <c r="C101" s="33">
        <v>101</v>
      </c>
      <c r="D101" s="33">
        <v>8</v>
      </c>
      <c r="E101" s="288">
        <v>43588</v>
      </c>
      <c r="F101" s="130" t="str">
        <f>HYPERLINK("https://www.suara.com/health/2019/03/05/103030/studi-pastikan-vaksin-campak-rubella-tidak-picu-autisme-ini-alasannya ","sumber")</f>
        <v>sumber</v>
      </c>
      <c r="G101" s="33" t="s">
        <v>1</v>
      </c>
      <c r="H101" s="33">
        <v>1</v>
      </c>
      <c r="I101" s="33">
        <v>2</v>
      </c>
      <c r="J101" s="33">
        <v>2</v>
      </c>
      <c r="K101" s="131" t="s">
        <v>4960</v>
      </c>
      <c r="L101" s="33">
        <v>0</v>
      </c>
      <c r="M101" s="33">
        <v>0</v>
      </c>
      <c r="N101" s="132">
        <v>0</v>
      </c>
      <c r="O101" s="132">
        <v>0</v>
      </c>
      <c r="P101" s="33">
        <v>0</v>
      </c>
      <c r="Q101" s="33">
        <v>0</v>
      </c>
      <c r="R101" s="33">
        <v>0</v>
      </c>
      <c r="S101" s="133"/>
      <c r="T101" s="33">
        <v>0</v>
      </c>
      <c r="U101" s="33">
        <v>0</v>
      </c>
      <c r="V101" s="33">
        <v>1</v>
      </c>
      <c r="W101" s="24"/>
      <c r="X101" s="24"/>
      <c r="Y101" s="24"/>
    </row>
    <row r="102" spans="1:25" ht="14.4">
      <c r="A102" s="320">
        <v>1</v>
      </c>
      <c r="B102" s="321" t="s">
        <v>4961</v>
      </c>
      <c r="C102" s="147">
        <v>102</v>
      </c>
      <c r="D102" s="147">
        <v>5</v>
      </c>
      <c r="E102" s="222">
        <v>43588</v>
      </c>
      <c r="F102" s="121" t="str">
        <f>HYPERLINK("https://tirto.id/rekrutmen-bumn-buka-11000-lowongan-untuk-sma-smk-vokasi-s1-s2-divP ","sumber")</f>
        <v>sumber</v>
      </c>
      <c r="G102" s="22" t="s">
        <v>1</v>
      </c>
      <c r="H102" s="22">
        <v>2</v>
      </c>
      <c r="I102" s="22">
        <v>4</v>
      </c>
      <c r="J102" s="22">
        <v>2</v>
      </c>
      <c r="K102" s="123" t="s">
        <v>4962</v>
      </c>
      <c r="L102" s="22">
        <v>0</v>
      </c>
      <c r="M102" s="22">
        <v>0</v>
      </c>
      <c r="N102" s="125">
        <v>0</v>
      </c>
      <c r="O102" s="125">
        <v>0</v>
      </c>
      <c r="P102" s="22">
        <v>0</v>
      </c>
      <c r="Q102" s="22" t="s">
        <v>29</v>
      </c>
      <c r="R102" s="22" t="s">
        <v>160</v>
      </c>
      <c r="S102" s="134"/>
      <c r="T102" s="22">
        <v>0</v>
      </c>
      <c r="U102" s="22">
        <v>0</v>
      </c>
      <c r="V102" s="22">
        <v>1</v>
      </c>
      <c r="W102" s="23"/>
      <c r="X102" s="23"/>
      <c r="Y102" s="23"/>
    </row>
    <row r="103" spans="1:25" ht="14.4">
      <c r="A103" s="322">
        <v>1</v>
      </c>
      <c r="B103" s="323" t="s">
        <v>4963</v>
      </c>
      <c r="C103" s="324">
        <v>103</v>
      </c>
      <c r="D103" s="324">
        <v>8</v>
      </c>
      <c r="E103" s="324" t="s">
        <v>110</v>
      </c>
      <c r="F103" s="325" t="str">
        <f>HYPERLINK("https://www.suara.com/news/2019/03/14/183700/cerita-ayah-tiri-pembunuh-pemuda-difabel-pakai-racun-tikus ","sumber")</f>
        <v>sumber</v>
      </c>
      <c r="G103" s="324" t="s">
        <v>1</v>
      </c>
      <c r="H103" s="324">
        <v>367</v>
      </c>
      <c r="I103" s="324">
        <v>1</v>
      </c>
      <c r="J103" s="324">
        <v>2</v>
      </c>
      <c r="K103" s="326" t="s">
        <v>4964</v>
      </c>
      <c r="L103" s="324">
        <v>0</v>
      </c>
      <c r="M103" s="324">
        <v>-1</v>
      </c>
      <c r="N103" s="327">
        <v>0</v>
      </c>
      <c r="O103" s="327">
        <v>0</v>
      </c>
      <c r="P103" s="324">
        <v>0</v>
      </c>
      <c r="Q103" s="324">
        <v>-1</v>
      </c>
      <c r="R103" s="324">
        <v>-1</v>
      </c>
      <c r="S103" s="328"/>
      <c r="T103" s="324">
        <v>0</v>
      </c>
      <c r="U103" s="324">
        <v>0</v>
      </c>
      <c r="V103" s="324">
        <v>0</v>
      </c>
      <c r="W103" s="329"/>
      <c r="X103" s="329"/>
      <c r="Y103" s="329"/>
    </row>
    <row r="104" spans="1:25" ht="14.4">
      <c r="A104" s="111">
        <v>2</v>
      </c>
      <c r="B104" s="330" t="s">
        <v>4965</v>
      </c>
      <c r="C104" s="25">
        <v>104</v>
      </c>
      <c r="D104" s="26"/>
      <c r="E104" s="25" t="s">
        <v>110</v>
      </c>
      <c r="F104" s="115" t="str">
        <f>HYPERLINK("http://www.tribunnews.com/regional/2019/03/14/penjual-miras-oplosan-ke-siswa-smp-dan-sma-di-kendal-ditangkap ","sumber")</f>
        <v>sumber</v>
      </c>
      <c r="G104" s="25" t="s">
        <v>1</v>
      </c>
      <c r="H104" s="26"/>
      <c r="I104" s="26"/>
      <c r="J104" s="26"/>
      <c r="K104" s="124"/>
      <c r="L104" s="26"/>
      <c r="M104" s="26"/>
      <c r="N104" s="26"/>
      <c r="O104" s="26"/>
      <c r="P104" s="26"/>
      <c r="Q104" s="26"/>
      <c r="R104" s="26"/>
      <c r="S104" s="124"/>
      <c r="T104" s="26"/>
      <c r="U104" s="26"/>
      <c r="V104" s="26"/>
      <c r="W104" s="26"/>
      <c r="X104" s="26"/>
      <c r="Y104" s="26"/>
    </row>
    <row r="105" spans="1:25" ht="14.4">
      <c r="A105" s="126">
        <v>1</v>
      </c>
      <c r="B105" s="319" t="s">
        <v>4966</v>
      </c>
      <c r="C105" s="33">
        <v>105</v>
      </c>
      <c r="D105" s="33">
        <v>8</v>
      </c>
      <c r="E105" s="33" t="s">
        <v>118</v>
      </c>
      <c r="F105" s="130" t="str">
        <f>HYPERLINK("https://jatim.suara.com/read/2019/03/17/174554/pria-diduga-alami-gangguan-jiwa-bawa-kabur-motor-guru ","sumber")</f>
        <v>sumber</v>
      </c>
      <c r="G105" s="33" t="s">
        <v>1</v>
      </c>
      <c r="H105" s="33">
        <v>1</v>
      </c>
      <c r="I105" s="33">
        <v>2</v>
      </c>
      <c r="J105" s="33">
        <v>2</v>
      </c>
      <c r="K105" s="131" t="s">
        <v>4967</v>
      </c>
      <c r="L105" s="33">
        <v>0</v>
      </c>
      <c r="M105" s="33">
        <v>0</v>
      </c>
      <c r="N105" s="132">
        <v>0</v>
      </c>
      <c r="O105" s="132">
        <v>0</v>
      </c>
      <c r="P105" s="33">
        <v>0</v>
      </c>
      <c r="Q105" s="33" t="s">
        <v>29</v>
      </c>
      <c r="R105" s="33" t="s">
        <v>29</v>
      </c>
      <c r="S105" s="133"/>
      <c r="T105" s="33">
        <v>0</v>
      </c>
      <c r="U105" s="33">
        <v>0</v>
      </c>
      <c r="V105" s="33">
        <v>0</v>
      </c>
      <c r="W105" s="24"/>
      <c r="X105" s="24"/>
      <c r="Y105" s="24"/>
    </row>
    <row r="106" spans="1:25" ht="14.4">
      <c r="A106" s="111">
        <v>2</v>
      </c>
      <c r="B106" s="330" t="s">
        <v>4968</v>
      </c>
      <c r="C106" s="25">
        <v>106</v>
      </c>
      <c r="D106" s="26"/>
      <c r="E106" s="25" t="s">
        <v>493</v>
      </c>
      <c r="F106" s="115" t="str">
        <f>HYPERLINK("https://www.suara.com/otomotif/2019/03/22/081324/mab-mampu-produksi-100-bus-listrik-per-bulan ","sumber")</f>
        <v>sumber</v>
      </c>
      <c r="G106" s="25" t="s">
        <v>1</v>
      </c>
      <c r="H106" s="26"/>
      <c r="I106" s="26"/>
      <c r="J106" s="26"/>
      <c r="K106" s="124"/>
      <c r="L106" s="26"/>
      <c r="M106" s="26"/>
      <c r="N106" s="26"/>
      <c r="O106" s="26"/>
      <c r="P106" s="26"/>
      <c r="Q106" s="26"/>
      <c r="R106" s="26"/>
      <c r="S106" s="124"/>
      <c r="T106" s="26"/>
      <c r="U106" s="26"/>
      <c r="V106" s="26"/>
      <c r="W106" s="26"/>
      <c r="X106" s="26"/>
      <c r="Y106" s="26"/>
    </row>
    <row r="107" spans="1:25" ht="14.4">
      <c r="A107" s="117">
        <v>1</v>
      </c>
      <c r="B107" s="331" t="s">
        <v>4969</v>
      </c>
      <c r="C107" s="22">
        <v>107</v>
      </c>
      <c r="D107" s="22">
        <v>2</v>
      </c>
      <c r="E107" s="22" t="s">
        <v>4048</v>
      </c>
      <c r="F107" s="121" t="str">
        <f>HYPERLINK("https://www.cnnindonesia.com/gaya-hidup/20190322105915-281-379665/video-cerita-di-balik-lenggok-down-syndrome-madeline-stuart ","sumber")</f>
        <v>sumber</v>
      </c>
      <c r="G107" s="22" t="s">
        <v>1</v>
      </c>
      <c r="H107" s="22">
        <v>2</v>
      </c>
      <c r="I107" s="22">
        <v>2</v>
      </c>
      <c r="J107" s="22">
        <v>2</v>
      </c>
      <c r="K107" s="123" t="s">
        <v>4970</v>
      </c>
      <c r="L107" s="22">
        <v>0</v>
      </c>
      <c r="M107" s="22">
        <v>0</v>
      </c>
      <c r="N107" s="125">
        <v>0</v>
      </c>
      <c r="O107" s="125">
        <v>0</v>
      </c>
      <c r="P107" s="22">
        <v>0</v>
      </c>
      <c r="Q107" s="22" t="s">
        <v>182</v>
      </c>
      <c r="R107" s="22" t="s">
        <v>160</v>
      </c>
      <c r="S107" s="123"/>
      <c r="T107" s="22">
        <v>0</v>
      </c>
      <c r="U107" s="22">
        <v>0</v>
      </c>
      <c r="V107" s="22">
        <v>0</v>
      </c>
      <c r="W107" s="23"/>
      <c r="X107" s="23"/>
      <c r="Y107" s="23"/>
    </row>
    <row r="108" spans="1:25" ht="14.4">
      <c r="A108" s="111">
        <v>2</v>
      </c>
      <c r="B108" s="330" t="s">
        <v>1245</v>
      </c>
      <c r="C108" s="25">
        <v>108</v>
      </c>
      <c r="D108" s="26"/>
      <c r="E108" s="25" t="s">
        <v>127</v>
      </c>
      <c r="F108" s="115" t="str">
        <f>HYPERLINK("http://www.tribunnews.com/regional/2019/03/26/mayat-tak-utuh-lagi-ditemukan-di-kawasan-hutan-kali-lunyu-lamongan ","sumber")</f>
        <v>sumber</v>
      </c>
      <c r="G108" s="25" t="s">
        <v>1</v>
      </c>
      <c r="H108" s="26"/>
      <c r="I108" s="26"/>
      <c r="J108" s="26"/>
      <c r="K108" s="124"/>
      <c r="L108" s="26"/>
      <c r="M108" s="26"/>
      <c r="N108" s="26"/>
      <c r="O108" s="26"/>
      <c r="P108" s="26"/>
      <c r="Q108" s="26"/>
      <c r="R108" s="26"/>
      <c r="S108" s="124"/>
      <c r="T108" s="26"/>
      <c r="U108" s="26"/>
      <c r="V108" s="26"/>
      <c r="W108" s="26"/>
      <c r="X108" s="26"/>
      <c r="Y108" s="26"/>
    </row>
    <row r="109" spans="1:25" ht="14.4">
      <c r="A109" s="126">
        <v>1</v>
      </c>
      <c r="B109" s="319" t="s">
        <v>4971</v>
      </c>
      <c r="C109" s="33">
        <v>109</v>
      </c>
      <c r="D109" s="33">
        <v>6</v>
      </c>
      <c r="E109" s="33" t="s">
        <v>497</v>
      </c>
      <c r="F109" s="130" t="str">
        <f>HYPERLINK("https://sains.kompas.com/read/2019/03/20/175355523/236-daerah-di-indonesia-endemis-penyakit-kaki-gajah-kenali-gejalanya ","sumber")</f>
        <v>sumber</v>
      </c>
      <c r="G109" s="33" t="s">
        <v>1</v>
      </c>
      <c r="H109" s="33">
        <v>3</v>
      </c>
      <c r="I109" s="33">
        <v>2</v>
      </c>
      <c r="J109" s="33">
        <v>2</v>
      </c>
      <c r="K109" s="131" t="s">
        <v>4972</v>
      </c>
      <c r="L109" s="33">
        <v>0</v>
      </c>
      <c r="M109" s="33">
        <v>0</v>
      </c>
      <c r="N109" s="132">
        <v>0</v>
      </c>
      <c r="O109" s="132">
        <v>0</v>
      </c>
      <c r="P109" s="33">
        <v>0</v>
      </c>
      <c r="Q109" s="33">
        <v>0</v>
      </c>
      <c r="R109" s="33">
        <v>0</v>
      </c>
      <c r="S109" s="133"/>
      <c r="T109" s="33">
        <v>0</v>
      </c>
      <c r="U109" s="33">
        <v>0</v>
      </c>
      <c r="V109" s="33">
        <v>1</v>
      </c>
      <c r="W109" s="24"/>
      <c r="X109" s="24"/>
      <c r="Y109" s="24"/>
    </row>
    <row r="110" spans="1:25" ht="14.4">
      <c r="A110" s="111">
        <v>2</v>
      </c>
      <c r="B110" s="330" t="s">
        <v>4973</v>
      </c>
      <c r="C110" s="25">
        <v>110</v>
      </c>
      <c r="D110" s="26"/>
      <c r="E110" s="25" t="s">
        <v>504</v>
      </c>
      <c r="F110" s="115" t="str">
        <f>HYPERLINK("https://news.okezone.com/read/2019/03/29/606/2036774/buta-huruf-jadi-persoalan-suku-anak-dalam-untuk-mencoblos-di-pemilu ","sumber")</f>
        <v>sumber</v>
      </c>
      <c r="G110" s="25" t="s">
        <v>1</v>
      </c>
      <c r="H110" s="26"/>
      <c r="I110" s="26"/>
      <c r="J110" s="26"/>
      <c r="K110" s="124"/>
      <c r="L110" s="26"/>
      <c r="M110" s="26"/>
      <c r="N110" s="26"/>
      <c r="O110" s="26"/>
      <c r="P110" s="26"/>
      <c r="Q110" s="26"/>
      <c r="R110" s="26"/>
      <c r="S110" s="124"/>
      <c r="T110" s="26"/>
      <c r="U110" s="26"/>
      <c r="V110" s="26"/>
      <c r="W110" s="26"/>
      <c r="X110" s="26"/>
      <c r="Y110" s="26"/>
    </row>
    <row r="111" spans="1:25" ht="14.4">
      <c r="A111" s="126">
        <v>1</v>
      </c>
      <c r="B111" s="319" t="s">
        <v>4974</v>
      </c>
      <c r="C111" s="33">
        <v>111</v>
      </c>
      <c r="D111" s="33">
        <v>1</v>
      </c>
      <c r="E111" s="33" t="s">
        <v>132</v>
      </c>
      <c r="F111" s="130" t="str">
        <f>HYPERLINK("https://health.detik.com/berita-detikhealth/d-4480219/tiap-ngobrol-selalu-minta-diulang-waspadai-gejala-tuli-ringan ","sumber")</f>
        <v>sumber</v>
      </c>
      <c r="G111" s="33" t="s">
        <v>1</v>
      </c>
      <c r="H111" s="33">
        <v>1</v>
      </c>
      <c r="I111" s="33">
        <v>2</v>
      </c>
      <c r="J111" s="33">
        <v>2</v>
      </c>
      <c r="K111" s="131" t="s">
        <v>4975</v>
      </c>
      <c r="L111" s="33">
        <v>0</v>
      </c>
      <c r="M111" s="33">
        <v>0</v>
      </c>
      <c r="N111" s="132">
        <v>0</v>
      </c>
      <c r="O111" s="132">
        <v>0</v>
      </c>
      <c r="P111" s="33">
        <v>0</v>
      </c>
      <c r="Q111" s="33">
        <v>0</v>
      </c>
      <c r="R111" s="33">
        <v>0</v>
      </c>
      <c r="S111" s="133"/>
      <c r="T111" s="33">
        <v>0</v>
      </c>
      <c r="U111" s="33">
        <v>0</v>
      </c>
      <c r="V111" s="33">
        <v>1</v>
      </c>
      <c r="W111" s="24"/>
      <c r="X111" s="24"/>
      <c r="Y111" s="24"/>
    </row>
    <row r="112" spans="1:25" ht="14.4">
      <c r="A112" s="117">
        <v>1</v>
      </c>
      <c r="B112" s="331" t="s">
        <v>4976</v>
      </c>
      <c r="C112" s="22">
        <v>112</v>
      </c>
      <c r="D112" s="22">
        <v>4</v>
      </c>
      <c r="E112" s="22" t="s">
        <v>132</v>
      </c>
      <c r="F112" s="121" t="str">
        <f>HYPERLINK("https://www.liputan6.com/regional/read/3929707/hari-autisme-guru-paud-dibekali-cara-menangani-anak-berkebutuhan-khusus ","sumber")</f>
        <v>sumber</v>
      </c>
      <c r="G112" s="22" t="s">
        <v>1</v>
      </c>
      <c r="H112" s="22">
        <v>222</v>
      </c>
      <c r="I112" s="22">
        <v>3</v>
      </c>
      <c r="J112" s="22">
        <v>2</v>
      </c>
      <c r="K112" s="123" t="s">
        <v>4977</v>
      </c>
      <c r="L112" s="22">
        <v>0</v>
      </c>
      <c r="M112" s="22">
        <v>0</v>
      </c>
      <c r="N112" s="125">
        <v>0</v>
      </c>
      <c r="O112" s="125">
        <v>0</v>
      </c>
      <c r="P112" s="22">
        <v>0</v>
      </c>
      <c r="Q112" s="22">
        <v>0</v>
      </c>
      <c r="R112" s="22">
        <v>1</v>
      </c>
      <c r="S112" s="134"/>
      <c r="T112" s="22">
        <v>0</v>
      </c>
      <c r="U112" s="22">
        <v>0</v>
      </c>
      <c r="V112" s="22">
        <v>1</v>
      </c>
      <c r="W112" s="23"/>
      <c r="X112" s="23"/>
      <c r="Y112" s="23"/>
    </row>
    <row r="113" spans="1:25" ht="14.4">
      <c r="A113" s="310">
        <v>2</v>
      </c>
      <c r="B113" s="331" t="s">
        <v>4978</v>
      </c>
      <c r="C113" s="22">
        <v>113</v>
      </c>
      <c r="D113" s="22">
        <v>10</v>
      </c>
      <c r="E113" s="22" t="s">
        <v>132</v>
      </c>
      <c r="F113" s="121" t="str">
        <f>HYPERLINK("https://metro.tempo.co/read/1190586/beroperasi-komersial-1-april-mrt-jakarta-perbaiki-fasilitas-ini ","sumber")</f>
        <v>sumber</v>
      </c>
      <c r="G113" s="22" t="s">
        <v>1</v>
      </c>
      <c r="H113" s="22">
        <v>1</v>
      </c>
      <c r="I113" s="22">
        <v>4</v>
      </c>
      <c r="J113" s="22">
        <v>2</v>
      </c>
      <c r="K113" s="123" t="s">
        <v>4979</v>
      </c>
      <c r="L113" s="22">
        <v>0</v>
      </c>
      <c r="M113" s="22">
        <v>0</v>
      </c>
      <c r="N113" s="125">
        <v>0</v>
      </c>
      <c r="O113" s="125">
        <v>0</v>
      </c>
      <c r="P113" s="22">
        <v>0</v>
      </c>
      <c r="Q113" s="22">
        <v>0</v>
      </c>
      <c r="R113" s="22">
        <v>1</v>
      </c>
      <c r="S113" s="134"/>
      <c r="T113" s="22">
        <v>0</v>
      </c>
      <c r="U113" s="22">
        <v>0</v>
      </c>
      <c r="V113" s="22">
        <v>1</v>
      </c>
      <c r="W113" s="23"/>
      <c r="X113" s="23"/>
      <c r="Y113" s="23"/>
    </row>
    <row r="114" spans="1:25" ht="14.4">
      <c r="A114" s="111">
        <v>2</v>
      </c>
      <c r="B114" s="330" t="s">
        <v>4980</v>
      </c>
      <c r="C114" s="25">
        <v>114</v>
      </c>
      <c r="D114" s="26"/>
      <c r="E114" s="234">
        <v>43500</v>
      </c>
      <c r="F114" s="115" t="str">
        <f>HYPERLINK("https://khazanah.republika.co.id/berita/dunia-islam/islam-digest/ppbosv313/mengenal-ltemgtkalila-wa-dimnaltemgt ","sumber")</f>
        <v>sumber</v>
      </c>
      <c r="G114" s="25" t="s">
        <v>1</v>
      </c>
      <c r="H114" s="26"/>
      <c r="I114" s="26"/>
      <c r="J114" s="26"/>
      <c r="K114" s="124"/>
      <c r="L114" s="26"/>
      <c r="M114" s="26"/>
      <c r="N114" s="26"/>
      <c r="O114" s="26"/>
      <c r="P114" s="26"/>
      <c r="Q114" s="26"/>
      <c r="R114" s="26"/>
      <c r="S114" s="124"/>
      <c r="T114" s="26"/>
      <c r="U114" s="26"/>
      <c r="V114" s="26"/>
      <c r="W114" s="26"/>
      <c r="X114" s="26"/>
      <c r="Y114" s="26"/>
    </row>
    <row r="115" spans="1:25" ht="14.4">
      <c r="A115" s="117">
        <v>1</v>
      </c>
      <c r="B115" s="331" t="s">
        <v>4981</v>
      </c>
      <c r="C115" s="22">
        <v>115</v>
      </c>
      <c r="D115" s="22">
        <v>10</v>
      </c>
      <c r="E115" s="222">
        <v>43500</v>
      </c>
      <c r="F115" s="121" t="str">
        <f>HYPERLINK("https://metro.tempo.co/read/1191694/difabel-kampanye-ubin-pemandu-di-trotoar-jakarta-simak-kisahnya ","sumber")</f>
        <v>sumber</v>
      </c>
      <c r="G115" s="22" t="s">
        <v>1</v>
      </c>
      <c r="H115" s="22">
        <v>225</v>
      </c>
      <c r="I115" s="22">
        <v>3</v>
      </c>
      <c r="J115" s="22">
        <v>2</v>
      </c>
      <c r="K115" s="123" t="s">
        <v>4982</v>
      </c>
      <c r="L115" s="22">
        <v>0</v>
      </c>
      <c r="M115" s="22">
        <v>0</v>
      </c>
      <c r="N115" s="125">
        <v>0</v>
      </c>
      <c r="O115" s="125">
        <v>0</v>
      </c>
      <c r="P115" s="22">
        <v>0</v>
      </c>
      <c r="Q115" s="22" t="s">
        <v>182</v>
      </c>
      <c r="R115" s="22" t="s">
        <v>68</v>
      </c>
      <c r="S115" s="134"/>
      <c r="T115" s="22">
        <v>0</v>
      </c>
      <c r="U115" s="22">
        <v>0</v>
      </c>
      <c r="V115" s="22">
        <v>1</v>
      </c>
      <c r="W115" s="23"/>
      <c r="X115" s="23"/>
      <c r="Y115" s="23"/>
    </row>
    <row r="116" spans="1:25" ht="14.4">
      <c r="A116" s="111">
        <v>2</v>
      </c>
      <c r="B116" s="330" t="s">
        <v>4983</v>
      </c>
      <c r="C116" s="25">
        <v>116</v>
      </c>
      <c r="D116" s="26"/>
      <c r="E116" s="234">
        <v>43773</v>
      </c>
      <c r="F116" s="115" t="str">
        <f>HYPERLINK("https://www.liputan6.com/bisnis/read/3939423/transaksi-brizzi-tembus-rp-194-triliun-di-kuartal-i-2019 ","sumber")</f>
        <v>sumber</v>
      </c>
      <c r="G116" s="25" t="s">
        <v>1</v>
      </c>
      <c r="H116" s="26"/>
      <c r="I116" s="26"/>
      <c r="J116" s="26"/>
      <c r="K116" s="124"/>
      <c r="L116" s="26"/>
      <c r="M116" s="26"/>
      <c r="N116" s="26"/>
      <c r="O116" s="26"/>
      <c r="P116" s="26"/>
      <c r="Q116" s="26"/>
      <c r="R116" s="26"/>
      <c r="S116" s="124"/>
      <c r="T116" s="26"/>
      <c r="U116" s="26"/>
      <c r="V116" s="26"/>
      <c r="W116" s="26"/>
      <c r="X116" s="26"/>
      <c r="Y116" s="26"/>
    </row>
    <row r="117" spans="1:25" ht="14.4">
      <c r="A117" s="111">
        <v>2</v>
      </c>
      <c r="B117" s="330" t="s">
        <v>4984</v>
      </c>
      <c r="C117" s="25">
        <v>117</v>
      </c>
      <c r="D117" s="26"/>
      <c r="E117" s="25" t="s">
        <v>516</v>
      </c>
      <c r="F117" s="115" t="str">
        <f>HYPERLINK("http://www.tribunnews.com/regional/2019/04/14/ratusan-pelukis-ramaikan-indonesia-painting-contest-2019-gus-nabil-minta-kekayaan-indonesia-dijaga ","sumber")</f>
        <v>sumber</v>
      </c>
      <c r="G117" s="25" t="s">
        <v>1</v>
      </c>
      <c r="H117" s="26"/>
      <c r="I117" s="26"/>
      <c r="J117" s="26"/>
      <c r="K117" s="124"/>
      <c r="L117" s="26"/>
      <c r="M117" s="26"/>
      <c r="N117" s="26"/>
      <c r="O117" s="26"/>
      <c r="P117" s="26"/>
      <c r="Q117" s="26"/>
      <c r="R117" s="26"/>
      <c r="S117" s="124"/>
      <c r="T117" s="26"/>
      <c r="U117" s="26"/>
      <c r="V117" s="26"/>
      <c r="W117" s="26"/>
      <c r="X117" s="26"/>
      <c r="Y117" s="26"/>
    </row>
    <row r="118" spans="1:25" ht="14.4">
      <c r="A118" s="126">
        <v>1</v>
      </c>
      <c r="B118" s="319" t="s">
        <v>4985</v>
      </c>
      <c r="C118" s="33">
        <v>118</v>
      </c>
      <c r="D118" s="33">
        <v>10</v>
      </c>
      <c r="E118" s="33" t="s">
        <v>2347</v>
      </c>
      <c r="F118" s="130" t="str">
        <f>HYPERLINK("https://difabel.tempo.co/read/1193480/ketika-tunanetra-turut-mengulas-film-mantan-manten ","sumber")</f>
        <v>sumber</v>
      </c>
      <c r="G118" s="33" t="s">
        <v>1</v>
      </c>
      <c r="H118" s="33">
        <v>1</v>
      </c>
      <c r="I118" s="33">
        <v>3</v>
      </c>
      <c r="J118" s="33">
        <v>2</v>
      </c>
      <c r="K118" s="131" t="s">
        <v>4986</v>
      </c>
      <c r="L118" s="33">
        <v>0</v>
      </c>
      <c r="M118" s="33">
        <v>0</v>
      </c>
      <c r="N118" s="132">
        <v>0</v>
      </c>
      <c r="O118" s="132">
        <v>0</v>
      </c>
      <c r="P118" s="33">
        <v>0</v>
      </c>
      <c r="Q118" s="33" t="s">
        <v>29</v>
      </c>
      <c r="R118" s="33" t="s">
        <v>182</v>
      </c>
      <c r="S118" s="133"/>
      <c r="T118" s="33">
        <v>0</v>
      </c>
      <c r="U118" s="33">
        <v>0</v>
      </c>
      <c r="V118" s="33">
        <v>1</v>
      </c>
      <c r="W118" s="24"/>
      <c r="X118" s="24"/>
      <c r="Y118" s="24"/>
    </row>
    <row r="119" spans="1:25" ht="14.4">
      <c r="A119" s="126">
        <v>1</v>
      </c>
      <c r="B119" s="319" t="s">
        <v>4987</v>
      </c>
      <c r="C119" s="33">
        <v>119</v>
      </c>
      <c r="D119" s="33">
        <v>3</v>
      </c>
      <c r="E119" s="33" t="s">
        <v>2012</v>
      </c>
      <c r="F119" s="130" t="str">
        <f>HYPERLINK("https://index.okezone.com/read/2019/04/24/612/2047496/terlahir-tanpa-jari-tangan-bocah-10-tahun-ini-jadi-juara-menulis-di-amerika-serikat ","sumber")</f>
        <v>sumber</v>
      </c>
      <c r="G119" s="33" t="s">
        <v>1</v>
      </c>
      <c r="H119" s="33">
        <v>2</v>
      </c>
      <c r="I119" s="33">
        <v>2</v>
      </c>
      <c r="J119" s="33">
        <v>2</v>
      </c>
      <c r="K119" s="131" t="s">
        <v>4988</v>
      </c>
      <c r="L119" s="33">
        <v>0</v>
      </c>
      <c r="M119" s="33">
        <v>0</v>
      </c>
      <c r="N119" s="132">
        <v>0</v>
      </c>
      <c r="O119" s="132">
        <v>0</v>
      </c>
      <c r="P119" s="33">
        <v>0</v>
      </c>
      <c r="Q119" s="33">
        <v>2</v>
      </c>
      <c r="R119" s="33">
        <v>1</v>
      </c>
      <c r="S119" s="133"/>
      <c r="T119" s="33">
        <v>0</v>
      </c>
      <c r="U119" s="33">
        <v>0</v>
      </c>
      <c r="V119" s="33">
        <v>1</v>
      </c>
      <c r="W119" s="24"/>
      <c r="X119" s="24"/>
      <c r="Y119" s="24"/>
    </row>
    <row r="120" spans="1:25" ht="14.4">
      <c r="A120" s="111">
        <v>2</v>
      </c>
      <c r="B120" s="330" t="s">
        <v>4989</v>
      </c>
      <c r="C120" s="25">
        <v>120</v>
      </c>
      <c r="D120" s="26"/>
      <c r="E120" s="25" t="s">
        <v>529</v>
      </c>
      <c r="F120" s="115" t="str">
        <f>HYPERLINK("https://www.cnnindonesia.com/nasional/20190421200628-12-388300/istri-andre-taulany-dilaporkan-ke-polisi-soal-prabowo-gila ","sumber")</f>
        <v>sumber</v>
      </c>
      <c r="G120" s="25" t="s">
        <v>1</v>
      </c>
      <c r="H120" s="26"/>
      <c r="I120" s="26"/>
      <c r="J120" s="26"/>
      <c r="K120" s="124"/>
      <c r="L120" s="26"/>
      <c r="M120" s="26"/>
      <c r="N120" s="26"/>
      <c r="O120" s="26"/>
      <c r="P120" s="26"/>
      <c r="Q120" s="26"/>
      <c r="R120" s="26"/>
      <c r="S120" s="124"/>
      <c r="T120" s="26"/>
      <c r="U120" s="26"/>
      <c r="V120" s="26"/>
      <c r="W120" s="26"/>
      <c r="X120" s="26"/>
      <c r="Y120" s="26"/>
    </row>
    <row r="121" spans="1:25" ht="14.4">
      <c r="A121" s="111">
        <v>2</v>
      </c>
      <c r="B121" s="330" t="s">
        <v>1267</v>
      </c>
      <c r="C121" s="25">
        <v>121</v>
      </c>
      <c r="D121" s="26"/>
      <c r="E121" s="25" t="s">
        <v>165</v>
      </c>
      <c r="F121" s="115" t="str">
        <f>HYPERLINK("https://entertainment.kompas.com/read/2019/04/25/164739610/banyak-permintaan-yura-yunita-bikin-merakit-konser-di-jakarta ","sumber")</f>
        <v>sumber</v>
      </c>
      <c r="G121" s="25" t="s">
        <v>1</v>
      </c>
      <c r="H121" s="26"/>
      <c r="I121" s="26"/>
      <c r="J121" s="26"/>
      <c r="K121" s="124"/>
      <c r="L121" s="26"/>
      <c r="M121" s="26"/>
      <c r="N121" s="26"/>
      <c r="O121" s="26"/>
      <c r="P121" s="26"/>
      <c r="Q121" s="26"/>
      <c r="R121" s="26"/>
      <c r="S121" s="124"/>
      <c r="T121" s="26"/>
      <c r="U121" s="26"/>
      <c r="V121" s="26"/>
      <c r="W121" s="26"/>
      <c r="X121" s="26"/>
      <c r="Y121" s="26"/>
    </row>
    <row r="122" spans="1:25" ht="14.4">
      <c r="A122" s="111">
        <v>2</v>
      </c>
      <c r="B122" s="330" t="s">
        <v>4990</v>
      </c>
      <c r="C122" s="25">
        <v>122</v>
      </c>
      <c r="D122" s="26"/>
      <c r="E122" s="25" t="s">
        <v>173</v>
      </c>
      <c r="F122" s="115" t="str">
        <f>HYPERLINK("https://www.suara.com/entertainment/2019/04/26/145947/relawan-prabowo-ini-ingin-andre-taulany-juga-jadi-tersangka ","sumber")</f>
        <v>sumber</v>
      </c>
      <c r="G122" s="25" t="s">
        <v>1</v>
      </c>
      <c r="H122" s="26"/>
      <c r="I122" s="26"/>
      <c r="J122" s="26"/>
      <c r="K122" s="124"/>
      <c r="L122" s="26"/>
      <c r="M122" s="26"/>
      <c r="N122" s="26"/>
      <c r="O122" s="26"/>
      <c r="P122" s="26"/>
      <c r="Q122" s="26"/>
      <c r="R122" s="26"/>
      <c r="S122" s="124"/>
      <c r="T122" s="26"/>
      <c r="U122" s="26"/>
      <c r="V122" s="26"/>
      <c r="W122" s="26"/>
      <c r="X122" s="26"/>
      <c r="Y122" s="26"/>
    </row>
    <row r="123" spans="1:25" ht="14.4">
      <c r="A123" s="117">
        <v>1</v>
      </c>
      <c r="B123" s="331" t="s">
        <v>4991</v>
      </c>
      <c r="C123" s="22">
        <v>123</v>
      </c>
      <c r="D123" s="22">
        <v>1</v>
      </c>
      <c r="E123" s="22" t="s">
        <v>2018</v>
      </c>
      <c r="F123" s="121" t="str">
        <f>HYPERLINK("https://news.detik.com/berita/d-4528241/ruu-pks-bersiul-dan-kedipkan-mata-bisa-dipidana ","sumber")</f>
        <v>sumber</v>
      </c>
      <c r="G123" s="22" t="s">
        <v>1</v>
      </c>
      <c r="H123" s="22">
        <v>233</v>
      </c>
      <c r="I123" s="22">
        <v>4</v>
      </c>
      <c r="J123" s="22">
        <v>1</v>
      </c>
      <c r="K123" s="123" t="s">
        <v>4992</v>
      </c>
      <c r="L123" s="22">
        <v>0</v>
      </c>
      <c r="M123" s="22">
        <v>0</v>
      </c>
      <c r="N123" s="125">
        <v>0</v>
      </c>
      <c r="O123" s="125">
        <v>0</v>
      </c>
      <c r="P123" s="22">
        <v>0</v>
      </c>
      <c r="Q123" s="22">
        <v>0</v>
      </c>
      <c r="R123" s="22">
        <v>0</v>
      </c>
      <c r="S123" s="134"/>
      <c r="T123" s="22">
        <v>0</v>
      </c>
      <c r="U123" s="22">
        <v>0</v>
      </c>
      <c r="V123" s="22">
        <v>1</v>
      </c>
      <c r="W123" s="23"/>
      <c r="X123" s="23"/>
      <c r="Y123" s="23"/>
    </row>
    <row r="124" spans="1:25" ht="14.4">
      <c r="A124" s="117">
        <v>1</v>
      </c>
      <c r="B124" s="331" t="s">
        <v>4993</v>
      </c>
      <c r="C124" s="22">
        <v>124</v>
      </c>
      <c r="D124" s="22">
        <v>7</v>
      </c>
      <c r="E124" s="22" t="s">
        <v>354</v>
      </c>
      <c r="F124" s="121" t="str">
        <f>HYPERLINK("http://www.tribunnews.com/regional/2019/04/29/penyandang-disabilitas-ramaikan-gelaran-world-dance-day-hari-tari-dunia-di-isi-solo ","sumber")</f>
        <v>sumber</v>
      </c>
      <c r="G124" s="22" t="s">
        <v>1</v>
      </c>
      <c r="H124" s="22">
        <v>234</v>
      </c>
      <c r="I124" s="22">
        <v>3</v>
      </c>
      <c r="J124" s="22">
        <v>2</v>
      </c>
      <c r="K124" s="123" t="s">
        <v>4994</v>
      </c>
      <c r="L124" s="22">
        <v>0</v>
      </c>
      <c r="M124" s="22">
        <v>0</v>
      </c>
      <c r="N124" s="125">
        <v>0</v>
      </c>
      <c r="O124" s="125">
        <v>0</v>
      </c>
      <c r="P124" s="22">
        <v>0</v>
      </c>
      <c r="Q124" s="22">
        <v>1</v>
      </c>
      <c r="R124" s="22">
        <v>1</v>
      </c>
      <c r="S124" s="134"/>
      <c r="T124" s="22">
        <v>0</v>
      </c>
      <c r="U124" s="22">
        <v>0</v>
      </c>
      <c r="V124" s="22">
        <v>1</v>
      </c>
      <c r="W124" s="23"/>
      <c r="X124" s="23"/>
      <c r="Y124" s="23"/>
    </row>
    <row r="125" spans="1:25" ht="14.4">
      <c r="A125" s="126">
        <v>1</v>
      </c>
      <c r="B125" s="319" t="s">
        <v>4995</v>
      </c>
      <c r="C125" s="33">
        <v>125</v>
      </c>
      <c r="D125" s="33">
        <v>10</v>
      </c>
      <c r="E125" s="288">
        <v>43470</v>
      </c>
      <c r="F125" s="130" t="str">
        <f>HYPERLINK("https://megapolitan.kompas.com/read/2019/05/08/11262521/koptul-racikan-kopi-teman-tuli-untuk-perjuangkan-kesetaraan ","sumber")</f>
        <v>sumber</v>
      </c>
      <c r="G125" s="33" t="s">
        <v>1</v>
      </c>
      <c r="H125" s="33">
        <v>2</v>
      </c>
      <c r="I125" s="33">
        <v>2</v>
      </c>
      <c r="J125" s="33">
        <v>2</v>
      </c>
      <c r="K125" s="131" t="s">
        <v>4996</v>
      </c>
      <c r="L125" s="33">
        <v>0</v>
      </c>
      <c r="M125" s="33">
        <v>0</v>
      </c>
      <c r="N125" s="132">
        <v>0</v>
      </c>
      <c r="O125" s="132">
        <v>0</v>
      </c>
      <c r="P125" s="33">
        <v>0</v>
      </c>
      <c r="Q125" s="33">
        <v>0</v>
      </c>
      <c r="R125" s="33">
        <v>1</v>
      </c>
      <c r="S125" s="133"/>
      <c r="T125" s="33">
        <v>0</v>
      </c>
      <c r="U125" s="33">
        <v>0</v>
      </c>
      <c r="V125" s="33">
        <v>1</v>
      </c>
      <c r="W125" s="24"/>
      <c r="X125" s="24"/>
      <c r="Y125" s="24"/>
    </row>
    <row r="126" spans="1:25" ht="14.4">
      <c r="A126" s="111">
        <v>2</v>
      </c>
      <c r="B126" s="330" t="s">
        <v>4997</v>
      </c>
      <c r="C126" s="25">
        <v>126</v>
      </c>
      <c r="D126" s="26"/>
      <c r="E126" s="234">
        <v>43560</v>
      </c>
      <c r="F126" s="115" t="str">
        <f>HYPERLINK("https://news.detik.com/berita/d-4535915/amien-rais-serang-mahfud-md-soal-entri-data-kpu-tak-tahu-it-tapi-sok-tahu ","sumber")</f>
        <v>sumber</v>
      </c>
      <c r="G126" s="25" t="s">
        <v>1</v>
      </c>
      <c r="H126" s="26"/>
      <c r="I126" s="26"/>
      <c r="J126" s="26"/>
      <c r="K126" s="124"/>
      <c r="L126" s="26"/>
      <c r="M126" s="26"/>
      <c r="N126" s="26"/>
      <c r="O126" s="26"/>
      <c r="P126" s="26"/>
      <c r="Q126" s="26"/>
      <c r="R126" s="26"/>
      <c r="S126" s="124"/>
      <c r="T126" s="26"/>
      <c r="U126" s="26"/>
      <c r="V126" s="26"/>
      <c r="W126" s="26"/>
      <c r="X126" s="26"/>
      <c r="Y126" s="26"/>
    </row>
    <row r="127" spans="1:25" ht="14.4">
      <c r="A127" s="117">
        <v>1</v>
      </c>
      <c r="B127" s="331" t="s">
        <v>4998</v>
      </c>
      <c r="C127" s="22">
        <v>127</v>
      </c>
      <c r="D127" s="22">
        <v>10</v>
      </c>
      <c r="E127" s="222">
        <v>43621</v>
      </c>
      <c r="F127" s="121" t="str">
        <f>HYPERLINK("https://difabel.tempo.co/read/1202488/cara-penyandang-disabilitas-ganda-tunanetra-tuli-berkomunikasi ","sumber")</f>
        <v>sumber</v>
      </c>
      <c r="G127" s="22" t="s">
        <v>1</v>
      </c>
      <c r="H127" s="22">
        <v>237</v>
      </c>
      <c r="I127" s="22">
        <v>2</v>
      </c>
      <c r="J127" s="22">
        <v>2</v>
      </c>
      <c r="K127" s="123" t="s">
        <v>4999</v>
      </c>
      <c r="L127" s="22">
        <v>0</v>
      </c>
      <c r="M127" s="22">
        <v>0</v>
      </c>
      <c r="N127" s="125">
        <v>0</v>
      </c>
      <c r="O127" s="125">
        <v>0</v>
      </c>
      <c r="P127" s="22">
        <v>0</v>
      </c>
      <c r="Q127" s="22">
        <v>2</v>
      </c>
      <c r="R127" s="22">
        <v>1</v>
      </c>
      <c r="S127" s="134"/>
      <c r="T127" s="22">
        <v>0</v>
      </c>
      <c r="U127" s="22">
        <v>0</v>
      </c>
      <c r="V127" s="22">
        <v>1</v>
      </c>
      <c r="W127" s="23"/>
      <c r="X127" s="23"/>
      <c r="Y127" s="23"/>
    </row>
    <row r="128" spans="1:25" ht="14.4">
      <c r="A128" s="310">
        <v>1</v>
      </c>
      <c r="B128" s="331" t="s">
        <v>5000</v>
      </c>
      <c r="C128" s="22">
        <v>128</v>
      </c>
      <c r="D128" s="22">
        <v>5</v>
      </c>
      <c r="E128" s="222">
        <v>43621</v>
      </c>
      <c r="F128" s="121" t="str">
        <f>HYPERLINK("https://tirto.id/defisit-psikiater-dan-psikolog-sebarannya-terpusat-di-jawa-dpk2 ","sumber")</f>
        <v>sumber</v>
      </c>
      <c r="G128" s="22" t="s">
        <v>1</v>
      </c>
      <c r="H128" s="22">
        <v>3</v>
      </c>
      <c r="I128" s="22">
        <v>2</v>
      </c>
      <c r="J128" s="22">
        <v>2</v>
      </c>
      <c r="K128" s="123" t="s">
        <v>5001</v>
      </c>
      <c r="L128" s="22">
        <v>0</v>
      </c>
      <c r="M128" s="22">
        <v>0</v>
      </c>
      <c r="N128" s="125">
        <v>0</v>
      </c>
      <c r="O128" s="125">
        <v>0</v>
      </c>
      <c r="P128" s="22">
        <v>0</v>
      </c>
      <c r="Q128" s="22" t="s">
        <v>178</v>
      </c>
      <c r="R128" s="22" t="s">
        <v>160</v>
      </c>
      <c r="S128" s="134"/>
      <c r="T128" s="22">
        <v>0</v>
      </c>
      <c r="U128" s="22">
        <v>0</v>
      </c>
      <c r="V128" s="22">
        <v>1</v>
      </c>
      <c r="W128" s="23"/>
      <c r="X128" s="23"/>
      <c r="Y128" s="23"/>
    </row>
    <row r="129" spans="1:25" ht="14.4">
      <c r="A129" s="111">
        <v>2</v>
      </c>
      <c r="B129" s="330" t="s">
        <v>5002</v>
      </c>
      <c r="C129" s="25">
        <v>129</v>
      </c>
      <c r="D129" s="26"/>
      <c r="E129" s="234">
        <v>43682</v>
      </c>
      <c r="F129" s="115" t="str">
        <f>HYPERLINK("https://economy.okezone.com/read/2019/05/08/278/2053067/polemik-laporan-keuangan-garuda-mahata-bidik-untung-usd1-5-miliar ","sumber")</f>
        <v>sumber</v>
      </c>
      <c r="G129" s="25" t="s">
        <v>1</v>
      </c>
      <c r="H129" s="26"/>
      <c r="I129" s="26"/>
      <c r="J129" s="26"/>
      <c r="K129" s="124"/>
      <c r="L129" s="26"/>
      <c r="M129" s="26"/>
      <c r="N129" s="26"/>
      <c r="O129" s="26"/>
      <c r="P129" s="26"/>
      <c r="Q129" s="26"/>
      <c r="R129" s="26"/>
      <c r="S129" s="124"/>
      <c r="T129" s="26"/>
      <c r="U129" s="26"/>
      <c r="V129" s="26"/>
      <c r="W129" s="26"/>
      <c r="X129" s="26"/>
      <c r="Y129" s="26"/>
    </row>
    <row r="130" spans="1:25" ht="14.4">
      <c r="A130" s="111">
        <v>2</v>
      </c>
      <c r="B130" s="330" t="s">
        <v>5003</v>
      </c>
      <c r="C130" s="25">
        <v>130</v>
      </c>
      <c r="D130" s="26"/>
      <c r="E130" s="234">
        <v>43774</v>
      </c>
      <c r="F130" s="115" t="str">
        <f>HYPERLINK("https://www.liputan6.com/bola/read/3963311/soal-perempat-final-piala-presiden-persebaya-masih-tunggu-pssi ","sumber")</f>
        <v>sumber</v>
      </c>
      <c r="G130" s="25" t="s">
        <v>1</v>
      </c>
      <c r="H130" s="26"/>
      <c r="I130" s="26"/>
      <c r="J130" s="26"/>
      <c r="K130" s="124"/>
      <c r="L130" s="26"/>
      <c r="M130" s="26"/>
      <c r="N130" s="26"/>
      <c r="O130" s="26"/>
      <c r="P130" s="26"/>
      <c r="Q130" s="26"/>
      <c r="R130" s="26"/>
      <c r="S130" s="124"/>
      <c r="T130" s="26"/>
      <c r="U130" s="26"/>
      <c r="V130" s="26"/>
      <c r="W130" s="26"/>
      <c r="X130" s="26"/>
      <c r="Y130" s="26"/>
    </row>
    <row r="131" spans="1:25" ht="14.4">
      <c r="A131" s="111">
        <v>2</v>
      </c>
      <c r="B131" s="330" t="s">
        <v>2171</v>
      </c>
      <c r="C131" s="25">
        <v>131</v>
      </c>
      <c r="D131" s="26"/>
      <c r="E131" s="234">
        <v>43774</v>
      </c>
      <c r="F131" s="115" t="str">
        <f>HYPERLINK("https://tirto.id/alasan-atalanta-menjadi-tim-paling-menarik-di-serie-a-musim-ini-dyEG ","sumber")</f>
        <v>sumber</v>
      </c>
      <c r="G131" s="25" t="s">
        <v>1</v>
      </c>
      <c r="H131" s="26"/>
      <c r="I131" s="26"/>
      <c r="J131" s="26"/>
      <c r="K131" s="124"/>
      <c r="L131" s="26"/>
      <c r="M131" s="26"/>
      <c r="N131" s="26"/>
      <c r="O131" s="26"/>
      <c r="P131" s="26"/>
      <c r="Q131" s="26"/>
      <c r="R131" s="26"/>
      <c r="S131" s="124"/>
      <c r="T131" s="26"/>
      <c r="U131" s="26"/>
      <c r="V131" s="26"/>
      <c r="W131" s="26"/>
      <c r="X131" s="26"/>
      <c r="Y131" s="26"/>
    </row>
    <row r="132" spans="1:25" ht="14.4">
      <c r="A132" s="111">
        <v>2</v>
      </c>
      <c r="B132" s="330" t="s">
        <v>5004</v>
      </c>
      <c r="C132" s="25">
        <v>132</v>
      </c>
      <c r="D132" s="26"/>
      <c r="E132" s="25" t="s">
        <v>215</v>
      </c>
      <c r="F132" s="115" t="str">
        <f>HYPERLINK("https://www.cnnindonesia.com/nasional/20190513141926-32-394407/bawaslu-2548-panwaslu-alami-kekerasan-sakit-hingga-tewas ","sumber")</f>
        <v>sumber</v>
      </c>
      <c r="G132" s="25" t="s">
        <v>1</v>
      </c>
      <c r="H132" s="26"/>
      <c r="I132" s="26"/>
      <c r="J132" s="26"/>
      <c r="K132" s="124"/>
      <c r="L132" s="26"/>
      <c r="M132" s="26"/>
      <c r="N132" s="26"/>
      <c r="O132" s="26"/>
      <c r="P132" s="26"/>
      <c r="Q132" s="26"/>
      <c r="R132" s="26"/>
      <c r="S132" s="124"/>
      <c r="T132" s="26"/>
      <c r="U132" s="26"/>
      <c r="V132" s="26"/>
      <c r="W132" s="26"/>
      <c r="X132" s="26"/>
      <c r="Y132" s="26"/>
    </row>
    <row r="133" spans="1:25" ht="14.4">
      <c r="A133" s="111">
        <v>2</v>
      </c>
      <c r="B133" s="330" t="s">
        <v>5005</v>
      </c>
      <c r="C133" s="25">
        <v>133</v>
      </c>
      <c r="D133" s="26"/>
      <c r="E133" s="25" t="s">
        <v>358</v>
      </c>
      <c r="F133" s="115" t="str">
        <f>HYPERLINK("https://edukasi.kompas.com/read/2019/05/19/10431231/anak-penjual-sate-padang-itu-kini-berkuliah-di-ugm ","sumber")</f>
        <v>sumber</v>
      </c>
      <c r="G133" s="25" t="s">
        <v>1</v>
      </c>
      <c r="H133" s="26"/>
      <c r="I133" s="26"/>
      <c r="J133" s="26"/>
      <c r="K133" s="124"/>
      <c r="L133" s="26"/>
      <c r="M133" s="26"/>
      <c r="N133" s="26"/>
      <c r="O133" s="26"/>
      <c r="P133" s="26"/>
      <c r="Q133" s="26"/>
      <c r="R133" s="26"/>
      <c r="S133" s="124"/>
      <c r="T133" s="26"/>
      <c r="U133" s="26"/>
      <c r="V133" s="26"/>
      <c r="W133" s="26"/>
      <c r="X133" s="26"/>
      <c r="Y133" s="26"/>
    </row>
    <row r="134" spans="1:25" ht="14.4">
      <c r="A134" s="111">
        <v>2</v>
      </c>
      <c r="B134" s="330" t="s">
        <v>2174</v>
      </c>
      <c r="C134" s="25">
        <v>134</v>
      </c>
      <c r="D134" s="26"/>
      <c r="E134" s="25" t="s">
        <v>358</v>
      </c>
      <c r="F134" s="115" t="str">
        <f>HYPERLINK("https://www.liputan6.com/bisnis/read/3969814/kementerian-pupr-resmikan-jembatan-ramah-lingkungan-di-solo ","sumber")</f>
        <v>sumber</v>
      </c>
      <c r="G134" s="25" t="s">
        <v>1</v>
      </c>
      <c r="H134" s="26"/>
      <c r="I134" s="26"/>
      <c r="J134" s="26"/>
      <c r="K134" s="124"/>
      <c r="L134" s="26"/>
      <c r="M134" s="26"/>
      <c r="N134" s="26"/>
      <c r="O134" s="26"/>
      <c r="P134" s="26"/>
      <c r="Q134" s="26"/>
      <c r="R134" s="26"/>
      <c r="S134" s="124"/>
      <c r="T134" s="26"/>
      <c r="U134" s="26"/>
      <c r="V134" s="26"/>
      <c r="W134" s="26"/>
      <c r="X134" s="26"/>
      <c r="Y134" s="26"/>
    </row>
    <row r="135" spans="1:25" ht="14.4">
      <c r="A135" s="111">
        <v>2</v>
      </c>
      <c r="B135" s="330" t="s">
        <v>5006</v>
      </c>
      <c r="C135" s="25">
        <v>135</v>
      </c>
      <c r="D135" s="26"/>
      <c r="E135" s="25" t="s">
        <v>205</v>
      </c>
      <c r="F135" s="115" t="str">
        <f>HYPERLINK("https://news.detik.com/berita/d-4559168/soal-makar-titiek-zaman-pak-harto-nggak-gini-sekarang-lebih-gila ","sumber")</f>
        <v>sumber</v>
      </c>
      <c r="G135" s="25" t="s">
        <v>1</v>
      </c>
      <c r="H135" s="26"/>
      <c r="I135" s="26"/>
      <c r="J135" s="26"/>
      <c r="K135" s="124"/>
      <c r="L135" s="26"/>
      <c r="M135" s="26"/>
      <c r="N135" s="26"/>
      <c r="O135" s="26"/>
      <c r="P135" s="26"/>
      <c r="Q135" s="26"/>
      <c r="R135" s="26"/>
      <c r="S135" s="124"/>
      <c r="T135" s="26"/>
      <c r="U135" s="26"/>
      <c r="V135" s="26"/>
      <c r="W135" s="26"/>
      <c r="X135" s="26"/>
      <c r="Y135" s="26"/>
    </row>
    <row r="136" spans="1:25" ht="14.4">
      <c r="A136" s="126">
        <v>1</v>
      </c>
      <c r="B136" s="319" t="s">
        <v>5007</v>
      </c>
      <c r="C136" s="33">
        <v>136</v>
      </c>
      <c r="D136" s="33">
        <v>6</v>
      </c>
      <c r="E136" s="33" t="s">
        <v>205</v>
      </c>
      <c r="F136" s="130" t="str">
        <f>HYPERLINK("https://regional.kompas.com/read/2019/05/07/23553171/kerap-makan-jarinya-sendiri-perempuan-ini-dibawa-ke-rs-jiwa-surabaya ","sumber")</f>
        <v>sumber</v>
      </c>
      <c r="G136" s="33" t="s">
        <v>1</v>
      </c>
      <c r="H136" s="33">
        <v>2</v>
      </c>
      <c r="I136" s="33">
        <v>2</v>
      </c>
      <c r="J136" s="33">
        <v>2</v>
      </c>
      <c r="K136" s="131" t="s">
        <v>5008</v>
      </c>
      <c r="L136" s="33">
        <v>0</v>
      </c>
      <c r="M136" s="33">
        <v>0</v>
      </c>
      <c r="N136" s="132">
        <v>0</v>
      </c>
      <c r="O136" s="132">
        <v>0</v>
      </c>
      <c r="P136" s="33">
        <v>0</v>
      </c>
      <c r="Q136" s="33" t="s">
        <v>29</v>
      </c>
      <c r="R136" s="33" t="s">
        <v>160</v>
      </c>
      <c r="S136" s="133"/>
      <c r="T136" s="33">
        <v>0</v>
      </c>
      <c r="U136" s="33">
        <v>0</v>
      </c>
      <c r="V136" s="33">
        <v>1</v>
      </c>
      <c r="W136" s="24"/>
      <c r="X136" s="24"/>
      <c r="Y136" s="24"/>
    </row>
    <row r="137" spans="1:25" ht="14.4">
      <c r="A137" s="111">
        <v>2</v>
      </c>
      <c r="B137" s="330" t="s">
        <v>5009</v>
      </c>
      <c r="C137" s="25">
        <v>137</v>
      </c>
      <c r="D137" s="26"/>
      <c r="E137" s="25" t="s">
        <v>205</v>
      </c>
      <c r="F137" s="115" t="str">
        <f>HYPERLINK("https://tirto.id/titiek-soeharto-mengapa-kpu-umumkan-hasil-pilpres-pas-orang-tidur-dUZc ","sumber")</f>
        <v>sumber</v>
      </c>
      <c r="G137" s="25" t="s">
        <v>1</v>
      </c>
      <c r="H137" s="26"/>
      <c r="I137" s="26"/>
      <c r="J137" s="26"/>
      <c r="K137" s="124"/>
      <c r="L137" s="26"/>
      <c r="M137" s="26"/>
      <c r="N137" s="26"/>
      <c r="O137" s="26"/>
      <c r="P137" s="26"/>
      <c r="Q137" s="26"/>
      <c r="R137" s="26"/>
      <c r="S137" s="124"/>
      <c r="T137" s="26"/>
      <c r="U137" s="26"/>
      <c r="V137" s="26"/>
      <c r="W137" s="26"/>
      <c r="X137" s="26"/>
      <c r="Y137" s="26"/>
    </row>
    <row r="138" spans="1:25" ht="14.4">
      <c r="A138" s="111">
        <v>2</v>
      </c>
      <c r="B138" s="330" t="s">
        <v>5010</v>
      </c>
      <c r="C138" s="25">
        <v>138</v>
      </c>
      <c r="D138" s="26"/>
      <c r="E138" s="25" t="s">
        <v>2027</v>
      </c>
      <c r="F138" s="115" t="str">
        <f>HYPERLINK("https://entertainment.kompas.com/read/2019/05/25/201346710/awalnya-tak-suka-ashanty-kini-ketagihan-geluti-dunia-bisnis ","sumber")</f>
        <v>sumber</v>
      </c>
      <c r="G138" s="25" t="s">
        <v>1</v>
      </c>
      <c r="H138" s="26"/>
      <c r="I138" s="26"/>
      <c r="J138" s="26"/>
      <c r="K138" s="124"/>
      <c r="L138" s="26"/>
      <c r="M138" s="26"/>
      <c r="N138" s="26"/>
      <c r="O138" s="26"/>
      <c r="P138" s="26"/>
      <c r="Q138" s="26"/>
      <c r="R138" s="26"/>
      <c r="S138" s="124"/>
      <c r="T138" s="26"/>
      <c r="U138" s="26"/>
      <c r="V138" s="26"/>
      <c r="W138" s="26"/>
      <c r="X138" s="26"/>
      <c r="Y138" s="26"/>
    </row>
    <row r="139" spans="1:25" ht="14.4">
      <c r="A139" s="117">
        <v>1</v>
      </c>
      <c r="B139" s="331" t="s">
        <v>1290</v>
      </c>
      <c r="C139" s="22">
        <v>139</v>
      </c>
      <c r="D139" s="22">
        <v>5</v>
      </c>
      <c r="E139" s="22" t="s">
        <v>2564</v>
      </c>
      <c r="F139" s="121" t="str">
        <f>HYPERLINK("https://tirto.id/down-swan-gambaran-down-syndrome-dan-empati-tanpa-konteks-d3wL ","sumber")</f>
        <v>sumber</v>
      </c>
      <c r="G139" s="22" t="s">
        <v>1</v>
      </c>
      <c r="H139" s="22">
        <v>651</v>
      </c>
      <c r="I139" s="22">
        <v>2</v>
      </c>
      <c r="J139" s="22">
        <v>2</v>
      </c>
      <c r="K139" s="123"/>
      <c r="L139" s="22">
        <v>0</v>
      </c>
      <c r="M139" s="22">
        <v>0</v>
      </c>
      <c r="N139" s="125">
        <v>0</v>
      </c>
      <c r="O139" s="125">
        <v>0</v>
      </c>
      <c r="P139" s="22">
        <v>0</v>
      </c>
      <c r="Q139" s="22"/>
      <c r="R139" s="22"/>
      <c r="S139" s="134"/>
      <c r="T139" s="22">
        <v>0</v>
      </c>
      <c r="U139" s="22">
        <v>0</v>
      </c>
      <c r="V139" s="22">
        <v>0</v>
      </c>
      <c r="W139" s="23"/>
      <c r="X139" s="23"/>
      <c r="Y139" s="23"/>
    </row>
    <row r="140" spans="1:25" ht="14.4">
      <c r="A140" s="111">
        <v>2</v>
      </c>
      <c r="B140" s="330" t="s">
        <v>5011</v>
      </c>
      <c r="C140" s="25">
        <v>140</v>
      </c>
      <c r="D140" s="26"/>
      <c r="E140" s="234">
        <v>43530</v>
      </c>
      <c r="F140" s="115" t="str">
        <f>HYPERLINK("https://www.liputan6.com/global/read/3982539/faa-boeing-737-max-dan-ng-mungkin-memiliki-komponen-cacat ","sumber")</f>
        <v>sumber</v>
      </c>
      <c r="G140" s="25" t="s">
        <v>1</v>
      </c>
      <c r="H140" s="26"/>
      <c r="I140" s="26"/>
      <c r="J140" s="26"/>
      <c r="K140" s="124"/>
      <c r="L140" s="26"/>
      <c r="M140" s="26"/>
      <c r="N140" s="26"/>
      <c r="O140" s="26"/>
      <c r="P140" s="26"/>
      <c r="Q140" s="26"/>
      <c r="R140" s="26"/>
      <c r="S140" s="124"/>
      <c r="T140" s="26"/>
      <c r="U140" s="26"/>
      <c r="V140" s="26"/>
      <c r="W140" s="26"/>
      <c r="X140" s="26"/>
      <c r="Y140" s="26"/>
    </row>
    <row r="141" spans="1:25" ht="14.4">
      <c r="A141" s="310">
        <v>1</v>
      </c>
      <c r="B141" s="331" t="s">
        <v>564</v>
      </c>
      <c r="C141" s="22">
        <v>141</v>
      </c>
      <c r="D141" s="22">
        <v>6</v>
      </c>
      <c r="E141" s="222">
        <v>43775</v>
      </c>
      <c r="F141" s="121" t="str">
        <f>HYPERLINK("https://megapolitan.kompas.com/read/2019/06/11/18181911/ditangkap-pelaku-vandalisme-di-masjid-diduga-alami-gangguan-jiwa ","sumber")</f>
        <v>sumber</v>
      </c>
      <c r="G141" s="22" t="s">
        <v>1</v>
      </c>
      <c r="H141" s="22">
        <v>1</v>
      </c>
      <c r="I141" s="22">
        <v>1</v>
      </c>
      <c r="J141" s="22">
        <v>2</v>
      </c>
      <c r="K141" s="123" t="s">
        <v>5012</v>
      </c>
      <c r="L141" s="22">
        <v>0</v>
      </c>
      <c r="M141" s="147">
        <v>0</v>
      </c>
      <c r="N141" s="125">
        <v>0</v>
      </c>
      <c r="O141" s="125">
        <v>0</v>
      </c>
      <c r="P141" s="22">
        <v>0</v>
      </c>
      <c r="Q141" s="22">
        <v>0</v>
      </c>
      <c r="R141" s="22">
        <v>0</v>
      </c>
      <c r="S141" s="134"/>
      <c r="T141" s="22">
        <v>0</v>
      </c>
      <c r="U141" s="22">
        <v>0</v>
      </c>
      <c r="V141" s="22">
        <v>0</v>
      </c>
      <c r="W141" s="23"/>
      <c r="X141" s="23"/>
      <c r="Y141" s="23"/>
    </row>
    <row r="142" spans="1:25" ht="14.4">
      <c r="A142" s="320">
        <v>1</v>
      </c>
      <c r="B142" s="332" t="s">
        <v>5013</v>
      </c>
      <c r="C142" s="147">
        <v>142</v>
      </c>
      <c r="D142" s="147">
        <v>9</v>
      </c>
      <c r="E142" s="147" t="s">
        <v>388</v>
      </c>
      <c r="F142" s="333" t="str">
        <f>HYPERLINK("https://republika.co.id/berita/retizen/surat-pembaca/pt8knd349/aborsi-kebebasan-memilih-ataukah-memilih-bebas ","sumber")</f>
        <v>sumber</v>
      </c>
      <c r="G142" s="147" t="s">
        <v>1</v>
      </c>
      <c r="H142" s="147">
        <v>1</v>
      </c>
      <c r="I142" s="147">
        <v>2</v>
      </c>
      <c r="J142" s="147">
        <v>1</v>
      </c>
      <c r="K142" s="334"/>
      <c r="L142" s="147">
        <v>0</v>
      </c>
      <c r="M142" s="147">
        <v>0</v>
      </c>
      <c r="N142" s="335">
        <v>0</v>
      </c>
      <c r="O142" s="335">
        <v>0</v>
      </c>
      <c r="P142" s="147">
        <v>0</v>
      </c>
      <c r="Q142" s="147"/>
      <c r="R142" s="147"/>
      <c r="S142" s="336"/>
      <c r="T142" s="147">
        <v>0</v>
      </c>
      <c r="U142" s="147">
        <v>0</v>
      </c>
      <c r="V142" s="147">
        <v>1</v>
      </c>
      <c r="W142" s="337"/>
      <c r="X142" s="337"/>
      <c r="Y142" s="337"/>
    </row>
    <row r="143" spans="1:25" ht="14.4">
      <c r="A143" s="310">
        <v>1</v>
      </c>
      <c r="B143" s="331" t="s">
        <v>1304</v>
      </c>
      <c r="C143" s="22">
        <v>143</v>
      </c>
      <c r="D143" s="22">
        <v>1</v>
      </c>
      <c r="E143" s="22" t="s">
        <v>382</v>
      </c>
      <c r="F143" s="121" t="str">
        <f>HYPERLINK("https://news.detik.com/berita-jawa-barat/d-4589900/pembuat-surat-sensen-presiden-republik-indonesia-akhirnya-kena-batunya ","sumber")</f>
        <v>sumber</v>
      </c>
      <c r="G143" s="22" t="s">
        <v>1</v>
      </c>
      <c r="H143" s="22">
        <v>1</v>
      </c>
      <c r="I143" s="22">
        <v>4</v>
      </c>
      <c r="J143" s="22">
        <v>2</v>
      </c>
      <c r="K143" s="123" t="s">
        <v>5014</v>
      </c>
      <c r="L143" s="22">
        <v>0</v>
      </c>
      <c r="M143" s="22">
        <v>0</v>
      </c>
      <c r="N143" s="125">
        <v>0</v>
      </c>
      <c r="O143" s="125">
        <v>0</v>
      </c>
      <c r="P143" s="22">
        <v>0</v>
      </c>
      <c r="Q143" s="22">
        <v>0</v>
      </c>
      <c r="R143" s="22">
        <v>0</v>
      </c>
      <c r="S143" s="134"/>
      <c r="T143" s="22">
        <v>0</v>
      </c>
      <c r="U143" s="22">
        <v>0</v>
      </c>
      <c r="V143" s="22">
        <v>0</v>
      </c>
      <c r="W143" s="23"/>
      <c r="X143" s="23"/>
      <c r="Y143" s="23"/>
    </row>
    <row r="144" spans="1:25" ht="14.4">
      <c r="A144" s="111">
        <v>2</v>
      </c>
      <c r="B144" s="330" t="s">
        <v>5015</v>
      </c>
      <c r="C144" s="25">
        <v>144</v>
      </c>
      <c r="D144" s="26"/>
      <c r="E144" s="25" t="s">
        <v>799</v>
      </c>
      <c r="F144" s="115" t="str">
        <f>HYPERLINK("https://nasional.republika.co.id/berita/nasional/jabodetabek-nasional/ptdvbn368/stasiun-cisauk-wujudkan-integrasi-transportasi-publik-di-bsd ","sumber")</f>
        <v>sumber</v>
      </c>
      <c r="G144" s="25" t="s">
        <v>1</v>
      </c>
      <c r="H144" s="26"/>
      <c r="I144" s="26"/>
      <c r="J144" s="26"/>
      <c r="K144" s="124"/>
      <c r="L144" s="26"/>
      <c r="M144" s="26"/>
      <c r="N144" s="26"/>
      <c r="O144" s="26"/>
      <c r="P144" s="26"/>
      <c r="Q144" s="26"/>
      <c r="R144" s="26"/>
      <c r="S144" s="124"/>
      <c r="T144" s="26"/>
      <c r="U144" s="26"/>
      <c r="V144" s="26"/>
      <c r="W144" s="26"/>
      <c r="X144" s="26"/>
      <c r="Y144" s="26"/>
    </row>
    <row r="145" spans="1:25" ht="14.4">
      <c r="A145" s="126">
        <v>1</v>
      </c>
      <c r="B145" s="319" t="s">
        <v>5016</v>
      </c>
      <c r="C145" s="33">
        <v>145</v>
      </c>
      <c r="D145" s="33">
        <v>9</v>
      </c>
      <c r="E145" s="33" t="s">
        <v>235</v>
      </c>
      <c r="F145" s="130" t="str">
        <f>HYPERLINK("https://nasional.republika.co.id/berita/nasional/daerah/psr76r383/polisi-bekuk-pelaku-penusukan-personel-pengamanan-lebaran ","sumber")</f>
        <v>sumber</v>
      </c>
      <c r="G145" s="33" t="s">
        <v>1</v>
      </c>
      <c r="H145" s="33">
        <v>1</v>
      </c>
      <c r="I145" s="33">
        <v>4</v>
      </c>
      <c r="J145" s="33">
        <v>2</v>
      </c>
      <c r="K145" s="131" t="s">
        <v>5017</v>
      </c>
      <c r="L145" s="33">
        <v>0</v>
      </c>
      <c r="M145" s="33">
        <v>0</v>
      </c>
      <c r="N145" s="132">
        <v>0</v>
      </c>
      <c r="O145" s="132">
        <v>0</v>
      </c>
      <c r="P145" s="33">
        <v>0</v>
      </c>
      <c r="Q145" s="33">
        <v>0</v>
      </c>
      <c r="R145" s="33">
        <v>0</v>
      </c>
      <c r="S145" s="133"/>
      <c r="T145" s="33">
        <v>0</v>
      </c>
      <c r="U145" s="33">
        <v>0</v>
      </c>
      <c r="V145" s="33">
        <v>0</v>
      </c>
      <c r="W145" s="24"/>
      <c r="X145" s="24"/>
      <c r="Y145" s="24"/>
    </row>
    <row r="146" spans="1:25" ht="14.4">
      <c r="A146" s="310">
        <v>1</v>
      </c>
      <c r="B146" s="331" t="s">
        <v>3168</v>
      </c>
      <c r="C146" s="22">
        <v>146</v>
      </c>
      <c r="D146" s="22">
        <v>3</v>
      </c>
      <c r="E146" s="22" t="s">
        <v>2202</v>
      </c>
      <c r="F146" s="121" t="str">
        <f>HYPERLINK("https://news.okezone.com/read/2019/06/22/340/2069748/sedang-bersihkan-lingkungan-gereja-pendeta-ini-ditusuk-otk ","sumber")</f>
        <v>sumber</v>
      </c>
      <c r="G146" s="22" t="s">
        <v>1</v>
      </c>
      <c r="H146" s="22">
        <v>1</v>
      </c>
      <c r="I146" s="22">
        <v>1</v>
      </c>
      <c r="J146" s="22">
        <v>4</v>
      </c>
      <c r="K146" s="123" t="s">
        <v>5018</v>
      </c>
      <c r="L146" s="22">
        <v>0</v>
      </c>
      <c r="M146" s="147">
        <v>0</v>
      </c>
      <c r="N146" s="125">
        <v>0</v>
      </c>
      <c r="O146" s="125">
        <v>0</v>
      </c>
      <c r="P146" s="22">
        <v>0</v>
      </c>
      <c r="Q146" s="22" t="s">
        <v>29</v>
      </c>
      <c r="R146" s="22" t="s">
        <v>29</v>
      </c>
      <c r="S146" s="134"/>
      <c r="T146" s="22">
        <v>0</v>
      </c>
      <c r="U146" s="22">
        <v>0</v>
      </c>
      <c r="V146" s="22">
        <v>0</v>
      </c>
      <c r="W146" s="23"/>
      <c r="X146" s="23"/>
      <c r="Y146" s="23"/>
    </row>
    <row r="147" spans="1:25" ht="14.4">
      <c r="A147" s="126">
        <v>1</v>
      </c>
      <c r="B147" s="319" t="s">
        <v>5019</v>
      </c>
      <c r="C147" s="33">
        <v>147</v>
      </c>
      <c r="D147" s="33">
        <v>2</v>
      </c>
      <c r="E147" s="33" t="s">
        <v>2035</v>
      </c>
      <c r="F147" s="130" t="str">
        <f>HYPERLINK("https://www.cnnindonesia.com/gaya-hidup/20190624175746-255-405955/pentingnya-deteksi-kelainan-kromosom-sejak-awal-hamil ","sumber")</f>
        <v>sumber</v>
      </c>
      <c r="G147" s="33" t="s">
        <v>1</v>
      </c>
      <c r="H147" s="33">
        <v>1</v>
      </c>
      <c r="I147" s="33">
        <v>2</v>
      </c>
      <c r="J147" s="33">
        <v>2</v>
      </c>
      <c r="K147" s="131"/>
      <c r="L147" s="33">
        <v>0</v>
      </c>
      <c r="M147" s="33">
        <v>0</v>
      </c>
      <c r="N147" s="132">
        <v>0</v>
      </c>
      <c r="O147" s="132">
        <v>0</v>
      </c>
      <c r="P147" s="33">
        <v>0</v>
      </c>
      <c r="Q147" s="33"/>
      <c r="R147" s="33"/>
      <c r="S147" s="133"/>
      <c r="T147" s="33">
        <v>0</v>
      </c>
      <c r="U147" s="33">
        <v>0</v>
      </c>
      <c r="V147" s="33">
        <v>1</v>
      </c>
      <c r="W147" s="24"/>
      <c r="X147" s="24"/>
      <c r="Y147" s="24"/>
    </row>
    <row r="148" spans="1:25" ht="14.4">
      <c r="A148" s="117">
        <v>1</v>
      </c>
      <c r="B148" s="331" t="s">
        <v>5020</v>
      </c>
      <c r="C148" s="22">
        <v>148</v>
      </c>
      <c r="D148" s="22">
        <v>10</v>
      </c>
      <c r="E148" s="22" t="s">
        <v>5021</v>
      </c>
      <c r="F148" s="121" t="str">
        <f>HYPERLINK("https://difabel.tempo.co/read/1218143/menyesap-wangi-kopi-barista-inklusi ","sumber")</f>
        <v>sumber</v>
      </c>
      <c r="G148" s="22" t="s">
        <v>1</v>
      </c>
      <c r="H148" s="22">
        <v>790</v>
      </c>
      <c r="I148" s="22">
        <v>3</v>
      </c>
      <c r="J148" s="22">
        <v>2</v>
      </c>
      <c r="K148" s="123" t="s">
        <v>5022</v>
      </c>
      <c r="L148" s="22">
        <v>0</v>
      </c>
      <c r="M148" s="22">
        <v>0</v>
      </c>
      <c r="N148" s="125">
        <v>0</v>
      </c>
      <c r="O148" s="125">
        <v>0</v>
      </c>
      <c r="P148" s="22">
        <v>0</v>
      </c>
      <c r="Q148" s="22" t="s">
        <v>159</v>
      </c>
      <c r="R148" s="22" t="s">
        <v>29</v>
      </c>
      <c r="S148" s="134"/>
      <c r="T148" s="22">
        <v>0</v>
      </c>
      <c r="U148" s="22">
        <v>0</v>
      </c>
      <c r="V148" s="22">
        <v>1</v>
      </c>
      <c r="W148" s="23"/>
      <c r="X148" s="23"/>
      <c r="Y148" s="23"/>
    </row>
    <row r="149" spans="1:25" ht="14.4">
      <c r="A149" s="111">
        <v>2</v>
      </c>
      <c r="B149" s="330" t="s">
        <v>5023</v>
      </c>
      <c r="C149" s="25">
        <v>149</v>
      </c>
      <c r="D149" s="26"/>
      <c r="E149" s="25" t="s">
        <v>584</v>
      </c>
      <c r="F149" s="115" t="str">
        <f>HYPERLINK("https://tirto.id/hasil-sidang-mk-dibacakan-siang-ini-mk-jelaskan-3-pilihan-putusan-eday ","sumber")</f>
        <v>sumber</v>
      </c>
      <c r="G149" s="25" t="s">
        <v>1</v>
      </c>
      <c r="H149" s="26"/>
      <c r="I149" s="26"/>
      <c r="J149" s="26"/>
      <c r="K149" s="124"/>
      <c r="L149" s="26"/>
      <c r="M149" s="26"/>
      <c r="N149" s="26"/>
      <c r="O149" s="26"/>
      <c r="P149" s="26"/>
      <c r="Q149" s="26"/>
      <c r="R149" s="26"/>
      <c r="S149" s="124"/>
      <c r="T149" s="26"/>
      <c r="U149" s="26"/>
      <c r="V149" s="26"/>
      <c r="W149" s="26"/>
      <c r="X149" s="26"/>
      <c r="Y149" s="26"/>
    </row>
    <row r="150" spans="1:25" ht="13.2">
      <c r="A150" s="179">
        <v>2</v>
      </c>
      <c r="B150" s="180" t="s">
        <v>5024</v>
      </c>
      <c r="C150" s="25">
        <v>150</v>
      </c>
      <c r="D150" s="26"/>
      <c r="E150" s="25" t="s">
        <v>241</v>
      </c>
      <c r="F150" s="115" t="str">
        <f>HYPERLINK("https://metro.tempo.co/read/1219334/begini-maruf-amin-di-mata-tetangga-yang-senang-sekaligus-sedih ","sumber")</f>
        <v>sumber</v>
      </c>
      <c r="G150" s="25" t="s">
        <v>1</v>
      </c>
      <c r="H150" s="26"/>
      <c r="I150" s="26"/>
      <c r="J150" s="26"/>
      <c r="K150" s="124"/>
      <c r="L150" s="26"/>
      <c r="M150" s="26"/>
      <c r="N150" s="26"/>
      <c r="O150" s="26"/>
      <c r="P150" s="26"/>
      <c r="Q150" s="26"/>
      <c r="R150" s="26"/>
      <c r="S150" s="124"/>
      <c r="T150" s="26"/>
      <c r="U150" s="26"/>
      <c r="V150" s="26"/>
      <c r="W150" s="26"/>
      <c r="X150" s="26"/>
      <c r="Y150" s="26"/>
    </row>
    <row r="151" spans="1:25" ht="14.4">
      <c r="A151" s="111">
        <v>2</v>
      </c>
      <c r="B151" s="330" t="s">
        <v>5025</v>
      </c>
      <c r="C151" s="25">
        <v>151</v>
      </c>
      <c r="D151" s="26"/>
      <c r="E151" s="25" t="s">
        <v>809</v>
      </c>
      <c r="F151" s="115" t="str">
        <f>HYPERLINK("https://lifestyle.okezone.com/read/2019/06/28/196/2072319/kurayakan-ulang-tahunmu-dengan-akad ","sumber")</f>
        <v>sumber</v>
      </c>
      <c r="G151" s="25" t="s">
        <v>1</v>
      </c>
      <c r="H151" s="26"/>
      <c r="I151" s="26"/>
      <c r="J151" s="26"/>
      <c r="K151" s="124"/>
      <c r="L151" s="26"/>
      <c r="M151" s="26"/>
      <c r="N151" s="26"/>
      <c r="O151" s="26"/>
      <c r="P151" s="26"/>
      <c r="Q151" s="26"/>
      <c r="R151" s="26"/>
      <c r="S151" s="124"/>
      <c r="T151" s="26"/>
      <c r="U151" s="26"/>
      <c r="V151" s="26"/>
      <c r="W151" s="26"/>
      <c r="X151" s="26"/>
      <c r="Y151" s="26"/>
    </row>
    <row r="152" spans="1:25" ht="14.4">
      <c r="A152" s="310">
        <v>1</v>
      </c>
      <c r="B152" s="331" t="s">
        <v>5026</v>
      </c>
      <c r="C152" s="22">
        <v>152</v>
      </c>
      <c r="D152" s="22">
        <v>10</v>
      </c>
      <c r="E152" s="222">
        <v>43503</v>
      </c>
      <c r="F152" s="121" t="str">
        <f>HYPERLINK("https://nasional.tempo.co/read/1220525/mui-minta-masyarakat-tenang-hadapi-kasus-anjing-masuk-masjid ","sumber")</f>
        <v>sumber</v>
      </c>
      <c r="G152" s="22" t="s">
        <v>1</v>
      </c>
      <c r="H152" s="22">
        <v>1</v>
      </c>
      <c r="I152" s="22">
        <v>4</v>
      </c>
      <c r="J152" s="22">
        <v>2</v>
      </c>
      <c r="K152" s="123" t="s">
        <v>5027</v>
      </c>
      <c r="L152" s="22">
        <v>0</v>
      </c>
      <c r="M152" s="22">
        <v>0</v>
      </c>
      <c r="N152" s="125">
        <v>0</v>
      </c>
      <c r="O152" s="125">
        <v>0</v>
      </c>
      <c r="P152" s="22">
        <v>0</v>
      </c>
      <c r="Q152" s="22" t="s">
        <v>29</v>
      </c>
      <c r="R152" s="22" t="s">
        <v>29</v>
      </c>
      <c r="S152" s="134"/>
      <c r="T152" s="22">
        <v>0</v>
      </c>
      <c r="U152" s="22">
        <v>0</v>
      </c>
      <c r="V152" s="22">
        <v>0</v>
      </c>
      <c r="W152" s="23"/>
      <c r="X152" s="23"/>
      <c r="Y152" s="23"/>
    </row>
    <row r="153" spans="1:25" ht="14.4">
      <c r="A153" s="126">
        <v>1</v>
      </c>
      <c r="B153" s="319" t="s">
        <v>5028</v>
      </c>
      <c r="C153" s="33">
        <v>153</v>
      </c>
      <c r="D153" s="33">
        <v>7</v>
      </c>
      <c r="E153" s="288">
        <v>43623</v>
      </c>
      <c r="F153" s="130" t="str">
        <f>HYPERLINK("https://www.tribunnews.com/regional/2019/07/20/seorang-anak-di-cianjur-gali-kuburan-ayahnya-lalu-jasadnya-dibawa-pulang-ke-rumah ","sumber")</f>
        <v>sumber</v>
      </c>
      <c r="G153" s="33" t="s">
        <v>1</v>
      </c>
      <c r="H153" s="33">
        <v>1</v>
      </c>
      <c r="I153" s="33">
        <v>2</v>
      </c>
      <c r="J153" s="33">
        <v>2</v>
      </c>
      <c r="K153" s="131" t="s">
        <v>5029</v>
      </c>
      <c r="L153" s="33">
        <v>0</v>
      </c>
      <c r="M153" s="33">
        <v>0</v>
      </c>
      <c r="N153" s="132">
        <v>0</v>
      </c>
      <c r="O153" s="132">
        <v>0</v>
      </c>
      <c r="P153" s="33">
        <v>0</v>
      </c>
      <c r="Q153" s="33">
        <v>0</v>
      </c>
      <c r="R153" s="33">
        <v>0</v>
      </c>
      <c r="S153" s="133"/>
      <c r="T153" s="33">
        <v>0</v>
      </c>
      <c r="U153" s="33">
        <v>0</v>
      </c>
      <c r="V153" s="33">
        <v>0</v>
      </c>
      <c r="W153" s="24"/>
      <c r="X153" s="24"/>
      <c r="Y153" s="24"/>
    </row>
    <row r="154" spans="1:25" ht="14.4">
      <c r="A154" s="126">
        <v>1</v>
      </c>
      <c r="B154" s="319" t="s">
        <v>5030</v>
      </c>
      <c r="C154" s="33">
        <v>154</v>
      </c>
      <c r="D154" s="33">
        <v>1</v>
      </c>
      <c r="E154" s="288">
        <v>43653</v>
      </c>
      <c r="F154" s="130" t="str">
        <f>HYPERLINK("https://news.detik.com/berita-jawa-barat/d-4633210/anak-bongkar-makam-dan-bopong-jasad-ayah-polisi-dia-gangguan-jiwa ","sumber")</f>
        <v>sumber</v>
      </c>
      <c r="G154" s="33" t="s">
        <v>1</v>
      </c>
      <c r="H154" s="33">
        <v>1</v>
      </c>
      <c r="I154" s="33">
        <v>2</v>
      </c>
      <c r="J154" s="33">
        <v>2</v>
      </c>
      <c r="K154" s="131" t="s">
        <v>5029</v>
      </c>
      <c r="L154" s="33">
        <v>0</v>
      </c>
      <c r="M154" s="33">
        <v>0</v>
      </c>
      <c r="N154" s="132">
        <v>0</v>
      </c>
      <c r="O154" s="132">
        <v>0</v>
      </c>
      <c r="P154" s="33">
        <v>0</v>
      </c>
      <c r="Q154" s="33">
        <v>0</v>
      </c>
      <c r="R154" s="33">
        <v>0</v>
      </c>
      <c r="S154" s="133"/>
      <c r="T154" s="33">
        <v>0</v>
      </c>
      <c r="U154" s="33">
        <v>0</v>
      </c>
      <c r="V154" s="33">
        <v>0</v>
      </c>
      <c r="W154" s="24"/>
      <c r="X154" s="24"/>
      <c r="Y154" s="24"/>
    </row>
    <row r="155" spans="1:25" ht="14.4">
      <c r="A155" s="117">
        <v>1</v>
      </c>
      <c r="B155" s="331" t="s">
        <v>5031</v>
      </c>
      <c r="C155" s="22">
        <v>155</v>
      </c>
      <c r="D155" s="22">
        <v>9</v>
      </c>
      <c r="E155" s="222">
        <v>43715</v>
      </c>
      <c r="F155" s="121" t="str">
        <f>HYPERLINK("https://khazanah.republika.co.id/berita/pud7la313/penyandang-disabilitas-beri-masukan-soal-alquran-braille ","sumber")</f>
        <v>sumber</v>
      </c>
      <c r="G155" s="22" t="s">
        <v>1</v>
      </c>
      <c r="H155" s="22">
        <v>373</v>
      </c>
      <c r="I155" s="22">
        <v>3</v>
      </c>
      <c r="J155" s="22">
        <v>2</v>
      </c>
      <c r="K155" s="123" t="s">
        <v>5032</v>
      </c>
      <c r="L155" s="22">
        <v>0</v>
      </c>
      <c r="M155" s="22">
        <v>0</v>
      </c>
      <c r="N155" s="125">
        <v>0</v>
      </c>
      <c r="O155" s="125">
        <v>0</v>
      </c>
      <c r="P155" s="22">
        <v>0</v>
      </c>
      <c r="Q155" s="22" t="s">
        <v>178</v>
      </c>
      <c r="R155" s="22" t="s">
        <v>160</v>
      </c>
      <c r="S155" s="134"/>
      <c r="T155" s="22">
        <v>0</v>
      </c>
      <c r="U155" s="22">
        <v>0</v>
      </c>
      <c r="V155" s="22">
        <v>1</v>
      </c>
      <c r="W155" s="23"/>
      <c r="X155" s="23"/>
      <c r="Y155" s="23"/>
    </row>
    <row r="156" spans="1:25" ht="14.4">
      <c r="A156" s="111">
        <v>2</v>
      </c>
      <c r="B156" s="330" t="s">
        <v>5033</v>
      </c>
      <c r="C156" s="25">
        <v>156</v>
      </c>
      <c r="D156" s="26"/>
      <c r="E156" s="234">
        <v>43776</v>
      </c>
      <c r="F156" s="115" t="str">
        <f>HYPERLINK("https://pilpres.tempo.co/read/1223476/kuasa-hukum-bantah-kabar-permohonan-ke-ma-tanpa-diketahui-prabowo ","sumber")</f>
        <v>sumber</v>
      </c>
      <c r="G156" s="25" t="s">
        <v>1</v>
      </c>
      <c r="H156" s="26"/>
      <c r="I156" s="26"/>
      <c r="J156" s="26"/>
      <c r="K156" s="124"/>
      <c r="L156" s="26"/>
      <c r="M156" s="26"/>
      <c r="N156" s="26"/>
      <c r="O156" s="26"/>
      <c r="P156" s="26"/>
      <c r="Q156" s="26"/>
      <c r="R156" s="26"/>
      <c r="S156" s="124"/>
      <c r="T156" s="26"/>
      <c r="U156" s="26"/>
      <c r="V156" s="26"/>
      <c r="W156" s="26"/>
      <c r="X156" s="26"/>
      <c r="Y156" s="26"/>
    </row>
    <row r="157" spans="1:25" ht="14.4">
      <c r="A157" s="126">
        <v>1</v>
      </c>
      <c r="B157" s="319" t="s">
        <v>5034</v>
      </c>
      <c r="C157" s="33">
        <v>157</v>
      </c>
      <c r="D157" s="33">
        <v>4</v>
      </c>
      <c r="E157" s="33" t="s">
        <v>4214</v>
      </c>
      <c r="F157" s="130" t="str">
        <f>HYPERLINK("https://www.liputan6.com/news/read/4002169/dewan-masjid-minta-umat-tak-terpancing-insiden-perempuan-bawa-anjing ","sumber")</f>
        <v>sumber</v>
      </c>
      <c r="G157" s="33" t="s">
        <v>1</v>
      </c>
      <c r="H157" s="33">
        <v>1</v>
      </c>
      <c r="I157" s="33">
        <v>1</v>
      </c>
      <c r="J157" s="33">
        <v>4</v>
      </c>
      <c r="K157" s="131" t="s">
        <v>5035</v>
      </c>
      <c r="L157" s="33">
        <v>0</v>
      </c>
      <c r="M157" s="33">
        <v>0</v>
      </c>
      <c r="N157" s="132">
        <v>0</v>
      </c>
      <c r="O157" s="132">
        <v>0</v>
      </c>
      <c r="P157" s="33">
        <v>0</v>
      </c>
      <c r="Q157" s="33" t="s">
        <v>29</v>
      </c>
      <c r="R157" s="33" t="s">
        <v>30</v>
      </c>
      <c r="S157" s="133"/>
      <c r="T157" s="33">
        <v>0</v>
      </c>
      <c r="U157" s="33">
        <v>0</v>
      </c>
      <c r="V157" s="33">
        <v>0</v>
      </c>
      <c r="W157" s="24"/>
      <c r="X157" s="24"/>
      <c r="Y157" s="24"/>
    </row>
    <row r="158" spans="1:25" ht="14.4">
      <c r="A158" s="126">
        <v>1</v>
      </c>
      <c r="B158" s="319" t="s">
        <v>5036</v>
      </c>
      <c r="C158" s="33">
        <v>158</v>
      </c>
      <c r="D158" s="33">
        <v>7</v>
      </c>
      <c r="E158" s="33" t="s">
        <v>4214</v>
      </c>
      <c r="F158" s="130" t="str">
        <f>HYPERLINK("https://www.tribunnews.com/regional/2019/07/15/perempuan-penderita-gangguan-jiwa-mengamuk-sel-satpol-pp-denpasar-dirusak ","sumber")</f>
        <v>sumber</v>
      </c>
      <c r="G158" s="33" t="s">
        <v>1</v>
      </c>
      <c r="H158" s="33">
        <v>2</v>
      </c>
      <c r="I158" s="33">
        <v>1</v>
      </c>
      <c r="J158" s="33">
        <v>2</v>
      </c>
      <c r="K158" s="131" t="s">
        <v>5037</v>
      </c>
      <c r="L158" s="33">
        <v>0</v>
      </c>
      <c r="M158" s="33">
        <v>0</v>
      </c>
      <c r="N158" s="132">
        <v>0</v>
      </c>
      <c r="O158" s="132">
        <v>0</v>
      </c>
      <c r="P158" s="33">
        <v>0</v>
      </c>
      <c r="Q158" s="33">
        <v>0</v>
      </c>
      <c r="R158" s="33">
        <v>0</v>
      </c>
      <c r="S158" s="133"/>
      <c r="T158" s="33">
        <v>0</v>
      </c>
      <c r="U158" s="33">
        <v>0</v>
      </c>
      <c r="V158" s="33">
        <v>0</v>
      </c>
      <c r="W158" s="24"/>
      <c r="X158" s="24"/>
      <c r="Y158" s="24"/>
    </row>
    <row r="159" spans="1:25" ht="14.4">
      <c r="A159" s="126">
        <v>1</v>
      </c>
      <c r="B159" s="319" t="s">
        <v>5038</v>
      </c>
      <c r="C159" s="33">
        <v>159</v>
      </c>
      <c r="D159" s="33">
        <v>2</v>
      </c>
      <c r="E159" s="33" t="s">
        <v>399</v>
      </c>
      <c r="F159" s="130" t="str">
        <f>HYPERLINK("https://www.cnnindonesia.com/nasional/20190702171503-12-408364/idap-skizofrenia-perempuan-bawa-anjing-dirujuk-ke-rs-jiwa ","sumber")</f>
        <v>sumber</v>
      </c>
      <c r="G159" s="33" t="s">
        <v>1</v>
      </c>
      <c r="H159" s="33">
        <v>1</v>
      </c>
      <c r="I159" s="33">
        <v>2</v>
      </c>
      <c r="J159" s="33">
        <v>2</v>
      </c>
      <c r="K159" s="131" t="s">
        <v>5039</v>
      </c>
      <c r="L159" s="33">
        <v>0</v>
      </c>
      <c r="M159" s="33">
        <v>0</v>
      </c>
      <c r="N159" s="132">
        <v>0</v>
      </c>
      <c r="O159" s="132">
        <v>0</v>
      </c>
      <c r="P159" s="33">
        <v>0</v>
      </c>
      <c r="Q159" s="33">
        <v>0</v>
      </c>
      <c r="R159" s="33">
        <v>0</v>
      </c>
      <c r="S159" s="133"/>
      <c r="T159" s="33">
        <v>0</v>
      </c>
      <c r="U159" s="33">
        <v>0</v>
      </c>
      <c r="V159" s="33">
        <v>0</v>
      </c>
      <c r="W159" s="24"/>
      <c r="X159" s="24"/>
      <c r="Y159" s="24"/>
    </row>
    <row r="160" spans="1:25" ht="14.4">
      <c r="A160" s="111">
        <v>2</v>
      </c>
      <c r="B160" s="330" t="s">
        <v>5040</v>
      </c>
      <c r="C160" s="25">
        <v>160</v>
      </c>
      <c r="D160" s="26"/>
      <c r="E160" s="25" t="s">
        <v>263</v>
      </c>
      <c r="F160" s="115" t="str">
        <f>HYPERLINK("https://sport.detik.com/sepakbola/liga-inggris/d-4636746/guardiola-jadwal-sibuk-sepakbola-membunuh-pemain-man-city ","sumber")</f>
        <v>sumber</v>
      </c>
      <c r="G160" s="25" t="s">
        <v>1</v>
      </c>
      <c r="H160" s="26"/>
      <c r="I160" s="26"/>
      <c r="J160" s="26"/>
      <c r="K160" s="124"/>
      <c r="L160" s="26"/>
      <c r="M160" s="26"/>
      <c r="N160" s="26"/>
      <c r="O160" s="26"/>
      <c r="P160" s="26"/>
      <c r="Q160" s="26"/>
      <c r="R160" s="26"/>
      <c r="S160" s="124"/>
      <c r="T160" s="26"/>
      <c r="U160" s="26"/>
      <c r="V160" s="26"/>
      <c r="W160" s="26"/>
      <c r="X160" s="26"/>
      <c r="Y160" s="26"/>
    </row>
    <row r="161" spans="1:25" ht="14.4">
      <c r="A161" s="310">
        <v>1</v>
      </c>
      <c r="B161" s="331" t="s">
        <v>5041</v>
      </c>
      <c r="C161" s="22">
        <v>161</v>
      </c>
      <c r="D161" s="22">
        <v>8</v>
      </c>
      <c r="E161" s="22" t="s">
        <v>2423</v>
      </c>
      <c r="F161" s="121" t="str">
        <f>HYPERLINK("https://www.suara.com/news/2019/07/28/230526/kasus-dokter-romi-digagalkan-jadi-asn-kemen-pppa-kami-tidak-mentolerir ","sumber")</f>
        <v>sumber</v>
      </c>
      <c r="G161" s="22" t="s">
        <v>1</v>
      </c>
      <c r="H161" s="22">
        <v>1</v>
      </c>
      <c r="I161" s="22">
        <v>1</v>
      </c>
      <c r="J161" s="22">
        <v>2</v>
      </c>
      <c r="K161" s="123" t="s">
        <v>5042</v>
      </c>
      <c r="L161" s="22">
        <v>0</v>
      </c>
      <c r="M161" s="147">
        <v>0</v>
      </c>
      <c r="N161" s="125">
        <v>0</v>
      </c>
      <c r="O161" s="125">
        <v>0</v>
      </c>
      <c r="P161" s="22">
        <v>0</v>
      </c>
      <c r="Q161" s="22" t="s">
        <v>87</v>
      </c>
      <c r="R161" s="22" t="s">
        <v>5043</v>
      </c>
      <c r="S161" s="134"/>
      <c r="T161" s="22">
        <v>0</v>
      </c>
      <c r="U161" s="22">
        <v>0</v>
      </c>
      <c r="V161" s="22">
        <v>1</v>
      </c>
      <c r="W161" s="23"/>
      <c r="X161" s="23"/>
      <c r="Y161" s="23"/>
    </row>
    <row r="162" spans="1:25" ht="14.4">
      <c r="A162" s="111">
        <v>2</v>
      </c>
      <c r="B162" s="330" t="s">
        <v>5044</v>
      </c>
      <c r="C162" s="25">
        <v>162</v>
      </c>
      <c r="D162" s="26"/>
      <c r="E162" s="234">
        <v>43473</v>
      </c>
      <c r="F162" s="115" t="str">
        <f>HYPERLINK("https://bola.kompas.com/read/2019/08/01/17200028/keluar-dari-rumah-sakit-begini-kondisi-asep-berlian ","sumber")</f>
        <v>sumber</v>
      </c>
      <c r="G162" s="25" t="s">
        <v>1</v>
      </c>
      <c r="H162" s="26"/>
      <c r="I162" s="26"/>
      <c r="J162" s="26"/>
      <c r="K162" s="124"/>
      <c r="L162" s="26"/>
      <c r="M162" s="26"/>
      <c r="N162" s="26"/>
      <c r="O162" s="26"/>
      <c r="P162" s="26"/>
      <c r="Q162" s="26"/>
      <c r="R162" s="26"/>
      <c r="S162" s="124"/>
      <c r="T162" s="26"/>
      <c r="U162" s="26"/>
      <c r="V162" s="26"/>
      <c r="W162" s="26"/>
      <c r="X162" s="26"/>
      <c r="Y162" s="26"/>
    </row>
    <row r="163" spans="1:25" ht="14.4">
      <c r="A163" s="310">
        <v>1</v>
      </c>
      <c r="B163" s="331" t="s">
        <v>5045</v>
      </c>
      <c r="C163" s="22">
        <v>163</v>
      </c>
      <c r="D163" s="22">
        <v>10</v>
      </c>
      <c r="E163" s="222">
        <v>43473</v>
      </c>
      <c r="F163" s="121" t="str">
        <f>HYPERLINK("https://nasional.tempo.co/read/1230872/mendagri-penolakan-drg-romi-jadi-pns-tidak-beralasan ","sumber")</f>
        <v>sumber</v>
      </c>
      <c r="G163" s="22" t="s">
        <v>1</v>
      </c>
      <c r="H163" s="22">
        <v>1</v>
      </c>
      <c r="I163" s="22">
        <v>1</v>
      </c>
      <c r="J163" s="22">
        <v>2</v>
      </c>
      <c r="K163" s="123" t="s">
        <v>5046</v>
      </c>
      <c r="L163" s="22">
        <v>0</v>
      </c>
      <c r="M163" s="147">
        <v>0</v>
      </c>
      <c r="N163" s="125">
        <v>0</v>
      </c>
      <c r="O163" s="125">
        <v>0</v>
      </c>
      <c r="P163" s="22">
        <v>0</v>
      </c>
      <c r="Q163" s="22" t="s">
        <v>29</v>
      </c>
      <c r="R163" s="22" t="s">
        <v>160</v>
      </c>
      <c r="S163" s="134"/>
      <c r="T163" s="22">
        <v>0</v>
      </c>
      <c r="U163" s="22">
        <v>0</v>
      </c>
      <c r="V163" s="22">
        <v>1</v>
      </c>
      <c r="W163" s="23"/>
      <c r="X163" s="23"/>
      <c r="Y163" s="23"/>
    </row>
    <row r="164" spans="1:25" ht="14.4">
      <c r="A164" s="111">
        <v>2</v>
      </c>
      <c r="B164" s="330" t="s">
        <v>5047</v>
      </c>
      <c r="C164" s="25">
        <v>164</v>
      </c>
      <c r="D164" s="26"/>
      <c r="E164" s="234">
        <v>43654</v>
      </c>
      <c r="F164" s="115" t="str">
        <f>HYPERLINK("https://republika.co.id/berita/pvubzq385/ada-apa-dengan-taliban-nusantara ","sumber")</f>
        <v>sumber</v>
      </c>
      <c r="G164" s="25" t="s">
        <v>1</v>
      </c>
      <c r="H164" s="26"/>
      <c r="I164" s="26"/>
      <c r="J164" s="26"/>
      <c r="K164" s="124"/>
      <c r="L164" s="26"/>
      <c r="M164" s="26"/>
      <c r="N164" s="26"/>
      <c r="O164" s="26"/>
      <c r="P164" s="26"/>
      <c r="Q164" s="26"/>
      <c r="R164" s="26"/>
      <c r="S164" s="124"/>
      <c r="T164" s="26"/>
      <c r="U164" s="26"/>
      <c r="V164" s="26"/>
      <c r="W164" s="26"/>
      <c r="X164" s="26"/>
      <c r="Y164" s="26"/>
    </row>
    <row r="165" spans="1:25" ht="14.4">
      <c r="A165" s="126">
        <v>1</v>
      </c>
      <c r="B165" s="319" t="s">
        <v>5048</v>
      </c>
      <c r="C165" s="33">
        <v>165</v>
      </c>
      <c r="D165" s="33">
        <v>10</v>
      </c>
      <c r="E165" s="288">
        <v>43654</v>
      </c>
      <c r="F165" s="130" t="str">
        <f>HYPERLINK("https://metro.tempo.co/read/1241106/dki-salurkan-7-137-kartu-penyandang-disabilitas ","sumber")</f>
        <v>sumber</v>
      </c>
      <c r="G165" s="33" t="s">
        <v>1</v>
      </c>
      <c r="H165" s="33">
        <v>1</v>
      </c>
      <c r="I165" s="33">
        <v>1</v>
      </c>
      <c r="J165" s="33">
        <v>2</v>
      </c>
      <c r="K165" s="131" t="s">
        <v>5049</v>
      </c>
      <c r="L165" s="33">
        <v>0</v>
      </c>
      <c r="M165" s="33">
        <v>0</v>
      </c>
      <c r="N165" s="132">
        <v>0</v>
      </c>
      <c r="O165" s="132">
        <v>0</v>
      </c>
      <c r="P165" s="33">
        <v>0</v>
      </c>
      <c r="Q165" s="33">
        <v>0</v>
      </c>
      <c r="R165" s="33">
        <v>1</v>
      </c>
      <c r="S165" s="133"/>
      <c r="T165" s="33">
        <v>0</v>
      </c>
      <c r="U165" s="33">
        <v>0</v>
      </c>
      <c r="V165" s="33">
        <v>1</v>
      </c>
      <c r="W165" s="24"/>
      <c r="X165" s="24"/>
      <c r="Y165" s="24"/>
    </row>
    <row r="166" spans="1:25" ht="14.4">
      <c r="A166" s="126">
        <v>1</v>
      </c>
      <c r="B166" s="319" t="s">
        <v>5050</v>
      </c>
      <c r="C166" s="33">
        <v>166</v>
      </c>
      <c r="D166" s="33">
        <v>10</v>
      </c>
      <c r="E166" s="288">
        <v>43777</v>
      </c>
      <c r="F166" s="130" t="str">
        <f>HYPERLINK("https://difabel.tempo.co/read/1231973/garuda-inaf-organisasi-sepak-bola-penyandang-disabilitas-daksa ","sumber")</f>
        <v>sumber</v>
      </c>
      <c r="G166" s="33" t="s">
        <v>1</v>
      </c>
      <c r="H166" s="33">
        <v>1</v>
      </c>
      <c r="I166" s="33">
        <v>2</v>
      </c>
      <c r="J166" s="33">
        <v>2</v>
      </c>
      <c r="K166" s="131" t="s">
        <v>5051</v>
      </c>
      <c r="L166" s="33">
        <v>0</v>
      </c>
      <c r="M166" s="33">
        <v>0</v>
      </c>
      <c r="N166" s="132">
        <v>0</v>
      </c>
      <c r="O166" s="132">
        <v>0</v>
      </c>
      <c r="P166" s="33">
        <v>0</v>
      </c>
      <c r="Q166" s="33" t="s">
        <v>29</v>
      </c>
      <c r="R166" s="33" t="s">
        <v>160</v>
      </c>
      <c r="S166" s="133"/>
      <c r="T166" s="33">
        <v>0</v>
      </c>
      <c r="U166" s="33">
        <v>0</v>
      </c>
      <c r="V166" s="33">
        <v>1</v>
      </c>
      <c r="W166" s="24"/>
      <c r="X166" s="24"/>
      <c r="Y166" s="24"/>
    </row>
    <row r="167" spans="1:25" ht="14.4">
      <c r="A167" s="117">
        <v>1</v>
      </c>
      <c r="B167" s="331" t="s">
        <v>5052</v>
      </c>
      <c r="C167" s="22">
        <v>167</v>
      </c>
      <c r="D167" s="22">
        <v>7</v>
      </c>
      <c r="E167" s="222">
        <v>43807</v>
      </c>
      <c r="F167" s="121" t="str">
        <f>HYPERLINK("https://www.tribunnews.com/internasional/2019/08/12/wanita-penyandang-disabilitas-ini-tak-boleh-masuk-ke-kantor-pemerintah-karena-gunakan-celana-pendek ","sumber")</f>
        <v>sumber</v>
      </c>
      <c r="G167" s="22" t="s">
        <v>1</v>
      </c>
      <c r="H167" s="22">
        <v>3</v>
      </c>
      <c r="I167" s="22">
        <v>1</v>
      </c>
      <c r="J167" s="22">
        <v>2</v>
      </c>
      <c r="K167" s="123" t="s">
        <v>5053</v>
      </c>
      <c r="L167" s="22">
        <v>0</v>
      </c>
      <c r="M167" s="22">
        <v>0</v>
      </c>
      <c r="N167" s="125">
        <v>0</v>
      </c>
      <c r="O167" s="125">
        <v>0</v>
      </c>
      <c r="P167" s="22">
        <v>0</v>
      </c>
      <c r="Q167" s="22">
        <v>2</v>
      </c>
      <c r="R167" s="22">
        <v>1</v>
      </c>
      <c r="S167" s="134"/>
      <c r="T167" s="22">
        <v>0</v>
      </c>
      <c r="U167" s="22">
        <v>0</v>
      </c>
      <c r="V167" s="22">
        <v>1</v>
      </c>
      <c r="W167" s="23"/>
      <c r="X167" s="23"/>
      <c r="Y167" s="23"/>
    </row>
    <row r="168" spans="1:25" ht="14.4">
      <c r="A168" s="126">
        <v>1</v>
      </c>
      <c r="B168" s="319" t="s">
        <v>5054</v>
      </c>
      <c r="C168" s="33">
        <v>168</v>
      </c>
      <c r="D168" s="33">
        <v>10</v>
      </c>
      <c r="E168" s="33" t="s">
        <v>2055</v>
      </c>
      <c r="F168" s="130" t="str">
        <f>HYPERLINK("https://sport.tempo.co/read/1238204/tenis-dunia-lee-duck-hee-torehan-bersejarah-atlet-tuna-rungu ","sumber")</f>
        <v>sumber</v>
      </c>
      <c r="G168" s="33" t="s">
        <v>1</v>
      </c>
      <c r="H168" s="33">
        <v>1</v>
      </c>
      <c r="I168" s="33">
        <v>2</v>
      </c>
      <c r="J168" s="33">
        <v>2</v>
      </c>
      <c r="K168" s="131" t="s">
        <v>5055</v>
      </c>
      <c r="L168" s="33">
        <v>0</v>
      </c>
      <c r="M168" s="33">
        <v>0</v>
      </c>
      <c r="N168" s="132">
        <v>0</v>
      </c>
      <c r="O168" s="132">
        <v>0</v>
      </c>
      <c r="P168" s="33">
        <v>0</v>
      </c>
      <c r="Q168" s="33">
        <v>2</v>
      </c>
      <c r="R168" s="33">
        <v>1</v>
      </c>
      <c r="S168" s="133"/>
      <c r="T168" s="33">
        <v>0</v>
      </c>
      <c r="U168" s="33">
        <v>0</v>
      </c>
      <c r="V168" s="33">
        <v>1</v>
      </c>
      <c r="W168" s="24"/>
      <c r="X168" s="24"/>
      <c r="Y168" s="24"/>
    </row>
    <row r="169" spans="1:25" ht="14.4">
      <c r="A169" s="111">
        <v>2</v>
      </c>
      <c r="B169" s="330" t="s">
        <v>5056</v>
      </c>
      <c r="C169" s="25">
        <v>169</v>
      </c>
      <c r="D169" s="26"/>
      <c r="E169" s="25" t="s">
        <v>271</v>
      </c>
      <c r="F169" s="115" t="str">
        <f>HYPERLINK("https://sports.okezone.com/read/2019/08/14/38/2091932/ciabatti-dovizioso-tampil-melebihi-ekspektasi-di-austria ","sumber")</f>
        <v>sumber</v>
      </c>
      <c r="G169" s="25" t="s">
        <v>1</v>
      </c>
      <c r="H169" s="26"/>
      <c r="I169" s="26"/>
      <c r="J169" s="26"/>
      <c r="K169" s="124"/>
      <c r="L169" s="26"/>
      <c r="M169" s="26"/>
      <c r="N169" s="26"/>
      <c r="O169" s="26"/>
      <c r="P169" s="26"/>
      <c r="Q169" s="26"/>
      <c r="R169" s="26"/>
      <c r="S169" s="124"/>
      <c r="T169" s="26"/>
      <c r="U169" s="26"/>
      <c r="V169" s="26"/>
      <c r="W169" s="26"/>
      <c r="X169" s="26"/>
      <c r="Y169" s="26"/>
    </row>
    <row r="170" spans="1:25" ht="14.4">
      <c r="A170" s="111">
        <v>2</v>
      </c>
      <c r="B170" s="330" t="s">
        <v>5057</v>
      </c>
      <c r="C170" s="25">
        <v>170</v>
      </c>
      <c r="D170" s="26"/>
      <c r="E170" s="25" t="s">
        <v>5058</v>
      </c>
      <c r="F170" s="115" t="str">
        <f>HYPERLINK("https://www.cnnindonesia.com/olahraga/20190821214106-142-423578/respons-pssi-soal-protes-tiket-timnas-indonesia-vs-malaysia ","sumber")</f>
        <v>sumber</v>
      </c>
      <c r="G170" s="25" t="s">
        <v>1</v>
      </c>
      <c r="H170" s="26"/>
      <c r="I170" s="26"/>
      <c r="J170" s="26"/>
      <c r="K170" s="124"/>
      <c r="L170" s="26"/>
      <c r="M170" s="26"/>
      <c r="N170" s="26"/>
      <c r="O170" s="26"/>
      <c r="P170" s="26"/>
      <c r="Q170" s="26"/>
      <c r="R170" s="26"/>
      <c r="S170" s="124"/>
      <c r="T170" s="26"/>
      <c r="U170" s="26"/>
      <c r="V170" s="26"/>
      <c r="W170" s="26"/>
      <c r="X170" s="26"/>
      <c r="Y170" s="26"/>
    </row>
    <row r="171" spans="1:25" ht="14.4">
      <c r="A171" s="126">
        <v>1</v>
      </c>
      <c r="B171" s="319" t="s">
        <v>5059</v>
      </c>
      <c r="C171" s="33">
        <v>171</v>
      </c>
      <c r="D171" s="33">
        <v>9</v>
      </c>
      <c r="E171" s="33" t="s">
        <v>274</v>
      </c>
      <c r="F171" s="130" t="str">
        <f>HYPERLINK("https://nasional.republika.co.id/berita/pw27gk384/600-disabilitas-ikuti-shalat-idul-adha-di-istiqlal ","sumber")</f>
        <v>sumber</v>
      </c>
      <c r="G171" s="33" t="s">
        <v>1</v>
      </c>
      <c r="H171" s="33">
        <v>1</v>
      </c>
      <c r="I171" s="33">
        <v>3</v>
      </c>
      <c r="J171" s="33">
        <v>2</v>
      </c>
      <c r="K171" s="131" t="s">
        <v>5060</v>
      </c>
      <c r="L171" s="33">
        <v>0</v>
      </c>
      <c r="M171" s="33">
        <v>0</v>
      </c>
      <c r="N171" s="132">
        <v>0</v>
      </c>
      <c r="O171" s="132">
        <v>0</v>
      </c>
      <c r="P171" s="33">
        <v>0</v>
      </c>
      <c r="Q171" s="33">
        <v>0</v>
      </c>
      <c r="R171" s="33">
        <v>1</v>
      </c>
      <c r="S171" s="133"/>
      <c r="T171" s="33">
        <v>0</v>
      </c>
      <c r="U171" s="33">
        <v>0</v>
      </c>
      <c r="V171" s="33">
        <v>0</v>
      </c>
      <c r="W171" s="24"/>
      <c r="X171" s="24"/>
      <c r="Y171" s="24"/>
    </row>
    <row r="172" spans="1:25" ht="14.4">
      <c r="A172" s="126">
        <v>1</v>
      </c>
      <c r="B172" s="319" t="s">
        <v>5061</v>
      </c>
      <c r="C172" s="33">
        <v>172</v>
      </c>
      <c r="D172" s="33">
        <v>3</v>
      </c>
      <c r="E172" s="33" t="s">
        <v>278</v>
      </c>
      <c r="F172" s="130" t="str">
        <f>HYPERLINK("https://news.okezone.com/read/2019/08/12/65/2090893/tak-lagi-pakai-tongkat-aplikasi-ini-mudahkan-tuna-netra-berjalan ","sumber")</f>
        <v>sumber</v>
      </c>
      <c r="G172" s="33" t="s">
        <v>1</v>
      </c>
      <c r="H172" s="33">
        <v>3</v>
      </c>
      <c r="I172" s="33">
        <v>2</v>
      </c>
      <c r="J172" s="33">
        <v>2</v>
      </c>
      <c r="K172" s="131" t="s">
        <v>5062</v>
      </c>
      <c r="L172" s="33">
        <v>0</v>
      </c>
      <c r="M172" s="33">
        <v>0</v>
      </c>
      <c r="N172" s="132">
        <v>0</v>
      </c>
      <c r="O172" s="132">
        <v>0</v>
      </c>
      <c r="P172" s="33">
        <v>0</v>
      </c>
      <c r="Q172" s="33">
        <v>0</v>
      </c>
      <c r="R172" s="33">
        <v>1</v>
      </c>
      <c r="S172" s="133"/>
      <c r="T172" s="33">
        <v>0</v>
      </c>
      <c r="U172" s="33">
        <v>0</v>
      </c>
      <c r="V172" s="33">
        <v>1</v>
      </c>
      <c r="W172" s="24"/>
      <c r="X172" s="24"/>
      <c r="Y172" s="24"/>
    </row>
    <row r="173" spans="1:25" ht="14.4">
      <c r="A173" s="111">
        <v>2</v>
      </c>
      <c r="B173" s="330" t="s">
        <v>5063</v>
      </c>
      <c r="C173" s="25">
        <v>173</v>
      </c>
      <c r="D173" s="26"/>
      <c r="E173" s="25" t="s">
        <v>278</v>
      </c>
      <c r="F173" s="115" t="str">
        <f>HYPERLINK("https://dunia.tempo.co/read/1240384/peringatan-75-tahun-pembebasan-paris-dari-nazi ","sumber")</f>
        <v>sumber</v>
      </c>
      <c r="G173" s="25" t="s">
        <v>1</v>
      </c>
      <c r="H173" s="26"/>
      <c r="I173" s="26"/>
      <c r="J173" s="26"/>
      <c r="K173" s="124"/>
      <c r="L173" s="26"/>
      <c r="M173" s="26"/>
      <c r="N173" s="26"/>
      <c r="O173" s="26"/>
      <c r="P173" s="26"/>
      <c r="Q173" s="26"/>
      <c r="R173" s="26"/>
      <c r="S173" s="124"/>
      <c r="T173" s="26"/>
      <c r="U173" s="26"/>
      <c r="V173" s="26"/>
      <c r="W173" s="26"/>
      <c r="X173" s="26"/>
      <c r="Y173" s="26"/>
    </row>
    <row r="174" spans="1:25" ht="14.4">
      <c r="A174" s="111">
        <v>2</v>
      </c>
      <c r="B174" s="330" t="s">
        <v>5064</v>
      </c>
      <c r="C174" s="25">
        <v>174</v>
      </c>
      <c r="D174" s="26"/>
      <c r="E174" s="234">
        <v>43474</v>
      </c>
      <c r="F174" s="115" t="str">
        <f>HYPERLINK("https://www.cnnindonesia.com/olahraga/20190827160547-142-425068/jalan-berliku-gonzales-ke-timnas-indonesia ","sumber")</f>
        <v>sumber</v>
      </c>
      <c r="G174" s="25" t="s">
        <v>1</v>
      </c>
      <c r="H174" s="26"/>
      <c r="I174" s="26"/>
      <c r="J174" s="26"/>
      <c r="K174" s="124"/>
      <c r="L174" s="26"/>
      <c r="M174" s="26"/>
      <c r="N174" s="26"/>
      <c r="O174" s="26"/>
      <c r="P174" s="26"/>
      <c r="Q174" s="26"/>
      <c r="R174" s="26"/>
      <c r="S174" s="124"/>
      <c r="T174" s="26"/>
      <c r="U174" s="26"/>
      <c r="V174" s="26"/>
      <c r="W174" s="26"/>
      <c r="X174" s="26"/>
      <c r="Y174" s="26"/>
    </row>
    <row r="175" spans="1:25" ht="14.4">
      <c r="A175" s="117">
        <v>1</v>
      </c>
      <c r="B175" s="331" t="s">
        <v>5065</v>
      </c>
      <c r="C175" s="22">
        <v>175</v>
      </c>
      <c r="D175" s="22">
        <v>9</v>
      </c>
      <c r="E175" s="222">
        <v>43474</v>
      </c>
      <c r="F175" s="121" t="str">
        <f>HYPERLINK("https://gayahidup.republika.co.id/berita/pwzez119000/kenali-gejala-autisme-pada-anak-usia-dini ","sumber")</f>
        <v>sumber</v>
      </c>
      <c r="G175" s="22" t="s">
        <v>1</v>
      </c>
      <c r="H175" s="22">
        <v>228</v>
      </c>
      <c r="I175" s="22">
        <v>2</v>
      </c>
      <c r="J175" s="22">
        <v>2</v>
      </c>
      <c r="K175" s="123" t="s">
        <v>5066</v>
      </c>
      <c r="L175" s="22">
        <v>0</v>
      </c>
      <c r="M175" s="22">
        <v>0</v>
      </c>
      <c r="N175" s="125">
        <v>0</v>
      </c>
      <c r="O175" s="125">
        <v>0</v>
      </c>
      <c r="P175" s="22">
        <v>0</v>
      </c>
      <c r="Q175" s="22">
        <v>0</v>
      </c>
      <c r="R175" s="22">
        <v>1</v>
      </c>
      <c r="S175" s="134"/>
      <c r="T175" s="22">
        <v>0</v>
      </c>
      <c r="U175" s="22">
        <v>0</v>
      </c>
      <c r="V175" s="22">
        <v>1</v>
      </c>
      <c r="W175" s="23"/>
      <c r="X175" s="23"/>
      <c r="Y175" s="23"/>
    </row>
    <row r="176" spans="1:25" ht="14.4">
      <c r="A176" s="111">
        <v>2</v>
      </c>
      <c r="B176" s="330" t="s">
        <v>5067</v>
      </c>
      <c r="C176" s="25">
        <v>176</v>
      </c>
      <c r="D176" s="25">
        <v>7</v>
      </c>
      <c r="E176" s="234">
        <v>43474</v>
      </c>
      <c r="F176" s="115" t="str">
        <f>HYPERLINK("https://www.tribunnews.com/seleb/2019/09/01/tayang-malam-ini-minggu-1-september-2019-3-days-to-kill-di-bioskop-trans-tv-pukul-2100-wib ","sumber")</f>
        <v>sumber</v>
      </c>
      <c r="G176" s="25" t="s">
        <v>1</v>
      </c>
      <c r="H176" s="25"/>
      <c r="I176" s="25" t="s">
        <v>5068</v>
      </c>
      <c r="J176" s="26"/>
      <c r="K176" s="124"/>
      <c r="L176" s="26"/>
      <c r="M176" s="26"/>
      <c r="N176" s="26"/>
      <c r="O176" s="26"/>
      <c r="P176" s="26"/>
      <c r="Q176" s="26"/>
      <c r="R176" s="26"/>
      <c r="S176" s="124"/>
      <c r="T176" s="26"/>
      <c r="U176" s="26"/>
      <c r="V176" s="26"/>
      <c r="W176" s="26"/>
      <c r="X176" s="26"/>
      <c r="Y176" s="26"/>
    </row>
    <row r="177" spans="1:25" ht="14.4">
      <c r="A177" s="111">
        <v>2</v>
      </c>
      <c r="B177" s="330" t="s">
        <v>5069</v>
      </c>
      <c r="C177" s="25">
        <v>177</v>
      </c>
      <c r="D177" s="26"/>
      <c r="E177" s="234">
        <v>43505</v>
      </c>
      <c r="F177" s="115" t="str">
        <f>HYPERLINK("https://hot.detik.com/movie/d-4689946/sri-asih-film-jagoan-yang-bakal-tayang-setelah-gundala ","sumber")</f>
        <v>sumber</v>
      </c>
      <c r="G177" s="25" t="s">
        <v>1</v>
      </c>
      <c r="H177" s="26"/>
      <c r="I177" s="26"/>
      <c r="J177" s="26"/>
      <c r="K177" s="124"/>
      <c r="L177" s="26"/>
      <c r="M177" s="26"/>
      <c r="N177" s="26"/>
      <c r="O177" s="26"/>
      <c r="P177" s="26"/>
      <c r="Q177" s="26"/>
      <c r="R177" s="26"/>
      <c r="S177" s="124"/>
      <c r="T177" s="26"/>
      <c r="U177" s="26"/>
      <c r="V177" s="26"/>
      <c r="W177" s="26"/>
      <c r="X177" s="26"/>
      <c r="Y177" s="26"/>
    </row>
    <row r="178" spans="1:25" ht="14.4">
      <c r="A178" s="111">
        <v>2</v>
      </c>
      <c r="B178" s="330" t="s">
        <v>5070</v>
      </c>
      <c r="C178" s="25">
        <v>178</v>
      </c>
      <c r="D178" s="26"/>
      <c r="E178" s="234">
        <v>43505</v>
      </c>
      <c r="F178" s="115" t="str">
        <f>HYPERLINK("https://www.tribunnews.com/nasional/2019/09/02/kbri-riyadh-terima-cek-santunan-korban-crane-senilai-851-miliar-dari-raja-salman ","sumber")</f>
        <v>sumber</v>
      </c>
      <c r="G178" s="25" t="s">
        <v>1</v>
      </c>
      <c r="H178" s="26"/>
      <c r="I178" s="26"/>
      <c r="J178" s="26"/>
      <c r="K178" s="124"/>
      <c r="L178" s="26"/>
      <c r="M178" s="26"/>
      <c r="N178" s="26"/>
      <c r="O178" s="26"/>
      <c r="P178" s="26"/>
      <c r="Q178" s="26"/>
      <c r="R178" s="26"/>
      <c r="S178" s="124"/>
      <c r="T178" s="26"/>
      <c r="U178" s="26"/>
      <c r="V178" s="26"/>
      <c r="W178" s="26"/>
      <c r="X178" s="26"/>
      <c r="Y178" s="26"/>
    </row>
    <row r="179" spans="1:25" ht="14.4">
      <c r="A179" s="111">
        <v>2</v>
      </c>
      <c r="B179" s="330" t="s">
        <v>5071</v>
      </c>
      <c r="C179" s="25">
        <v>179</v>
      </c>
      <c r="D179" s="26"/>
      <c r="E179" s="234">
        <v>43533</v>
      </c>
      <c r="F179" s="115" t="str">
        <f>HYPERLINK("https://senggang.republika.co.id/berita/px8hq9328/ltemgtcinta-itu-butaltemgt-adaptasi-film-drama-komedi-filipina ","sumber")</f>
        <v>sumber</v>
      </c>
      <c r="G179" s="25" t="s">
        <v>1</v>
      </c>
      <c r="H179" s="26"/>
      <c r="I179" s="26"/>
      <c r="J179" s="26"/>
      <c r="K179" s="124"/>
      <c r="L179" s="26"/>
      <c r="M179" s="26"/>
      <c r="N179" s="26"/>
      <c r="O179" s="26"/>
      <c r="P179" s="26"/>
      <c r="Q179" s="26"/>
      <c r="R179" s="26"/>
      <c r="S179" s="124"/>
      <c r="T179" s="26"/>
      <c r="U179" s="26"/>
      <c r="V179" s="26"/>
      <c r="W179" s="26"/>
      <c r="X179" s="26"/>
      <c r="Y179" s="26"/>
    </row>
    <row r="180" spans="1:25" ht="14.4">
      <c r="A180" s="111">
        <v>2</v>
      </c>
      <c r="B180" s="330" t="s">
        <v>5072</v>
      </c>
      <c r="C180" s="25">
        <v>180</v>
      </c>
      <c r="D180" s="26"/>
      <c r="E180" s="234">
        <v>43564</v>
      </c>
      <c r="F180" s="115" t="str">
        <f>HYPERLINK("https://index.okezone.com/read/2019/09/03/612/2100335/bisakah-dunia-menjadi-lebih-baik-selama-masih-ada-netizen ","sumber")</f>
        <v>sumber</v>
      </c>
      <c r="G180" s="25" t="s">
        <v>1</v>
      </c>
      <c r="H180" s="26"/>
      <c r="I180" s="26"/>
      <c r="J180" s="26"/>
      <c r="K180" s="124"/>
      <c r="L180" s="26"/>
      <c r="M180" s="26"/>
      <c r="N180" s="26"/>
      <c r="O180" s="26"/>
      <c r="P180" s="26"/>
      <c r="Q180" s="26"/>
      <c r="R180" s="26"/>
      <c r="S180" s="124"/>
      <c r="T180" s="26"/>
      <c r="U180" s="26"/>
      <c r="V180" s="26"/>
      <c r="W180" s="26"/>
      <c r="X180" s="26"/>
      <c r="Y180" s="26"/>
    </row>
    <row r="181" spans="1:25" ht="14.4">
      <c r="A181" s="117">
        <v>1</v>
      </c>
      <c r="B181" s="331" t="s">
        <v>5073</v>
      </c>
      <c r="C181" s="22">
        <v>181</v>
      </c>
      <c r="D181" s="22">
        <v>9</v>
      </c>
      <c r="E181" s="222">
        <v>43564</v>
      </c>
      <c r="F181" s="121" t="str">
        <f>HYPERLINK("https://nasional.republika.co.id/berita/pxacx3328/stiker-pengecualian-ganjil-genap-untuk-disabilitas-dibagikan ","sumber")</f>
        <v>sumber</v>
      </c>
      <c r="G181" s="22" t="s">
        <v>1</v>
      </c>
      <c r="H181" s="22">
        <v>1</v>
      </c>
      <c r="I181" s="22">
        <v>4</v>
      </c>
      <c r="J181" s="22">
        <v>2</v>
      </c>
      <c r="K181" s="123" t="s">
        <v>5074</v>
      </c>
      <c r="L181" s="22">
        <v>0</v>
      </c>
      <c r="M181" s="22">
        <v>0</v>
      </c>
      <c r="N181" s="125">
        <v>0</v>
      </c>
      <c r="O181" s="125">
        <v>0</v>
      </c>
      <c r="P181" s="22">
        <v>0</v>
      </c>
      <c r="Q181" s="22">
        <v>0</v>
      </c>
      <c r="R181" s="22">
        <v>1</v>
      </c>
      <c r="S181" s="134"/>
      <c r="T181" s="22">
        <v>0</v>
      </c>
      <c r="U181" s="22">
        <v>0</v>
      </c>
      <c r="V181" s="22">
        <v>1</v>
      </c>
      <c r="W181" s="23"/>
      <c r="X181" s="23"/>
      <c r="Y181" s="23"/>
    </row>
    <row r="182" spans="1:25" ht="14.4">
      <c r="A182" s="126">
        <v>1</v>
      </c>
      <c r="B182" s="319" t="s">
        <v>5075</v>
      </c>
      <c r="C182" s="33">
        <v>182</v>
      </c>
      <c r="D182" s="33">
        <v>10</v>
      </c>
      <c r="E182" s="288">
        <v>43564</v>
      </c>
      <c r="F182" s="130" t="str">
        <f>HYPERLINK("https://metro.tempo.co/read/1243588/dki-bagikan-stiker-penyandang-disabilitas-untuk-ganjil-genap ","sumber")</f>
        <v>sumber</v>
      </c>
      <c r="G182" s="33" t="s">
        <v>1</v>
      </c>
      <c r="H182" s="33">
        <v>1</v>
      </c>
      <c r="I182" s="33">
        <v>4</v>
      </c>
      <c r="J182" s="33">
        <v>2</v>
      </c>
      <c r="K182" s="131" t="s">
        <v>5076</v>
      </c>
      <c r="L182" s="33">
        <v>0</v>
      </c>
      <c r="M182" s="33">
        <v>0</v>
      </c>
      <c r="N182" s="132">
        <v>0</v>
      </c>
      <c r="O182" s="132">
        <v>0</v>
      </c>
      <c r="P182" s="33">
        <v>0</v>
      </c>
      <c r="Q182" s="33">
        <v>0</v>
      </c>
      <c r="R182" s="33">
        <v>1</v>
      </c>
      <c r="S182" s="133"/>
      <c r="T182" s="33">
        <v>0</v>
      </c>
      <c r="U182" s="33">
        <v>0</v>
      </c>
      <c r="V182" s="33">
        <v>1</v>
      </c>
      <c r="W182" s="24"/>
      <c r="X182" s="24"/>
      <c r="Y182" s="24"/>
    </row>
    <row r="183" spans="1:25" ht="14.4">
      <c r="A183" s="117">
        <v>1</v>
      </c>
      <c r="B183" s="331" t="s">
        <v>5077</v>
      </c>
      <c r="C183" s="22">
        <v>183</v>
      </c>
      <c r="D183" s="22">
        <v>5</v>
      </c>
      <c r="E183" s="222">
        <v>43564</v>
      </c>
      <c r="F183" s="121" t="str">
        <f>HYPERLINK("https://tirto.id/salah-kaprah-ruqyah-menyembuhkan-lgbt-yang-nirfaedah-ehtE ","sumber")</f>
        <v>sumber</v>
      </c>
      <c r="G183" s="22" t="s">
        <v>1</v>
      </c>
      <c r="H183" s="22">
        <v>2284</v>
      </c>
      <c r="I183" s="22">
        <v>1</v>
      </c>
      <c r="J183" s="22">
        <v>3</v>
      </c>
      <c r="K183" s="123" t="s">
        <v>5078</v>
      </c>
      <c r="L183" s="22">
        <v>0</v>
      </c>
      <c r="M183" s="22">
        <v>0</v>
      </c>
      <c r="N183" s="125">
        <v>0</v>
      </c>
      <c r="O183" s="125">
        <v>0</v>
      </c>
      <c r="P183" s="22">
        <v>0</v>
      </c>
      <c r="Q183" s="22" t="s">
        <v>5079</v>
      </c>
      <c r="R183" s="123" t="s">
        <v>5080</v>
      </c>
      <c r="S183" s="134"/>
      <c r="T183" s="22">
        <v>0</v>
      </c>
      <c r="U183" s="22">
        <v>0</v>
      </c>
      <c r="V183" s="22">
        <v>1</v>
      </c>
      <c r="W183" s="23"/>
      <c r="X183" s="23"/>
      <c r="Y183" s="23"/>
    </row>
    <row r="184" spans="1:25" ht="14.4">
      <c r="A184" s="111">
        <v>2</v>
      </c>
      <c r="B184" s="330" t="s">
        <v>3255</v>
      </c>
      <c r="C184" s="25">
        <v>184</v>
      </c>
      <c r="D184" s="26"/>
      <c r="E184" s="25" t="s">
        <v>649</v>
      </c>
      <c r="F184" s="115" t="str">
        <f>HYPERLINK("https://www.tribunnews.com/seleb/2019/09/28/5-film-indonesia-siap-tayang-oktober-2019-dari-cinta-itu-buta-hingga-ajari-aku-islam ","sumber")</f>
        <v>sumber</v>
      </c>
      <c r="G184" s="25" t="s">
        <v>1</v>
      </c>
      <c r="H184" s="26"/>
      <c r="I184" s="26"/>
      <c r="J184" s="26"/>
      <c r="K184" s="124"/>
      <c r="L184" s="26"/>
      <c r="M184" s="26"/>
      <c r="N184" s="26"/>
      <c r="O184" s="26"/>
      <c r="P184" s="26"/>
      <c r="Q184" s="26"/>
      <c r="R184" s="26"/>
      <c r="S184" s="124"/>
      <c r="T184" s="26"/>
      <c r="U184" s="26"/>
      <c r="V184" s="26"/>
      <c r="W184" s="26"/>
      <c r="X184" s="26"/>
      <c r="Y184" s="26"/>
    </row>
    <row r="185" spans="1:25" ht="14.4">
      <c r="A185" s="126">
        <v>1</v>
      </c>
      <c r="B185" s="319" t="s">
        <v>5081</v>
      </c>
      <c r="C185" s="33">
        <v>185</v>
      </c>
      <c r="D185" s="33">
        <v>3</v>
      </c>
      <c r="E185" s="288">
        <v>43586</v>
      </c>
      <c r="F185" s="130" t="str">
        <f>HYPERLINK("https://news.okezone.com/read/2019/01/12/18/2003420/penyanyi-rap-gay-ditembak-mati-di-puerto-rico ","sumber")</f>
        <v>sumber</v>
      </c>
      <c r="G185" s="33" t="s">
        <v>1</v>
      </c>
      <c r="H185" s="33">
        <v>2</v>
      </c>
      <c r="I185" s="33">
        <v>1</v>
      </c>
      <c r="J185" s="33">
        <v>3</v>
      </c>
      <c r="K185" s="131" t="s">
        <v>5082</v>
      </c>
      <c r="L185" s="33">
        <v>0</v>
      </c>
      <c r="M185" s="33">
        <v>0</v>
      </c>
      <c r="N185" s="132">
        <v>0</v>
      </c>
      <c r="O185" s="132">
        <v>0</v>
      </c>
      <c r="P185" s="33">
        <v>0</v>
      </c>
      <c r="Q185" s="33">
        <v>0</v>
      </c>
      <c r="R185" s="33">
        <v>1</v>
      </c>
      <c r="S185" s="133"/>
      <c r="T185" s="33">
        <v>0</v>
      </c>
      <c r="U185" s="33">
        <v>0</v>
      </c>
      <c r="V185" s="33">
        <v>1</v>
      </c>
      <c r="W185" s="24"/>
      <c r="X185" s="24"/>
      <c r="Y185" s="24"/>
    </row>
    <row r="186" spans="1:25" ht="14.4">
      <c r="A186" s="117">
        <v>1</v>
      </c>
      <c r="B186" s="331" t="s">
        <v>5083</v>
      </c>
      <c r="C186" s="22">
        <v>186</v>
      </c>
      <c r="D186" s="22">
        <v>10</v>
      </c>
      <c r="E186" s="222">
        <v>43617</v>
      </c>
      <c r="F186" s="121" t="str">
        <f>HYPERLINK("https://metro.tempo.co/read/1162140/khawatirkan-lgbt-wali-kota-depok-keluarkan-surat-edaran ","sumber")</f>
        <v>sumber</v>
      </c>
      <c r="G186" s="22" t="s">
        <v>1</v>
      </c>
      <c r="H186" s="22">
        <v>283</v>
      </c>
      <c r="I186" s="22">
        <v>4</v>
      </c>
      <c r="J186" s="22">
        <v>3</v>
      </c>
      <c r="K186" s="123" t="s">
        <v>5084</v>
      </c>
      <c r="L186" s="22">
        <v>0</v>
      </c>
      <c r="M186" s="22">
        <v>0</v>
      </c>
      <c r="N186" s="125">
        <v>0</v>
      </c>
      <c r="O186" s="125">
        <v>0</v>
      </c>
      <c r="P186" s="22">
        <v>0</v>
      </c>
      <c r="Q186" s="22">
        <v>0</v>
      </c>
      <c r="R186" s="22">
        <v>-1</v>
      </c>
      <c r="S186" s="134"/>
      <c r="T186" s="22">
        <v>0</v>
      </c>
      <c r="U186" s="22">
        <v>0</v>
      </c>
      <c r="V186" s="22">
        <v>1</v>
      </c>
      <c r="W186" s="23"/>
      <c r="X186" s="23"/>
      <c r="Y186" s="23"/>
    </row>
    <row r="187" spans="1:25" ht="14.4">
      <c r="A187" s="126">
        <v>1</v>
      </c>
      <c r="B187" s="319" t="s">
        <v>5085</v>
      </c>
      <c r="C187" s="33">
        <v>187</v>
      </c>
      <c r="D187" s="33">
        <v>3</v>
      </c>
      <c r="E187" s="288">
        <v>43678</v>
      </c>
      <c r="F187" s="130" t="str">
        <f>HYPERLINK("https://news.okezone.com/read/2019/01/15/340/2004904/warga-geruduk-rumah-yang-dijadikan-tempat-kumpul-lgbt ","sumber")</f>
        <v>sumber</v>
      </c>
      <c r="G187" s="33" t="s">
        <v>1</v>
      </c>
      <c r="H187" s="33">
        <v>1</v>
      </c>
      <c r="I187" s="33">
        <v>1</v>
      </c>
      <c r="J187" s="33">
        <v>3</v>
      </c>
      <c r="K187" s="131" t="s">
        <v>5086</v>
      </c>
      <c r="L187" s="33">
        <v>0</v>
      </c>
      <c r="M187" s="33">
        <v>0</v>
      </c>
      <c r="N187" s="132">
        <v>0</v>
      </c>
      <c r="O187" s="132">
        <v>0</v>
      </c>
      <c r="P187" s="33">
        <v>0</v>
      </c>
      <c r="Q187" s="33" t="s">
        <v>53</v>
      </c>
      <c r="R187" s="33" t="s">
        <v>141</v>
      </c>
      <c r="S187" s="133"/>
      <c r="T187" s="33">
        <v>0</v>
      </c>
      <c r="U187" s="33">
        <v>0</v>
      </c>
      <c r="V187" s="33">
        <v>1</v>
      </c>
      <c r="W187" s="24"/>
      <c r="X187" s="24"/>
      <c r="Y187" s="24"/>
    </row>
    <row r="188" spans="1:25" ht="14.4">
      <c r="A188" s="126">
        <v>1</v>
      </c>
      <c r="B188" s="319" t="s">
        <v>5087</v>
      </c>
      <c r="C188" s="33">
        <v>188</v>
      </c>
      <c r="D188" s="33">
        <v>8</v>
      </c>
      <c r="E188" s="288">
        <v>43770</v>
      </c>
      <c r="F188" s="130" t="str">
        <f>HYPERLINK("https://www.suara.com/lifestyle/2019/01/18/190000/9-model-dunia-yang-mendobrak-standar-kecantikan ","sumber")</f>
        <v>sumber</v>
      </c>
      <c r="G188" s="33" t="s">
        <v>1</v>
      </c>
      <c r="H188" s="33">
        <v>2</v>
      </c>
      <c r="I188" s="33">
        <v>2</v>
      </c>
      <c r="J188" s="33">
        <v>2</v>
      </c>
      <c r="K188" s="131"/>
      <c r="L188" s="33">
        <v>0</v>
      </c>
      <c r="M188" s="33">
        <v>0</v>
      </c>
      <c r="N188" s="132">
        <v>0</v>
      </c>
      <c r="O188" s="132">
        <v>0</v>
      </c>
      <c r="P188" s="33">
        <v>0</v>
      </c>
      <c r="Q188" s="33"/>
      <c r="R188" s="33"/>
      <c r="S188" s="133"/>
      <c r="T188" s="33">
        <v>0</v>
      </c>
      <c r="U188" s="33">
        <v>0</v>
      </c>
      <c r="V188" s="33">
        <v>1</v>
      </c>
      <c r="W188" s="24"/>
      <c r="X188" s="24"/>
      <c r="Y188" s="24"/>
    </row>
    <row r="189" spans="1:25" ht="14.4">
      <c r="A189" s="126">
        <v>1</v>
      </c>
      <c r="B189" s="319" t="s">
        <v>5088</v>
      </c>
      <c r="C189" s="33">
        <v>189</v>
      </c>
      <c r="D189" s="33">
        <v>10</v>
      </c>
      <c r="E189" s="288">
        <v>43770</v>
      </c>
      <c r="F189" s="130" t="str">
        <f>HYPERLINK("https://dunia.tempo.co/read/1168530/wali-kota-gay-dari-demokrat-maju-untuk-pilpres-as-2020 ","sumber")</f>
        <v>sumber</v>
      </c>
      <c r="G189" s="33" t="s">
        <v>1</v>
      </c>
      <c r="H189" s="33">
        <v>2</v>
      </c>
      <c r="I189" s="33">
        <v>2</v>
      </c>
      <c r="J189" s="33">
        <v>3</v>
      </c>
      <c r="K189" s="131" t="s">
        <v>5089</v>
      </c>
      <c r="L189" s="33">
        <v>0</v>
      </c>
      <c r="M189" s="33">
        <v>0</v>
      </c>
      <c r="N189" s="132">
        <v>0</v>
      </c>
      <c r="O189" s="132">
        <v>0</v>
      </c>
      <c r="P189" s="33">
        <v>0</v>
      </c>
      <c r="Q189" s="33">
        <v>2</v>
      </c>
      <c r="R189" s="33">
        <v>1</v>
      </c>
      <c r="S189" s="133"/>
      <c r="T189" s="33">
        <v>0</v>
      </c>
      <c r="U189" s="33">
        <v>0</v>
      </c>
      <c r="V189" s="33">
        <v>1</v>
      </c>
      <c r="W189" s="24"/>
      <c r="X189" s="24"/>
      <c r="Y189" s="24"/>
    </row>
    <row r="190" spans="1:25" ht="14.4">
      <c r="A190" s="126">
        <v>1</v>
      </c>
      <c r="B190" s="319" t="s">
        <v>5090</v>
      </c>
      <c r="C190" s="33">
        <v>190</v>
      </c>
      <c r="D190" s="33">
        <v>8</v>
      </c>
      <c r="E190" s="33" t="s">
        <v>417</v>
      </c>
      <c r="F190" s="130" t="str">
        <f>HYPERLINK("https://www.suara.com/news/2019/01/20/174310/publik-indonesia-paham-ham-tapi-tak-setuju-karena-terkesan-membela-lgbt ","sumber")</f>
        <v>sumber</v>
      </c>
      <c r="G190" s="33" t="s">
        <v>1</v>
      </c>
      <c r="H190" s="33">
        <v>2</v>
      </c>
      <c r="I190" s="33">
        <v>2</v>
      </c>
      <c r="J190" s="33">
        <v>3</v>
      </c>
      <c r="K190" s="131" t="s">
        <v>5091</v>
      </c>
      <c r="L190" s="33">
        <v>0</v>
      </c>
      <c r="M190" s="33">
        <v>0</v>
      </c>
      <c r="N190" s="132">
        <v>0</v>
      </c>
      <c r="O190" s="132">
        <v>0</v>
      </c>
      <c r="P190" s="33">
        <v>0</v>
      </c>
      <c r="Q190" s="33">
        <v>0</v>
      </c>
      <c r="R190" s="33">
        <v>1</v>
      </c>
      <c r="S190" s="133"/>
      <c r="T190" s="33">
        <v>0</v>
      </c>
      <c r="U190" s="33">
        <v>0</v>
      </c>
      <c r="V190" s="33">
        <v>1</v>
      </c>
      <c r="W190" s="24"/>
      <c r="X190" s="24"/>
      <c r="Y190" s="24"/>
    </row>
    <row r="191" spans="1:25" ht="14.4">
      <c r="A191" s="117">
        <v>1</v>
      </c>
      <c r="B191" s="331" t="s">
        <v>5092</v>
      </c>
      <c r="C191" s="22">
        <v>191</v>
      </c>
      <c r="D191" s="22">
        <v>5</v>
      </c>
      <c r="E191" s="22" t="s">
        <v>657</v>
      </c>
      <c r="F191" s="121" t="str">
        <f>HYPERLINK("https://tirto.id/djalan-sampoerna-sejarah-hidup-seorang-lgbt-di-zaman-kolonial-debP ","sumber")</f>
        <v>sumber</v>
      </c>
      <c r="G191" s="22" t="s">
        <v>1</v>
      </c>
      <c r="H191" s="22">
        <v>1575</v>
      </c>
      <c r="I191" s="22">
        <v>2</v>
      </c>
      <c r="J191" s="22">
        <v>3</v>
      </c>
      <c r="K191" s="123" t="s">
        <v>5093</v>
      </c>
      <c r="L191" s="22">
        <v>0</v>
      </c>
      <c r="M191" s="22">
        <v>0</v>
      </c>
      <c r="N191" s="125">
        <v>0</v>
      </c>
      <c r="O191" s="125">
        <v>0</v>
      </c>
      <c r="P191" s="22">
        <v>0</v>
      </c>
      <c r="Q191" s="22" t="s">
        <v>21</v>
      </c>
      <c r="R191" s="22" t="s">
        <v>360</v>
      </c>
      <c r="S191" s="134"/>
      <c r="T191" s="22">
        <v>0</v>
      </c>
      <c r="U191" s="22">
        <v>0</v>
      </c>
      <c r="V191" s="22">
        <v>1</v>
      </c>
      <c r="W191" s="23"/>
      <c r="X191" s="23"/>
      <c r="Y191" s="23"/>
    </row>
    <row r="192" spans="1:25" ht="14.4">
      <c r="A192" s="117">
        <v>1</v>
      </c>
      <c r="B192" s="331" t="s">
        <v>5094</v>
      </c>
      <c r="C192" s="22">
        <v>192</v>
      </c>
      <c r="D192" s="22">
        <v>1</v>
      </c>
      <c r="E192" s="22" t="s">
        <v>5095</v>
      </c>
      <c r="F192" s="121" t="str">
        <f>HYPERLINK("https://news.detik.com/bbc-world/d-4392363/duh-jurnalis-muslim-perempuan-as-ditulis-jadi-aktris-pakistan-oleh-vogue ","sumber")</f>
        <v>sumber</v>
      </c>
      <c r="G192" s="22" t="s">
        <v>1</v>
      </c>
      <c r="H192" s="22">
        <v>475</v>
      </c>
      <c r="I192" s="22">
        <v>1</v>
      </c>
      <c r="J192" s="22">
        <v>3</v>
      </c>
      <c r="K192" s="123" t="s">
        <v>5096</v>
      </c>
      <c r="L192" s="22">
        <v>0</v>
      </c>
      <c r="M192" s="22">
        <v>0</v>
      </c>
      <c r="N192" s="125">
        <v>0</v>
      </c>
      <c r="O192" s="125">
        <v>0</v>
      </c>
      <c r="P192" s="22">
        <v>0</v>
      </c>
      <c r="Q192" s="22" t="s">
        <v>178</v>
      </c>
      <c r="R192" s="22" t="s">
        <v>160</v>
      </c>
      <c r="S192" s="123"/>
      <c r="T192" s="22">
        <v>0</v>
      </c>
      <c r="U192" s="22">
        <v>0</v>
      </c>
      <c r="V192" s="22">
        <v>0</v>
      </c>
      <c r="W192" s="23"/>
      <c r="X192" s="23"/>
      <c r="Y192" s="23"/>
    </row>
    <row r="193" spans="1:25" ht="14.4">
      <c r="A193" s="117">
        <v>1</v>
      </c>
      <c r="B193" s="331" t="s">
        <v>5097</v>
      </c>
      <c r="C193" s="22">
        <v>193</v>
      </c>
      <c r="D193" s="22">
        <v>2</v>
      </c>
      <c r="E193" s="22" t="s">
        <v>314</v>
      </c>
      <c r="F193" s="121" t="str">
        <f>HYPERLINK("https://www.cnnindonesia.com/gaya-hidup/20190125075621-277-363679/anna-wintour-kritik-sikap-diskriminatif-lgbt-margaret-court ","sumber")</f>
        <v>sumber</v>
      </c>
      <c r="G193" s="22" t="s">
        <v>1</v>
      </c>
      <c r="H193" s="22">
        <v>281</v>
      </c>
      <c r="I193" s="22">
        <v>1</v>
      </c>
      <c r="J193" s="22">
        <v>3</v>
      </c>
      <c r="K193" s="123" t="s">
        <v>5098</v>
      </c>
      <c r="L193" s="22">
        <v>0</v>
      </c>
      <c r="M193" s="22">
        <v>0</v>
      </c>
      <c r="N193" s="125">
        <v>0</v>
      </c>
      <c r="O193" s="125">
        <v>0</v>
      </c>
      <c r="P193" s="22">
        <v>0</v>
      </c>
      <c r="Q193" s="22">
        <v>0</v>
      </c>
      <c r="R193" s="22">
        <v>1</v>
      </c>
      <c r="S193" s="134"/>
      <c r="T193" s="22">
        <v>0</v>
      </c>
      <c r="U193" s="22">
        <v>0</v>
      </c>
      <c r="V193" s="22">
        <v>1</v>
      </c>
      <c r="W193" s="23"/>
      <c r="X193" s="23"/>
      <c r="Y193" s="23"/>
    </row>
    <row r="194" spans="1:25" ht="14.4">
      <c r="A194" s="111">
        <v>2</v>
      </c>
      <c r="B194" s="330" t="s">
        <v>5099</v>
      </c>
      <c r="C194" s="25">
        <v>194</v>
      </c>
      <c r="D194" s="25"/>
      <c r="E194" s="25" t="s">
        <v>55</v>
      </c>
      <c r="F194" s="115" t="str">
        <f>HYPERLINK("https://tirto.id/redneck-revolt-gerakan-kiri-kaum-kulit-putih-as-plus-senjata-api-dfaq","sumber")</f>
        <v>sumber</v>
      </c>
      <c r="G194" s="25" t="s">
        <v>1</v>
      </c>
      <c r="H194" s="26"/>
      <c r="I194" s="26"/>
      <c r="J194" s="26"/>
      <c r="K194" s="124"/>
      <c r="L194" s="26"/>
      <c r="M194" s="26"/>
      <c r="N194" s="26"/>
      <c r="O194" s="26"/>
      <c r="P194" s="26"/>
      <c r="Q194" s="26"/>
      <c r="R194" s="26"/>
      <c r="S194" s="124"/>
      <c r="T194" s="26"/>
      <c r="U194" s="26"/>
      <c r="V194" s="26"/>
      <c r="W194" s="26"/>
      <c r="X194" s="26"/>
      <c r="Y194" s="26"/>
    </row>
    <row r="195" spans="1:25" ht="14.4">
      <c r="A195" s="126">
        <v>1</v>
      </c>
      <c r="B195" s="319" t="s">
        <v>5100</v>
      </c>
      <c r="C195" s="33">
        <v>195</v>
      </c>
      <c r="D195" s="33">
        <v>1</v>
      </c>
      <c r="E195" s="33" t="s">
        <v>5101</v>
      </c>
      <c r="F195" s="130" t="str">
        <f>HYPERLINK("https://news.detik.com/internasional/d-4393926/wawancara-pria-gay-pembawa-acara-tv-mesir-dibui-1-tahun ","sumber")</f>
        <v>sumber</v>
      </c>
      <c r="G195" s="33" t="s">
        <v>1</v>
      </c>
      <c r="H195" s="33">
        <v>1</v>
      </c>
      <c r="I195" s="33">
        <v>2</v>
      </c>
      <c r="J195" s="33">
        <v>3</v>
      </c>
      <c r="K195" s="131"/>
      <c r="L195" s="33">
        <v>0</v>
      </c>
      <c r="M195" s="33">
        <v>0</v>
      </c>
      <c r="N195" s="132">
        <v>0</v>
      </c>
      <c r="O195" s="132">
        <v>0</v>
      </c>
      <c r="P195" s="33">
        <v>0</v>
      </c>
      <c r="Q195" s="33"/>
      <c r="R195" s="33"/>
      <c r="S195" s="133"/>
      <c r="T195" s="33">
        <v>0</v>
      </c>
      <c r="U195" s="33">
        <v>0</v>
      </c>
      <c r="V195" s="33">
        <v>1</v>
      </c>
      <c r="W195" s="24"/>
      <c r="X195" s="24"/>
      <c r="Y195" s="24"/>
    </row>
    <row r="196" spans="1:25" ht="14.4">
      <c r="A196" s="117">
        <v>1</v>
      </c>
      <c r="B196" s="331" t="s">
        <v>5102</v>
      </c>
      <c r="C196" s="22">
        <v>196</v>
      </c>
      <c r="D196" s="22">
        <v>1</v>
      </c>
      <c r="E196" s="22" t="s">
        <v>5101</v>
      </c>
      <c r="F196" s="121" t="str">
        <f>HYPERLINK("https://bola.okezone.com/read/2019/01/28/51/2010305/5-pemain-yang-ternyata-penyuka-sesama-jenis-nomor-2-menikah-pada-2013 ","sumber")</f>
        <v>sumber</v>
      </c>
      <c r="G196" s="22" t="s">
        <v>1</v>
      </c>
      <c r="H196" s="22">
        <v>798</v>
      </c>
      <c r="I196" s="22">
        <v>2</v>
      </c>
      <c r="J196" s="22">
        <v>3</v>
      </c>
      <c r="K196" s="123" t="s">
        <v>5103</v>
      </c>
      <c r="L196" s="22">
        <v>0</v>
      </c>
      <c r="M196" s="22">
        <v>0</v>
      </c>
      <c r="N196" s="125">
        <v>0</v>
      </c>
      <c r="O196" s="125">
        <v>0</v>
      </c>
      <c r="P196" s="22">
        <v>0</v>
      </c>
      <c r="Q196" s="22" t="s">
        <v>5104</v>
      </c>
      <c r="R196" s="22" t="s">
        <v>668</v>
      </c>
      <c r="S196" s="134"/>
      <c r="T196" s="22">
        <v>0</v>
      </c>
      <c r="U196" s="22">
        <v>0</v>
      </c>
      <c r="V196" s="22">
        <v>0</v>
      </c>
      <c r="W196" s="23"/>
      <c r="X196" s="23"/>
      <c r="Y196" s="23"/>
    </row>
    <row r="197" spans="1:25" ht="14.4">
      <c r="A197" s="117">
        <v>1</v>
      </c>
      <c r="B197" s="331" t="s">
        <v>5105</v>
      </c>
      <c r="C197" s="22">
        <v>197</v>
      </c>
      <c r="D197" s="22">
        <v>1</v>
      </c>
      <c r="E197" s="22" t="s">
        <v>4938</v>
      </c>
      <c r="F197" s="121" t="str">
        <f>HYPERLINK("https://news.detik.com/berita/d-4405694/komnas-perempuan-ruu-hapus-kekerasan-seksual-bukan-untuk-legalkan-zina ","sumber")</f>
        <v>sumber</v>
      </c>
      <c r="G197" s="22" t="s">
        <v>1</v>
      </c>
      <c r="H197" s="22">
        <v>370</v>
      </c>
      <c r="I197" s="22">
        <v>4</v>
      </c>
      <c r="J197" s="22">
        <v>1</v>
      </c>
      <c r="K197" s="123" t="s">
        <v>5106</v>
      </c>
      <c r="L197" s="22">
        <v>0</v>
      </c>
      <c r="M197" s="22">
        <v>0</v>
      </c>
      <c r="N197" s="125">
        <v>0</v>
      </c>
      <c r="O197" s="125">
        <v>0</v>
      </c>
      <c r="P197" s="22">
        <v>0</v>
      </c>
      <c r="Q197" s="22">
        <v>1</v>
      </c>
      <c r="R197" s="22">
        <v>1</v>
      </c>
      <c r="S197" s="134"/>
      <c r="T197" s="22">
        <v>0</v>
      </c>
      <c r="U197" s="22">
        <v>0</v>
      </c>
      <c r="V197" s="22">
        <v>0</v>
      </c>
      <c r="W197" s="23"/>
      <c r="X197" s="23"/>
      <c r="Y197" s="23"/>
    </row>
    <row r="198" spans="1:25" ht="14.4">
      <c r="A198" s="111">
        <v>2</v>
      </c>
      <c r="B198" s="330" t="s">
        <v>5107</v>
      </c>
      <c r="C198" s="25">
        <v>198</v>
      </c>
      <c r="D198" s="26"/>
      <c r="E198" s="25" t="s">
        <v>66</v>
      </c>
      <c r="F198" s="115" t="str">
        <f>HYPERLINK("https://www.suara.com/news/2019/01/31/112741/psi-senang-ada-spanduk-psi-dukung-hak-hak-lgbt-kenapa ","sumber")</f>
        <v>sumber</v>
      </c>
      <c r="G198" s="25" t="s">
        <v>1</v>
      </c>
      <c r="H198" s="26"/>
      <c r="I198" s="26"/>
      <c r="J198" s="26"/>
      <c r="K198" s="124"/>
      <c r="L198" s="26"/>
      <c r="M198" s="25"/>
      <c r="N198" s="26"/>
      <c r="O198" s="26"/>
      <c r="P198" s="26"/>
      <c r="Q198" s="26"/>
      <c r="R198" s="26"/>
      <c r="S198" s="124"/>
      <c r="T198" s="26"/>
      <c r="U198" s="26"/>
      <c r="V198" s="26"/>
      <c r="W198" s="26"/>
      <c r="X198" s="26"/>
      <c r="Y198" s="26"/>
    </row>
    <row r="199" spans="1:25" ht="14.4">
      <c r="A199" s="126">
        <v>1</v>
      </c>
      <c r="B199" s="319" t="s">
        <v>5108</v>
      </c>
      <c r="C199" s="33">
        <v>199</v>
      </c>
      <c r="D199" s="33">
        <v>7</v>
      </c>
      <c r="E199" s="33" t="s">
        <v>66</v>
      </c>
      <c r="F199" s="130" t="str">
        <f>HYPERLINK("http://www.tribunnews.com/regional/2019/01/24/ternyata-pencabul-34-anak-di-bandung-pernah-jadi-korban-kejahatan-seksual-saat-smp ","sumber")</f>
        <v>sumber</v>
      </c>
      <c r="G199" s="33" t="s">
        <v>1</v>
      </c>
      <c r="H199" s="33">
        <v>2</v>
      </c>
      <c r="I199" s="33">
        <v>2</v>
      </c>
      <c r="J199" s="33">
        <v>1</v>
      </c>
      <c r="K199" s="131" t="s">
        <v>5109</v>
      </c>
      <c r="L199" s="33">
        <v>0</v>
      </c>
      <c r="M199" s="33">
        <v>0</v>
      </c>
      <c r="N199" s="132">
        <v>0</v>
      </c>
      <c r="O199" s="33">
        <v>1</v>
      </c>
      <c r="P199" s="33">
        <v>-1</v>
      </c>
      <c r="Q199" s="33">
        <v>0</v>
      </c>
      <c r="R199" s="33">
        <v>0</v>
      </c>
      <c r="S199" s="133"/>
      <c r="T199" s="33">
        <v>0</v>
      </c>
      <c r="U199" s="33">
        <v>0</v>
      </c>
      <c r="V199" s="33">
        <v>0</v>
      </c>
      <c r="W199" s="24"/>
      <c r="X199" s="24"/>
      <c r="Y199" s="24"/>
    </row>
    <row r="200" spans="1:25" ht="14.4">
      <c r="A200" s="117">
        <v>1</v>
      </c>
      <c r="B200" s="331" t="s">
        <v>5110</v>
      </c>
      <c r="C200" s="22">
        <v>200</v>
      </c>
      <c r="D200" s="22">
        <v>2</v>
      </c>
      <c r="E200" s="222">
        <v>43467</v>
      </c>
      <c r="F200" s="121" t="str">
        <f>HYPERLINK("https://www.cnnindonesia.com/nasional/20190131173645-32-365482/politikus-psi-lgbt-itu-privat-bukan-posisi-kita-menghakimi ","sumber")</f>
        <v>sumber</v>
      </c>
      <c r="G200" s="22" t="s">
        <v>1</v>
      </c>
      <c r="H200" s="22" t="s">
        <v>5111</v>
      </c>
      <c r="I200" s="22">
        <v>1</v>
      </c>
      <c r="J200" s="22">
        <v>3</v>
      </c>
      <c r="K200" s="123" t="s">
        <v>5112</v>
      </c>
      <c r="L200" s="22">
        <v>0</v>
      </c>
      <c r="M200" s="22">
        <v>0</v>
      </c>
      <c r="N200" s="125">
        <v>0</v>
      </c>
      <c r="O200" s="125">
        <v>0</v>
      </c>
      <c r="P200" s="22">
        <v>0</v>
      </c>
      <c r="Q200" s="22">
        <v>0</v>
      </c>
      <c r="R200" s="22">
        <v>1</v>
      </c>
      <c r="S200" s="134"/>
      <c r="T200" s="22">
        <v>0</v>
      </c>
      <c r="U200" s="22">
        <v>0</v>
      </c>
      <c r="V200" s="22">
        <v>1</v>
      </c>
      <c r="W200" s="23"/>
      <c r="X200" s="23"/>
      <c r="Y200" s="23"/>
    </row>
    <row r="201" spans="1:25" ht="14.4">
      <c r="A201" s="111">
        <v>2</v>
      </c>
      <c r="B201" s="330" t="s">
        <v>5113</v>
      </c>
      <c r="C201" s="25">
        <v>201</v>
      </c>
      <c r="D201" s="25">
        <v>7</v>
      </c>
      <c r="E201" s="234">
        <v>43498</v>
      </c>
      <c r="F201" s="115" t="str">
        <f>HYPERLINK("http://www.tribunnews.com/regional/2019/01/24/ternyata-pencabul-34-anak-di-bandung-pernah-jadi-korban-kejahatan-seksual-saat-smp ","sumber")</f>
        <v>sumber</v>
      </c>
      <c r="G201" s="25" t="s">
        <v>1</v>
      </c>
      <c r="H201" s="25">
        <v>2</v>
      </c>
      <c r="I201" s="25">
        <v>2</v>
      </c>
      <c r="J201" s="25">
        <v>1</v>
      </c>
      <c r="K201" s="116"/>
      <c r="L201" s="25"/>
      <c r="M201" s="25"/>
      <c r="N201" s="151"/>
      <c r="O201" s="25"/>
      <c r="P201" s="25"/>
      <c r="Q201" s="25"/>
      <c r="R201" s="25"/>
      <c r="S201" s="124"/>
      <c r="T201" s="25"/>
      <c r="U201" s="25"/>
      <c r="V201" s="25"/>
      <c r="W201" s="26"/>
      <c r="X201" s="26"/>
      <c r="Y201" s="26"/>
    </row>
    <row r="202" spans="1:25" ht="14.4">
      <c r="A202" s="111">
        <v>2</v>
      </c>
      <c r="B202" s="330" t="s">
        <v>5114</v>
      </c>
      <c r="C202" s="25">
        <v>202</v>
      </c>
      <c r="D202" s="26"/>
      <c r="E202" s="234">
        <v>43618</v>
      </c>
      <c r="F202" s="115" t="str">
        <f>HYPERLINK("https://nasional.kompas.com/read/2019/02/06/12540881/kominfo-temukan-175-hoaks-sepanjang-januari-2019 ","sumber")</f>
        <v>sumber</v>
      </c>
      <c r="G202" s="25" t="s">
        <v>1</v>
      </c>
      <c r="H202" s="26"/>
      <c r="I202" s="26"/>
      <c r="J202" s="26"/>
      <c r="K202" s="124"/>
      <c r="L202" s="26"/>
      <c r="M202" s="26"/>
      <c r="N202" s="26"/>
      <c r="O202" s="26"/>
      <c r="P202" s="26"/>
      <c r="Q202" s="26"/>
      <c r="R202" s="26"/>
      <c r="S202" s="124"/>
      <c r="T202" s="26"/>
      <c r="U202" s="26"/>
      <c r="V202" s="26"/>
      <c r="W202" s="26"/>
      <c r="X202" s="26"/>
      <c r="Y202" s="26"/>
    </row>
    <row r="203" spans="1:25" ht="14.4">
      <c r="A203" s="126">
        <v>1</v>
      </c>
      <c r="B203" s="319" t="s">
        <v>5115</v>
      </c>
      <c r="C203" s="33">
        <v>203</v>
      </c>
      <c r="D203" s="33">
        <v>2</v>
      </c>
      <c r="E203" s="288">
        <v>43648</v>
      </c>
      <c r="F203" s="130" t="str">
        <f>HYPERLINK("https://www.cnnindonesia.com/hiburan/20190228125556-220-373424/konten-homoseksual-bohemian-rhapsody-dipotong-di-china ","sumber")</f>
        <v>sumber</v>
      </c>
      <c r="G203" s="33" t="s">
        <v>1</v>
      </c>
      <c r="H203" s="33">
        <v>1</v>
      </c>
      <c r="I203" s="33">
        <v>2</v>
      </c>
      <c r="J203" s="33">
        <v>3</v>
      </c>
      <c r="K203" s="131"/>
      <c r="L203" s="33">
        <v>0</v>
      </c>
      <c r="M203" s="33">
        <v>0</v>
      </c>
      <c r="N203" s="132">
        <v>0</v>
      </c>
      <c r="O203" s="132">
        <v>0</v>
      </c>
      <c r="P203" s="33">
        <v>0</v>
      </c>
      <c r="Q203" s="33"/>
      <c r="R203" s="33"/>
      <c r="S203" s="133"/>
      <c r="T203" s="33">
        <v>0</v>
      </c>
      <c r="U203" s="33">
        <v>0</v>
      </c>
      <c r="V203" s="33">
        <v>1</v>
      </c>
      <c r="W203" s="24"/>
      <c r="X203" s="24"/>
      <c r="Y203" s="24"/>
    </row>
    <row r="204" spans="1:25" ht="14.4">
      <c r="A204" s="126">
        <v>1</v>
      </c>
      <c r="B204" s="319" t="s">
        <v>5116</v>
      </c>
      <c r="C204" s="33">
        <v>204</v>
      </c>
      <c r="D204" s="33">
        <v>3</v>
      </c>
      <c r="E204" s="288">
        <v>43740</v>
      </c>
      <c r="F204" s="130" t="str">
        <f>HYPERLINK("https://news.okezone.com/read/2019/02/10/337/2015946/heboh-akun-ig-komik-gay-bertema-muslim-banjir-sumpah-serapah-netizen ","sumber")</f>
        <v>sumber</v>
      </c>
      <c r="G204" s="33" t="s">
        <v>1</v>
      </c>
      <c r="H204" s="33">
        <v>1</v>
      </c>
      <c r="I204" s="33">
        <v>2</v>
      </c>
      <c r="J204" s="33">
        <v>3</v>
      </c>
      <c r="K204" s="131" t="s">
        <v>5117</v>
      </c>
      <c r="L204" s="33">
        <v>0</v>
      </c>
      <c r="M204" s="33">
        <v>0</v>
      </c>
      <c r="N204" s="132">
        <v>0</v>
      </c>
      <c r="O204" s="132">
        <v>0</v>
      </c>
      <c r="P204" s="33">
        <v>0</v>
      </c>
      <c r="Q204" s="33" t="s">
        <v>21</v>
      </c>
      <c r="R204" s="33" t="s">
        <v>686</v>
      </c>
      <c r="S204" s="133"/>
      <c r="T204" s="33">
        <v>0</v>
      </c>
      <c r="U204" s="33">
        <v>0</v>
      </c>
      <c r="V204" s="33">
        <v>1</v>
      </c>
      <c r="W204" s="24"/>
      <c r="X204" s="24"/>
      <c r="Y204" s="24"/>
    </row>
    <row r="205" spans="1:25" ht="14.4">
      <c r="A205" s="117">
        <v>1</v>
      </c>
      <c r="B205" s="331" t="s">
        <v>5118</v>
      </c>
      <c r="C205" s="22">
        <v>205</v>
      </c>
      <c r="D205" s="22">
        <v>8</v>
      </c>
      <c r="E205" s="222">
        <v>43771</v>
      </c>
      <c r="F205" s="121" t="str">
        <f>HYPERLINK("https://www.suara.com/news/2019/02/11/133002/menteri-agama-enggan-komentari-munculnya-komik-muslim-gay-di-instagram ","sumber")</f>
        <v>sumber</v>
      </c>
      <c r="G205" s="22" t="s">
        <v>1</v>
      </c>
      <c r="H205" s="22">
        <v>208</v>
      </c>
      <c r="I205" s="22">
        <v>1</v>
      </c>
      <c r="J205" s="22">
        <v>3</v>
      </c>
      <c r="K205" s="123" t="s">
        <v>5119</v>
      </c>
      <c r="L205" s="22">
        <v>0</v>
      </c>
      <c r="M205" s="22">
        <v>0</v>
      </c>
      <c r="N205" s="125">
        <v>0</v>
      </c>
      <c r="O205" s="125">
        <v>0</v>
      </c>
      <c r="P205" s="22">
        <v>0</v>
      </c>
      <c r="Q205" s="22">
        <v>0</v>
      </c>
      <c r="R205" s="22">
        <v>0</v>
      </c>
      <c r="S205" s="134"/>
      <c r="T205" s="22">
        <v>0</v>
      </c>
      <c r="U205" s="22">
        <v>0</v>
      </c>
      <c r="V205" s="22">
        <v>1</v>
      </c>
      <c r="W205" s="23"/>
      <c r="X205" s="23"/>
      <c r="Y205" s="23"/>
    </row>
    <row r="206" spans="1:25" ht="14.4">
      <c r="A206" s="126">
        <v>1</v>
      </c>
      <c r="B206" s="319" t="s">
        <v>5120</v>
      </c>
      <c r="C206" s="33">
        <v>206</v>
      </c>
      <c r="D206" s="33">
        <v>2</v>
      </c>
      <c r="E206" s="288">
        <v>43801</v>
      </c>
      <c r="F206" s="130" t="str">
        <f>HYPERLINK("https://www.cnnindonesia.com/hiburan/20190226105921-234-372642/menang-oscar-rami-malek-disebut-firaun ","sumber")</f>
        <v>sumber</v>
      </c>
      <c r="G206" s="33" t="s">
        <v>1</v>
      </c>
      <c r="H206" s="33">
        <v>1</v>
      </c>
      <c r="I206" s="33">
        <v>3</v>
      </c>
      <c r="J206" s="33">
        <v>3</v>
      </c>
      <c r="K206" s="131" t="s">
        <v>5121</v>
      </c>
      <c r="L206" s="33">
        <v>0</v>
      </c>
      <c r="M206" s="33">
        <v>0</v>
      </c>
      <c r="N206" s="132">
        <v>0</v>
      </c>
      <c r="O206" s="132">
        <v>0</v>
      </c>
      <c r="P206" s="33">
        <v>0</v>
      </c>
      <c r="Q206" s="33" t="s">
        <v>29</v>
      </c>
      <c r="R206" s="33" t="s">
        <v>160</v>
      </c>
      <c r="S206" s="133"/>
      <c r="T206" s="33">
        <v>0</v>
      </c>
      <c r="U206" s="33">
        <v>0</v>
      </c>
      <c r="V206" s="33">
        <v>1</v>
      </c>
      <c r="W206" s="24"/>
      <c r="X206" s="24"/>
      <c r="Y206" s="24"/>
    </row>
    <row r="207" spans="1:25" ht="14.4">
      <c r="A207" s="117">
        <v>1</v>
      </c>
      <c r="B207" s="331" t="s">
        <v>5122</v>
      </c>
      <c r="C207" s="22">
        <v>207</v>
      </c>
      <c r="D207" s="22">
        <v>3</v>
      </c>
      <c r="E207" s="22" t="s">
        <v>76</v>
      </c>
      <c r="F207" s="121" t="str">
        <f>HYPERLINK("https://techno.okezone.com/read/2019/02/13/207/2017294/bermuatan-lgbt-instagram-resmi-blokir-akun-alpantuni ","sumber")</f>
        <v>sumber</v>
      </c>
      <c r="G207" s="22" t="s">
        <v>1</v>
      </c>
      <c r="H207" s="22">
        <v>222</v>
      </c>
      <c r="I207" s="22">
        <v>4</v>
      </c>
      <c r="J207" s="22">
        <v>3</v>
      </c>
      <c r="K207" s="123" t="s">
        <v>5123</v>
      </c>
      <c r="L207" s="22">
        <v>0</v>
      </c>
      <c r="M207" s="22">
        <v>0</v>
      </c>
      <c r="N207" s="125">
        <v>0</v>
      </c>
      <c r="O207" s="125">
        <v>0</v>
      </c>
      <c r="P207" s="22">
        <v>0</v>
      </c>
      <c r="Q207" s="22">
        <v>0</v>
      </c>
      <c r="R207" s="22">
        <v>0</v>
      </c>
      <c r="S207" s="134"/>
      <c r="T207" s="22">
        <v>0</v>
      </c>
      <c r="U207" s="22">
        <v>0</v>
      </c>
      <c r="V207" s="22">
        <v>1</v>
      </c>
      <c r="W207" s="23"/>
      <c r="X207" s="23"/>
      <c r="Y207" s="23"/>
    </row>
    <row r="208" spans="1:25" ht="14.4">
      <c r="A208" s="126">
        <v>1</v>
      </c>
      <c r="B208" s="319" t="s">
        <v>5124</v>
      </c>
      <c r="C208" s="33">
        <v>208</v>
      </c>
      <c r="D208" s="33">
        <v>8</v>
      </c>
      <c r="E208" s="33" t="s">
        <v>1967</v>
      </c>
      <c r="F208" s="130" t="str">
        <f>HYPERLINK("https://www.suara.com/entertainment/2019/02/01/192648/pamer-beli-sepatu-mahal-lucinta-luna-ditertawai-warganet ","sumber")</f>
        <v>sumber</v>
      </c>
      <c r="G208" s="33" t="s">
        <v>1</v>
      </c>
      <c r="H208" s="33">
        <v>1</v>
      </c>
      <c r="I208" s="33">
        <v>2</v>
      </c>
      <c r="J208" s="33">
        <v>3</v>
      </c>
      <c r="K208" s="131" t="s">
        <v>5125</v>
      </c>
      <c r="L208" s="33">
        <v>0</v>
      </c>
      <c r="M208" s="33">
        <v>0</v>
      </c>
      <c r="N208" s="132">
        <v>0</v>
      </c>
      <c r="O208" s="132">
        <v>0</v>
      </c>
      <c r="P208" s="33">
        <v>0</v>
      </c>
      <c r="Q208" s="33" t="s">
        <v>245</v>
      </c>
      <c r="R208" s="33" t="s">
        <v>981</v>
      </c>
      <c r="S208" s="133"/>
      <c r="T208" s="33">
        <v>0</v>
      </c>
      <c r="U208" s="33">
        <v>0</v>
      </c>
      <c r="V208" s="33">
        <v>0</v>
      </c>
      <c r="W208" s="24"/>
      <c r="X208" s="24"/>
      <c r="Y208" s="24"/>
    </row>
    <row r="209" spans="1:25" ht="14.4">
      <c r="A209" s="126">
        <v>1</v>
      </c>
      <c r="B209" s="319" t="s">
        <v>5126</v>
      </c>
      <c r="C209" s="33">
        <v>209</v>
      </c>
      <c r="D209" s="33">
        <v>10</v>
      </c>
      <c r="E209" s="33" t="s">
        <v>437</v>
      </c>
      <c r="F209" s="130" t="str">
        <f>HYPERLINK("https://pemilu.tempo.co/read/1171710/santri-pondok-pesanten-waria-kotagede-berkomitmen-tidak-golput ","sumber")</f>
        <v>sumber</v>
      </c>
      <c r="G209" s="33" t="s">
        <v>1</v>
      </c>
      <c r="H209" s="33">
        <v>1</v>
      </c>
      <c r="I209" s="33">
        <v>2</v>
      </c>
      <c r="J209" s="33">
        <v>3</v>
      </c>
      <c r="K209" s="131" t="s">
        <v>5127</v>
      </c>
      <c r="L209" s="33">
        <v>0</v>
      </c>
      <c r="M209" s="33">
        <v>0</v>
      </c>
      <c r="N209" s="132">
        <v>0</v>
      </c>
      <c r="O209" s="132">
        <v>0</v>
      </c>
      <c r="P209" s="33">
        <v>0</v>
      </c>
      <c r="Q209" s="33">
        <v>1</v>
      </c>
      <c r="R209" s="33">
        <v>1</v>
      </c>
      <c r="S209" s="133"/>
      <c r="T209" s="33">
        <v>0</v>
      </c>
      <c r="U209" s="33">
        <v>0</v>
      </c>
      <c r="V209" s="33">
        <v>1</v>
      </c>
      <c r="W209" s="24"/>
      <c r="X209" s="24"/>
      <c r="Y209" s="24"/>
    </row>
    <row r="210" spans="1:25" ht="14.4">
      <c r="A210" s="126">
        <v>1</v>
      </c>
      <c r="B210" s="319" t="s">
        <v>5128</v>
      </c>
      <c r="C210" s="33">
        <v>210</v>
      </c>
      <c r="D210" s="33">
        <v>8</v>
      </c>
      <c r="E210" s="33" t="s">
        <v>325</v>
      </c>
      <c r="F210" s="130" t="str">
        <f>HYPERLINK("https://www.suara.com/news/2019/02/12/204019/heboh-komik-muslim-gay-polda-metro-jaya-bakal-selidiki ","sumber")</f>
        <v>sumber</v>
      </c>
      <c r="G210" s="33" t="s">
        <v>1</v>
      </c>
      <c r="H210" s="33">
        <v>1</v>
      </c>
      <c r="I210" s="33">
        <v>1</v>
      </c>
      <c r="J210" s="33">
        <v>3</v>
      </c>
      <c r="K210" s="131" t="s">
        <v>5129</v>
      </c>
      <c r="L210" s="33">
        <v>0</v>
      </c>
      <c r="M210" s="33">
        <v>0</v>
      </c>
      <c r="N210" s="132">
        <v>0</v>
      </c>
      <c r="O210" s="132">
        <v>0</v>
      </c>
      <c r="P210" s="33">
        <v>0</v>
      </c>
      <c r="Q210" s="33">
        <v>0</v>
      </c>
      <c r="R210" s="33">
        <v>-1</v>
      </c>
      <c r="S210" s="133"/>
      <c r="T210" s="33">
        <v>0</v>
      </c>
      <c r="U210" s="33">
        <v>0</v>
      </c>
      <c r="V210" s="33">
        <v>0</v>
      </c>
      <c r="W210" s="24"/>
      <c r="X210" s="24"/>
      <c r="Y210" s="24"/>
    </row>
    <row r="211" spans="1:25" ht="14.4">
      <c r="A211" s="111">
        <v>2</v>
      </c>
      <c r="B211" s="330" t="s">
        <v>2306</v>
      </c>
      <c r="C211" s="25">
        <v>211</v>
      </c>
      <c r="D211" s="26"/>
      <c r="E211" s="234">
        <v>43557</v>
      </c>
      <c r="F211" s="115" t="str">
        <f>HYPERLINK("https://lifestyle.okezone.com/read/2019/03/04/194/2025563/6-zodiak-yang-paling-stylish-gayanya-bisa-jadi-trendsetter ","sumber")</f>
        <v>sumber</v>
      </c>
      <c r="G211" s="25" t="s">
        <v>1</v>
      </c>
      <c r="H211" s="26"/>
      <c r="I211" s="26"/>
      <c r="J211" s="26"/>
      <c r="K211" s="124"/>
      <c r="L211" s="26"/>
      <c r="M211" s="26"/>
      <c r="N211" s="26"/>
      <c r="O211" s="26"/>
      <c r="P211" s="26"/>
      <c r="Q211" s="26"/>
      <c r="R211" s="26"/>
      <c r="S211" s="124"/>
      <c r="T211" s="26"/>
      <c r="U211" s="26"/>
      <c r="V211" s="26"/>
      <c r="W211" s="26"/>
      <c r="X211" s="26"/>
      <c r="Y211" s="26"/>
    </row>
    <row r="212" spans="1:25" ht="14.4">
      <c r="A212" s="126">
        <v>1</v>
      </c>
      <c r="B212" s="319" t="s">
        <v>5130</v>
      </c>
      <c r="C212" s="33">
        <v>212</v>
      </c>
      <c r="D212" s="33">
        <v>3</v>
      </c>
      <c r="E212" s="288">
        <v>43588</v>
      </c>
      <c r="F212" s="130" t="str">
        <f>HYPERLINK("https://news.okezone.com/read/2019/03/05/18/2025887/lindungi-hak-tahanan-inggris-akan-punya-penjara-transgender-pertama ","sumber")</f>
        <v>sumber</v>
      </c>
      <c r="G212" s="33" t="s">
        <v>1</v>
      </c>
      <c r="H212" s="33">
        <v>1</v>
      </c>
      <c r="I212" s="33">
        <v>4</v>
      </c>
      <c r="J212" s="33">
        <v>3</v>
      </c>
      <c r="K212" s="131"/>
      <c r="L212" s="33">
        <v>0</v>
      </c>
      <c r="M212" s="33">
        <v>0</v>
      </c>
      <c r="N212" s="132">
        <v>0</v>
      </c>
      <c r="O212" s="132">
        <v>0</v>
      </c>
      <c r="P212" s="33">
        <v>0</v>
      </c>
      <c r="Q212" s="33"/>
      <c r="R212" s="33"/>
      <c r="S212" s="133"/>
      <c r="T212" s="33">
        <v>0</v>
      </c>
      <c r="U212" s="33">
        <v>0</v>
      </c>
      <c r="V212" s="33">
        <v>1</v>
      </c>
      <c r="W212" s="24"/>
      <c r="X212" s="24"/>
      <c r="Y212" s="24"/>
    </row>
    <row r="213" spans="1:25" ht="14.4">
      <c r="A213" s="126">
        <v>1</v>
      </c>
      <c r="B213" s="319" t="s">
        <v>5131</v>
      </c>
      <c r="C213" s="33">
        <v>213</v>
      </c>
      <c r="D213" s="33">
        <v>6</v>
      </c>
      <c r="E213" s="288">
        <v>43680</v>
      </c>
      <c r="F213" s="130" t="str">
        <f>HYPERLINK("https://internasional.kompas.com/read/2019/05/24/13471511/disorot-soal-hukuman-mati-bagi-lgbt-sultan-brunei-kembalikan-gelar-dari ","sumber")</f>
        <v>sumber</v>
      </c>
      <c r="G213" s="33" t="s">
        <v>1</v>
      </c>
      <c r="H213" s="33">
        <v>1</v>
      </c>
      <c r="I213" s="33">
        <v>4</v>
      </c>
      <c r="J213" s="33">
        <v>3</v>
      </c>
      <c r="K213" s="131" t="s">
        <v>5132</v>
      </c>
      <c r="L213" s="33">
        <v>0</v>
      </c>
      <c r="M213" s="33">
        <v>0</v>
      </c>
      <c r="N213" s="132">
        <v>0</v>
      </c>
      <c r="O213" s="132">
        <v>0</v>
      </c>
      <c r="P213" s="33">
        <v>0</v>
      </c>
      <c r="Q213" s="33">
        <v>0</v>
      </c>
      <c r="R213" s="33">
        <v>-1</v>
      </c>
      <c r="S213" s="133"/>
      <c r="T213" s="33">
        <v>0</v>
      </c>
      <c r="U213" s="33">
        <v>0</v>
      </c>
      <c r="V213" s="33">
        <v>1</v>
      </c>
      <c r="W213" s="24"/>
      <c r="X213" s="24"/>
      <c r="Y213" s="24"/>
    </row>
    <row r="214" spans="1:25" ht="14.4">
      <c r="A214" s="111">
        <v>2</v>
      </c>
      <c r="B214" s="330" t="s">
        <v>5133</v>
      </c>
      <c r="C214" s="25">
        <v>214</v>
      </c>
      <c r="D214" s="26"/>
      <c r="E214" s="234">
        <v>43680</v>
      </c>
      <c r="F214" s="115" t="str">
        <f>HYPERLINK("https://nasional.republika.co.id/berita/nasional/politik/po1h8l409/kampanye-di-lampung-jokowi-kembali-tepis-isu-larangan-azan ","sumber")</f>
        <v>sumber</v>
      </c>
      <c r="G214" s="25" t="s">
        <v>1</v>
      </c>
      <c r="H214" s="26"/>
      <c r="I214" s="26"/>
      <c r="J214" s="26"/>
      <c r="K214" s="124"/>
      <c r="L214" s="26"/>
      <c r="M214" s="26"/>
      <c r="N214" s="26"/>
      <c r="O214" s="26"/>
      <c r="P214" s="26"/>
      <c r="Q214" s="26"/>
      <c r="R214" s="26"/>
      <c r="S214" s="124"/>
      <c r="T214" s="26"/>
      <c r="U214" s="26"/>
      <c r="V214" s="26"/>
      <c r="W214" s="26"/>
      <c r="X214" s="26"/>
      <c r="Y214" s="26"/>
    </row>
    <row r="215" spans="1:25" ht="14.4">
      <c r="A215" s="117">
        <v>1</v>
      </c>
      <c r="B215" s="331" t="s">
        <v>5134</v>
      </c>
      <c r="C215" s="22">
        <v>215</v>
      </c>
      <c r="D215" s="22">
        <v>2</v>
      </c>
      <c r="E215" s="222">
        <v>43802</v>
      </c>
      <c r="F215" s="121" t="str">
        <f>HYPERLINK("https://www.cnnindonesia.com/nasional/20190312071342-32-376383/psi-kritik-partai-lama-soal-3-gereja-disegel-kenapa-bungkam ","sumber")</f>
        <v>sumber</v>
      </c>
      <c r="G215" s="22" t="s">
        <v>1</v>
      </c>
      <c r="H215" s="22">
        <v>485</v>
      </c>
      <c r="I215" s="22">
        <v>1</v>
      </c>
      <c r="J215" s="22">
        <v>4</v>
      </c>
      <c r="K215" s="123" t="s">
        <v>5135</v>
      </c>
      <c r="L215" s="22">
        <v>0</v>
      </c>
      <c r="M215" s="22">
        <v>0</v>
      </c>
      <c r="N215" s="125">
        <v>0</v>
      </c>
      <c r="O215" s="125">
        <v>0</v>
      </c>
      <c r="P215" s="22">
        <v>0</v>
      </c>
      <c r="Q215" s="22">
        <v>0</v>
      </c>
      <c r="R215" s="22">
        <v>1</v>
      </c>
      <c r="S215" s="134"/>
      <c r="T215" s="22">
        <v>0</v>
      </c>
      <c r="U215" s="22">
        <v>0</v>
      </c>
      <c r="V215" s="22">
        <v>1</v>
      </c>
      <c r="W215" s="23"/>
      <c r="X215" s="23"/>
      <c r="Y215" s="23"/>
    </row>
    <row r="216" spans="1:25" ht="14.4">
      <c r="A216" s="117">
        <v>1</v>
      </c>
      <c r="B216" s="331" t="s">
        <v>5136</v>
      </c>
      <c r="C216" s="22">
        <v>216</v>
      </c>
      <c r="D216" s="22">
        <v>5</v>
      </c>
      <c r="E216" s="222">
        <v>43802</v>
      </c>
      <c r="F216" s="121" t="str">
        <f>HYPERLINK("https://tirto.id/twit-faizal-assegaf-langgengkan-stigma-kepada-lgbt-di-tahun-politik-djeg ","sumber")</f>
        <v>sumber</v>
      </c>
      <c r="G216" s="22" t="s">
        <v>1</v>
      </c>
      <c r="H216" s="22">
        <v>480</v>
      </c>
      <c r="I216" s="22">
        <v>1</v>
      </c>
      <c r="J216" s="22">
        <v>3</v>
      </c>
      <c r="K216" s="123" t="s">
        <v>5137</v>
      </c>
      <c r="L216" s="22">
        <v>0</v>
      </c>
      <c r="M216" s="22">
        <v>0</v>
      </c>
      <c r="N216" s="125">
        <v>0</v>
      </c>
      <c r="O216" s="125">
        <v>0</v>
      </c>
      <c r="P216" s="22">
        <v>0</v>
      </c>
      <c r="Q216" s="22" t="s">
        <v>182</v>
      </c>
      <c r="R216" s="22" t="s">
        <v>160</v>
      </c>
      <c r="S216" s="134"/>
      <c r="T216" s="22">
        <v>0</v>
      </c>
      <c r="U216" s="22">
        <v>0</v>
      </c>
      <c r="V216" s="22">
        <v>1</v>
      </c>
      <c r="W216" s="23"/>
      <c r="X216" s="23"/>
      <c r="Y216" s="23"/>
    </row>
    <row r="217" spans="1:25" ht="14.4">
      <c r="A217" s="126">
        <v>1</v>
      </c>
      <c r="B217" s="319" t="s">
        <v>5138</v>
      </c>
      <c r="C217" s="33">
        <v>217</v>
      </c>
      <c r="D217" s="33">
        <v>3</v>
      </c>
      <c r="E217" s="33" t="s">
        <v>121</v>
      </c>
      <c r="F217" s="130" t="str">
        <f>HYPERLINK("https://news.okezone.com/read/2019/03/27/65/2035754/menristekdikti-angkat-suara-terkait-cerpen-lgbt-di-usu ","sumber")</f>
        <v>sumber</v>
      </c>
      <c r="G217" s="33" t="s">
        <v>1</v>
      </c>
      <c r="H217" s="33">
        <v>2</v>
      </c>
      <c r="I217" s="33">
        <v>1</v>
      </c>
      <c r="J217" s="33">
        <v>3</v>
      </c>
      <c r="K217" s="131" t="s">
        <v>5139</v>
      </c>
      <c r="L217" s="33">
        <v>0</v>
      </c>
      <c r="M217" s="33">
        <v>0</v>
      </c>
      <c r="N217" s="132">
        <v>0</v>
      </c>
      <c r="O217" s="132">
        <v>0</v>
      </c>
      <c r="P217" s="33">
        <v>0</v>
      </c>
      <c r="Q217" s="33">
        <v>0</v>
      </c>
      <c r="R217" s="33">
        <v>0</v>
      </c>
      <c r="S217" s="133"/>
      <c r="T217" s="33">
        <v>0</v>
      </c>
      <c r="U217" s="33">
        <v>0</v>
      </c>
      <c r="V217" s="33">
        <v>1</v>
      </c>
      <c r="W217" s="24"/>
      <c r="X217" s="24"/>
      <c r="Y217" s="24"/>
    </row>
    <row r="218" spans="1:25" ht="14.4">
      <c r="A218" s="310">
        <v>1</v>
      </c>
      <c r="B218" s="331" t="s">
        <v>5140</v>
      </c>
      <c r="C218" s="22">
        <v>218</v>
      </c>
      <c r="D218" s="22">
        <v>8</v>
      </c>
      <c r="E218" s="22" t="s">
        <v>121</v>
      </c>
      <c r="F218" s="121" t="str">
        <f>HYPERLINK("https://www.suara.com/entertainment/2019/03/13/201052/tak-sengaja-lucinta-luna-keluarkan-suara-asli-kocak-abis ","sumber")</f>
        <v>sumber</v>
      </c>
      <c r="G218" s="22" t="s">
        <v>1</v>
      </c>
      <c r="H218" s="22">
        <v>1</v>
      </c>
      <c r="I218" s="22">
        <v>2</v>
      </c>
      <c r="J218" s="22">
        <v>3</v>
      </c>
      <c r="K218" s="123"/>
      <c r="L218" s="22">
        <v>0</v>
      </c>
      <c r="M218" s="22">
        <v>0</v>
      </c>
      <c r="N218" s="125">
        <v>0</v>
      </c>
      <c r="O218" s="125">
        <v>0</v>
      </c>
      <c r="P218" s="22">
        <v>0</v>
      </c>
      <c r="Q218" s="22"/>
      <c r="R218" s="22"/>
      <c r="S218" s="134"/>
      <c r="T218" s="22">
        <v>0</v>
      </c>
      <c r="U218" s="22">
        <v>0</v>
      </c>
      <c r="V218" s="22">
        <v>0</v>
      </c>
      <c r="W218" s="23"/>
      <c r="X218" s="23"/>
      <c r="Y218" s="23"/>
    </row>
    <row r="219" spans="1:25" ht="14.4">
      <c r="A219" s="117">
        <v>1</v>
      </c>
      <c r="B219" s="331" t="s">
        <v>5141</v>
      </c>
      <c r="C219" s="22">
        <v>219</v>
      </c>
      <c r="D219" s="22">
        <v>6</v>
      </c>
      <c r="E219" s="22" t="s">
        <v>110</v>
      </c>
      <c r="F219" s="121" t="str">
        <f>HYPERLINK("https://nasional.kompas.com/read/2019/03/14/15474071/komnas-perempuan-ada-yang-salah-memahami-definisi-ruu-pks ","sumber")</f>
        <v>sumber</v>
      </c>
      <c r="G219" s="22" t="s">
        <v>1</v>
      </c>
      <c r="H219" s="22">
        <v>248</v>
      </c>
      <c r="I219" s="22">
        <v>4</v>
      </c>
      <c r="J219" s="22">
        <v>1</v>
      </c>
      <c r="K219" s="123" t="s">
        <v>5142</v>
      </c>
      <c r="L219" s="22">
        <v>0</v>
      </c>
      <c r="M219" s="22">
        <v>0</v>
      </c>
      <c r="N219" s="125">
        <v>0</v>
      </c>
      <c r="O219" s="125">
        <v>0</v>
      </c>
      <c r="P219" s="22">
        <v>0</v>
      </c>
      <c r="Q219" s="22">
        <v>1</v>
      </c>
      <c r="R219" s="22">
        <v>1</v>
      </c>
      <c r="S219" s="134"/>
      <c r="T219" s="22">
        <v>0</v>
      </c>
      <c r="U219" s="22">
        <v>0</v>
      </c>
      <c r="V219" s="22">
        <v>1</v>
      </c>
      <c r="W219" s="23"/>
      <c r="X219" s="23"/>
      <c r="Y219" s="23"/>
    </row>
    <row r="220" spans="1:25" ht="14.4">
      <c r="A220" s="126">
        <v>1</v>
      </c>
      <c r="B220" s="319" t="s">
        <v>5143</v>
      </c>
      <c r="C220" s="33">
        <v>220</v>
      </c>
      <c r="D220" s="33">
        <v>1</v>
      </c>
      <c r="E220" s="33" t="s">
        <v>91</v>
      </c>
      <c r="F220" s="130" t="str">
        <f>HYPERLINK("https://news.detik.com/berita/d-4553674/polri-soal-pemecatan-polisi-gay-anggota-polri-tak-boleh-lgbt ","sumber")</f>
        <v>sumber</v>
      </c>
      <c r="G220" s="33" t="s">
        <v>1</v>
      </c>
      <c r="H220" s="33">
        <v>2</v>
      </c>
      <c r="I220" s="33">
        <v>4</v>
      </c>
      <c r="J220" s="33">
        <v>3</v>
      </c>
      <c r="K220" s="131" t="s">
        <v>5144</v>
      </c>
      <c r="L220" s="33">
        <v>0</v>
      </c>
      <c r="M220" s="33">
        <v>0</v>
      </c>
      <c r="N220" s="132">
        <v>0</v>
      </c>
      <c r="O220" s="132">
        <v>0</v>
      </c>
      <c r="P220" s="33">
        <v>0</v>
      </c>
      <c r="Q220" s="33">
        <v>0</v>
      </c>
      <c r="R220" s="33">
        <v>-1</v>
      </c>
      <c r="S220" s="133"/>
      <c r="T220" s="33">
        <v>0</v>
      </c>
      <c r="U220" s="33">
        <v>0</v>
      </c>
      <c r="V220" s="33">
        <v>1</v>
      </c>
      <c r="W220" s="24"/>
      <c r="X220" s="24"/>
      <c r="Y220" s="24"/>
    </row>
    <row r="221" spans="1:25" ht="14.4">
      <c r="A221" s="126">
        <v>1</v>
      </c>
      <c r="B221" s="319" t="s">
        <v>5145</v>
      </c>
      <c r="C221" s="33">
        <v>221</v>
      </c>
      <c r="D221" s="33">
        <v>3</v>
      </c>
      <c r="E221" s="33" t="s">
        <v>118</v>
      </c>
      <c r="F221" s="130" t="str">
        <f>HYPERLINK("https://celebrity.okezone.com/read/2019/03/30/33/2036929/solena-chaniago-operasi-vagina-plasty-itu-yang-termahal ","sumber")</f>
        <v>sumber</v>
      </c>
      <c r="G221" s="33" t="s">
        <v>1</v>
      </c>
      <c r="H221" s="33">
        <v>1</v>
      </c>
      <c r="I221" s="33">
        <v>2</v>
      </c>
      <c r="J221" s="33">
        <v>3</v>
      </c>
      <c r="K221" s="131" t="s">
        <v>5146</v>
      </c>
      <c r="L221" s="33">
        <v>0</v>
      </c>
      <c r="M221" s="33">
        <v>0</v>
      </c>
      <c r="N221" s="132">
        <v>0</v>
      </c>
      <c r="O221" s="132">
        <v>0</v>
      </c>
      <c r="P221" s="33">
        <v>0</v>
      </c>
      <c r="Q221" s="33">
        <v>2</v>
      </c>
      <c r="R221" s="33">
        <v>1</v>
      </c>
      <c r="S221" s="133"/>
      <c r="T221" s="33">
        <v>0</v>
      </c>
      <c r="U221" s="33">
        <v>0</v>
      </c>
      <c r="V221" s="33">
        <v>1</v>
      </c>
      <c r="W221" s="24"/>
      <c r="X221" s="24"/>
      <c r="Y221" s="24"/>
    </row>
    <row r="222" spans="1:25" ht="14.4">
      <c r="A222" s="117">
        <v>1</v>
      </c>
      <c r="B222" s="331" t="s">
        <v>5147</v>
      </c>
      <c r="C222" s="22">
        <v>222</v>
      </c>
      <c r="D222" s="22">
        <v>10</v>
      </c>
      <c r="E222" s="22" t="s">
        <v>124</v>
      </c>
      <c r="F222" s="121" t="str">
        <f>HYPERLINK("https://nasional.tempo.co/read/1187893/unggah-cerpen-bertema-lgbt-media-suara-usu-terancam-dibubarkan ","sumber")</f>
        <v>sumber</v>
      </c>
      <c r="G222" s="22" t="s">
        <v>1</v>
      </c>
      <c r="H222" s="22">
        <v>459</v>
      </c>
      <c r="I222" s="22">
        <v>1</v>
      </c>
      <c r="J222" s="22">
        <v>3</v>
      </c>
      <c r="K222" s="123" t="s">
        <v>5148</v>
      </c>
      <c r="L222" s="22">
        <v>0</v>
      </c>
      <c r="M222" s="22">
        <v>0</v>
      </c>
      <c r="N222" s="125">
        <v>0</v>
      </c>
      <c r="O222" s="125">
        <v>0</v>
      </c>
      <c r="P222" s="22">
        <v>0</v>
      </c>
      <c r="Q222" s="22" t="s">
        <v>29</v>
      </c>
      <c r="R222" s="22" t="s">
        <v>141</v>
      </c>
      <c r="S222" s="134"/>
      <c r="T222" s="22">
        <v>0</v>
      </c>
      <c r="U222" s="22">
        <v>0</v>
      </c>
      <c r="V222" s="22">
        <v>1</v>
      </c>
      <c r="W222" s="23"/>
      <c r="X222" s="23"/>
      <c r="Y222" s="23"/>
    </row>
    <row r="223" spans="1:25" ht="14.4">
      <c r="A223" s="117">
        <v>1</v>
      </c>
      <c r="B223" s="331" t="s">
        <v>5149</v>
      </c>
      <c r="C223" s="22">
        <v>223</v>
      </c>
      <c r="D223" s="22">
        <v>8</v>
      </c>
      <c r="E223" s="22" t="s">
        <v>127</v>
      </c>
      <c r="F223" s="121" t="str">
        <f>HYPERLINK("https://www.suara.com/news/2019/03/26/133653/dikecam-brunei-mau-terapkan-hukum-lgbt-dilempari-batu-sampai-mati ","sumber")</f>
        <v>sumber</v>
      </c>
      <c r="G223" s="22" t="s">
        <v>1</v>
      </c>
      <c r="H223" s="22">
        <v>273</v>
      </c>
      <c r="I223" s="22">
        <v>4</v>
      </c>
      <c r="J223" s="22">
        <v>3</v>
      </c>
      <c r="K223" s="123" t="s">
        <v>5150</v>
      </c>
      <c r="L223" s="22">
        <v>0</v>
      </c>
      <c r="M223" s="22">
        <v>0</v>
      </c>
      <c r="N223" s="125">
        <v>0</v>
      </c>
      <c r="O223" s="125">
        <v>0</v>
      </c>
      <c r="P223" s="22">
        <v>0</v>
      </c>
      <c r="Q223" s="22" t="s">
        <v>619</v>
      </c>
      <c r="R223" s="22" t="s">
        <v>160</v>
      </c>
      <c r="S223" s="134"/>
      <c r="T223" s="22">
        <v>0</v>
      </c>
      <c r="U223" s="22">
        <v>0</v>
      </c>
      <c r="V223" s="22">
        <v>1</v>
      </c>
      <c r="W223" s="23"/>
      <c r="X223" s="23"/>
      <c r="Y223" s="23"/>
    </row>
    <row r="224" spans="1:25" ht="14.4">
      <c r="A224" s="117">
        <v>1</v>
      </c>
      <c r="B224" s="331" t="s">
        <v>2327</v>
      </c>
      <c r="C224" s="22">
        <v>224</v>
      </c>
      <c r="D224" s="22">
        <v>6</v>
      </c>
      <c r="E224" s="22" t="s">
        <v>497</v>
      </c>
      <c r="F224" s="121" t="str">
        <f>HYPERLINK("https://internasional.kompas.com/read/2019/03/27/18292741/brunei-dikabarkan-akan-hukum-rajam-sampai-mati-pelaku-lgbt ","sumber")</f>
        <v>sumber</v>
      </c>
      <c r="G224" s="22" t="s">
        <v>1</v>
      </c>
      <c r="H224" s="22">
        <v>281</v>
      </c>
      <c r="I224" s="22">
        <v>4</v>
      </c>
      <c r="J224" s="22">
        <v>3</v>
      </c>
      <c r="K224" s="123" t="s">
        <v>5151</v>
      </c>
      <c r="L224" s="22">
        <v>0</v>
      </c>
      <c r="M224" s="22">
        <v>0</v>
      </c>
      <c r="N224" s="125">
        <v>0</v>
      </c>
      <c r="O224" s="125">
        <v>0</v>
      </c>
      <c r="P224" s="22">
        <v>0</v>
      </c>
      <c r="Q224" s="22">
        <v>2</v>
      </c>
      <c r="R224" s="22">
        <v>1</v>
      </c>
      <c r="S224" s="134"/>
      <c r="T224" s="22">
        <v>0</v>
      </c>
      <c r="U224" s="22">
        <v>0</v>
      </c>
      <c r="V224" s="22">
        <v>1</v>
      </c>
      <c r="W224" s="23"/>
      <c r="X224" s="23"/>
      <c r="Y224" s="23"/>
    </row>
    <row r="225" spans="1:25" ht="14.4">
      <c r="A225" s="126">
        <v>1</v>
      </c>
      <c r="B225" s="319" t="s">
        <v>5152</v>
      </c>
      <c r="C225" s="33">
        <v>225</v>
      </c>
      <c r="D225" s="33">
        <v>5</v>
      </c>
      <c r="E225" s="33" t="s">
        <v>497</v>
      </c>
      <c r="F225" s="130" t="str">
        <f>HYPERLINK("https://tirto.id/coming-out-itu-tak-mudah-ketika-anak-lgbt-terbuka-kepada-keluarga-djhl ","sumber")</f>
        <v>sumber</v>
      </c>
      <c r="G225" s="33" t="s">
        <v>1</v>
      </c>
      <c r="H225" s="33">
        <v>3</v>
      </c>
      <c r="I225" s="33">
        <v>2</v>
      </c>
      <c r="J225" s="33">
        <v>3</v>
      </c>
      <c r="K225" s="131" t="s">
        <v>5153</v>
      </c>
      <c r="L225" s="33">
        <v>0</v>
      </c>
      <c r="M225" s="33">
        <v>0</v>
      </c>
      <c r="N225" s="132">
        <v>0</v>
      </c>
      <c r="O225" s="132">
        <v>0</v>
      </c>
      <c r="P225" s="33">
        <v>0</v>
      </c>
      <c r="Q225" s="33" t="s">
        <v>1438</v>
      </c>
      <c r="R225" s="33" t="s">
        <v>1026</v>
      </c>
      <c r="S225" s="133"/>
      <c r="T225" s="33">
        <v>0</v>
      </c>
      <c r="U225" s="33">
        <v>0</v>
      </c>
      <c r="V225" s="33">
        <v>1</v>
      </c>
      <c r="W225" s="24"/>
      <c r="X225" s="24"/>
      <c r="Y225" s="24"/>
    </row>
    <row r="226" spans="1:25" ht="14.4">
      <c r="A226" s="117">
        <v>1</v>
      </c>
      <c r="B226" s="331" t="s">
        <v>5154</v>
      </c>
      <c r="C226" s="22">
        <v>226</v>
      </c>
      <c r="D226" s="22">
        <v>1</v>
      </c>
      <c r="E226" s="222">
        <v>43469</v>
      </c>
      <c r="F226" s="121" t="str">
        <f>HYPERLINK("https://news.detik.com/bbc-world/d-4491956/brunei-terapkan-hukuman-rajam-sampai-mati-bagi-lgbt-pekan-ini ","sumber")</f>
        <v>sumber</v>
      </c>
      <c r="G226" s="22" t="s">
        <v>1</v>
      </c>
      <c r="H226" s="22">
        <v>446</v>
      </c>
      <c r="I226" s="22">
        <v>4</v>
      </c>
      <c r="J226" s="22">
        <v>3</v>
      </c>
      <c r="K226" s="123" t="s">
        <v>5155</v>
      </c>
      <c r="L226" s="22">
        <v>0</v>
      </c>
      <c r="M226" s="22">
        <v>0</v>
      </c>
      <c r="N226" s="125">
        <v>0</v>
      </c>
      <c r="O226" s="125">
        <v>0</v>
      </c>
      <c r="P226" s="22">
        <v>0</v>
      </c>
      <c r="Q226" s="22" t="s">
        <v>170</v>
      </c>
      <c r="R226" s="22" t="s">
        <v>668</v>
      </c>
      <c r="S226" s="134"/>
      <c r="T226" s="22">
        <v>0</v>
      </c>
      <c r="U226" s="22">
        <v>0</v>
      </c>
      <c r="V226" s="22">
        <v>1</v>
      </c>
      <c r="W226" s="23"/>
      <c r="X226" s="23"/>
      <c r="Y226" s="23"/>
    </row>
    <row r="227" spans="1:25" ht="14.4">
      <c r="A227" s="126">
        <v>1</v>
      </c>
      <c r="B227" s="319" t="s">
        <v>5156</v>
      </c>
      <c r="C227" s="33">
        <v>227</v>
      </c>
      <c r="D227" s="33">
        <v>6</v>
      </c>
      <c r="E227" s="288">
        <v>43469</v>
      </c>
      <c r="F227" s="130" t="str">
        <f>HYPERLINK("https://internasional.kompas.com/read/2019/04/01/17371801/pbb-hukuman-rajam-sampai-mati-di-brunei-tak-manusiawi ","sumber")</f>
        <v>sumber</v>
      </c>
      <c r="G227" s="33" t="s">
        <v>1</v>
      </c>
      <c r="H227" s="33">
        <v>2</v>
      </c>
      <c r="I227" s="33">
        <v>4</v>
      </c>
      <c r="J227" s="33">
        <v>4</v>
      </c>
      <c r="K227" s="131" t="s">
        <v>5157</v>
      </c>
      <c r="L227" s="33">
        <v>0</v>
      </c>
      <c r="M227" s="33">
        <v>0</v>
      </c>
      <c r="N227" s="132">
        <v>0</v>
      </c>
      <c r="O227" s="132">
        <v>0</v>
      </c>
      <c r="P227" s="33">
        <v>0</v>
      </c>
      <c r="Q227" s="33">
        <v>0</v>
      </c>
      <c r="R227" s="33">
        <v>1</v>
      </c>
      <c r="S227" s="133"/>
      <c r="T227" s="33">
        <v>0</v>
      </c>
      <c r="U227" s="33">
        <v>0</v>
      </c>
      <c r="V227" s="33">
        <v>1</v>
      </c>
      <c r="W227" s="24"/>
      <c r="X227" s="24"/>
      <c r="Y227" s="24"/>
    </row>
    <row r="228" spans="1:25" ht="14.4">
      <c r="A228" s="111">
        <v>2</v>
      </c>
      <c r="B228" s="330" t="s">
        <v>5158</v>
      </c>
      <c r="C228" s="25">
        <v>228</v>
      </c>
      <c r="D228" s="26"/>
      <c r="E228" s="234">
        <v>43528</v>
      </c>
      <c r="F228" s="115" t="str">
        <f>HYPERLINK("https://internasional.republika.co.id/berita/internasional/asia/ppdq8z423/junta-militer-thailand-ajukan-gugatan-terhadap-ketua-partai ","sumber")</f>
        <v>sumber</v>
      </c>
      <c r="G228" s="25" t="s">
        <v>1</v>
      </c>
      <c r="H228" s="26"/>
      <c r="I228" s="26"/>
      <c r="J228" s="26"/>
      <c r="K228" s="124"/>
      <c r="L228" s="26"/>
      <c r="M228" s="26"/>
      <c r="N228" s="26"/>
      <c r="O228" s="26"/>
      <c r="P228" s="26"/>
      <c r="Q228" s="26"/>
      <c r="R228" s="26"/>
      <c r="S228" s="124"/>
      <c r="T228" s="26"/>
      <c r="U228" s="26"/>
      <c r="V228" s="26"/>
      <c r="W228" s="26"/>
      <c r="X228" s="26"/>
      <c r="Y228" s="26"/>
    </row>
    <row r="229" spans="1:25" ht="14.4">
      <c r="A229" s="117">
        <v>1</v>
      </c>
      <c r="B229" s="331" t="s">
        <v>5159</v>
      </c>
      <c r="C229" s="22">
        <v>229</v>
      </c>
      <c r="D229" s="22">
        <v>9</v>
      </c>
      <c r="E229" s="222">
        <v>43559</v>
      </c>
      <c r="F229" s="121" t="str">
        <f>HYPERLINK("https://senggang.republika.co.id/berita/senggang/blitz/ppei4x414/bela-penyuka-sesama-jenis-degeneres-boikot-hotel-brunei ","sumber")</f>
        <v>sumber</v>
      </c>
      <c r="G229" s="22" t="s">
        <v>1</v>
      </c>
      <c r="H229" s="22">
        <v>179</v>
      </c>
      <c r="I229" s="22">
        <v>1</v>
      </c>
      <c r="J229" s="22">
        <v>3</v>
      </c>
      <c r="K229" s="123" t="s">
        <v>5160</v>
      </c>
      <c r="L229" s="22">
        <v>0</v>
      </c>
      <c r="M229" s="22">
        <v>0</v>
      </c>
      <c r="N229" s="125">
        <v>0</v>
      </c>
      <c r="O229" s="125">
        <v>0</v>
      </c>
      <c r="P229" s="22">
        <v>0</v>
      </c>
      <c r="Q229" s="22">
        <v>0</v>
      </c>
      <c r="R229" s="22">
        <v>1</v>
      </c>
      <c r="S229" s="134"/>
      <c r="T229" s="22">
        <v>0</v>
      </c>
      <c r="U229" s="22">
        <v>0</v>
      </c>
      <c r="V229" s="22">
        <v>1</v>
      </c>
      <c r="W229" s="23"/>
      <c r="X229" s="23"/>
      <c r="Y229" s="23"/>
    </row>
    <row r="230" spans="1:25" ht="14.4">
      <c r="A230" s="117">
        <v>1</v>
      </c>
      <c r="B230" s="331" t="s">
        <v>5161</v>
      </c>
      <c r="C230" s="22">
        <v>230</v>
      </c>
      <c r="D230" s="22">
        <v>8</v>
      </c>
      <c r="E230" s="222">
        <v>43681</v>
      </c>
      <c r="F230" s="121" t="str">
        <f>HYPERLINK("https://www.suara.com/news/2019/04/08/163001/buron-dari-brunei-aksi-pria-gay-ini-ternyata-bukan-terkait-hukum-syariat ","sumber")</f>
        <v>sumber</v>
      </c>
      <c r="G230" s="22" t="s">
        <v>1</v>
      </c>
      <c r="H230" s="22">
        <v>343</v>
      </c>
      <c r="I230" s="22">
        <v>1</v>
      </c>
      <c r="J230" s="22">
        <v>3</v>
      </c>
      <c r="K230" s="123" t="s">
        <v>5162</v>
      </c>
      <c r="L230" s="22">
        <v>0</v>
      </c>
      <c r="M230" s="22">
        <v>0</v>
      </c>
      <c r="N230" s="125">
        <v>0</v>
      </c>
      <c r="O230" s="125">
        <v>0</v>
      </c>
      <c r="P230" s="22">
        <v>0</v>
      </c>
      <c r="Q230" s="22" t="s">
        <v>29</v>
      </c>
      <c r="R230" s="22" t="s">
        <v>160</v>
      </c>
      <c r="S230" s="134"/>
      <c r="T230" s="22">
        <v>0</v>
      </c>
      <c r="U230" s="22">
        <v>0</v>
      </c>
      <c r="V230" s="22">
        <v>1</v>
      </c>
      <c r="W230" s="23"/>
      <c r="X230" s="23"/>
      <c r="Y230" s="23"/>
    </row>
    <row r="231" spans="1:25" ht="14.4">
      <c r="A231" s="111">
        <v>2</v>
      </c>
      <c r="B231" s="330" t="s">
        <v>5163</v>
      </c>
      <c r="C231" s="25">
        <v>231</v>
      </c>
      <c r="D231" s="26"/>
      <c r="E231" s="25" t="s">
        <v>734</v>
      </c>
      <c r="F231" s="115" t="str">
        <f>HYPERLINK("https://nasional.republika.co.id/berita/nasional/umum/ppwbkt383/bkn-catat-ada-990-kasus-pelanggaran-netralitas-asn ","sumber")</f>
        <v>sumber</v>
      </c>
      <c r="G231" s="25" t="s">
        <v>1</v>
      </c>
      <c r="H231" s="26"/>
      <c r="I231" s="26"/>
      <c r="J231" s="26"/>
      <c r="K231" s="124"/>
      <c r="L231" s="26"/>
      <c r="M231" s="26"/>
      <c r="N231" s="26"/>
      <c r="O231" s="26"/>
      <c r="P231" s="26"/>
      <c r="Q231" s="26"/>
      <c r="R231" s="26"/>
      <c r="S231" s="124"/>
      <c r="T231" s="26"/>
      <c r="U231" s="26"/>
      <c r="V231" s="26"/>
      <c r="W231" s="26"/>
      <c r="X231" s="26"/>
      <c r="Y231" s="26"/>
    </row>
    <row r="232" spans="1:25" ht="14.4">
      <c r="A232" s="117">
        <v>1</v>
      </c>
      <c r="B232" s="331" t="s">
        <v>5164</v>
      </c>
      <c r="C232" s="22">
        <v>232</v>
      </c>
      <c r="D232" s="22">
        <v>10</v>
      </c>
      <c r="E232" s="22" t="s">
        <v>734</v>
      </c>
      <c r="F232" s="121" t="str">
        <f>HYPERLINK("https://dunia.tempo.co/read/1195214/uu-brunei-rajam-mati-lgbt-dikecam-pbb-apa-kata-menlu-brunei ","sumber")</f>
        <v>sumber</v>
      </c>
      <c r="G232" s="22" t="s">
        <v>1</v>
      </c>
      <c r="H232" s="22">
        <v>314</v>
      </c>
      <c r="I232" s="22">
        <v>1</v>
      </c>
      <c r="J232" s="22">
        <v>3</v>
      </c>
      <c r="K232" s="338" t="s">
        <v>5165</v>
      </c>
      <c r="L232" s="22">
        <v>0</v>
      </c>
      <c r="M232" s="22">
        <v>0</v>
      </c>
      <c r="N232" s="125">
        <v>0</v>
      </c>
      <c r="O232" s="125">
        <v>0</v>
      </c>
      <c r="P232" s="22">
        <v>0</v>
      </c>
      <c r="Q232" s="22">
        <v>0</v>
      </c>
      <c r="R232" s="22">
        <v>-1</v>
      </c>
      <c r="S232" s="134"/>
      <c r="T232" s="22">
        <v>0</v>
      </c>
      <c r="U232" s="22">
        <v>0</v>
      </c>
      <c r="V232" s="22">
        <v>1</v>
      </c>
      <c r="W232" s="23"/>
      <c r="X232" s="23"/>
      <c r="Y232" s="23"/>
    </row>
    <row r="233" spans="1:25" ht="14.4">
      <c r="A233" s="126">
        <v>1</v>
      </c>
      <c r="B233" s="319" t="s">
        <v>5166</v>
      </c>
      <c r="C233" s="33">
        <v>233</v>
      </c>
      <c r="D233" s="33">
        <v>2</v>
      </c>
      <c r="E233" s="33" t="s">
        <v>2538</v>
      </c>
      <c r="F233" s="130" t="str">
        <f>HYPERLINK("https://www.cnnindonesia.com/internasional/20190402132740-106-382863/hindari-hukum-rajam-mati-komunitas-lgbt-kabur-dari-brunei ","sumber")</f>
        <v>sumber</v>
      </c>
      <c r="G233" s="33" t="s">
        <v>1</v>
      </c>
      <c r="H233" s="33">
        <v>2</v>
      </c>
      <c r="I233" s="33">
        <v>2</v>
      </c>
      <c r="J233" s="33">
        <v>4</v>
      </c>
      <c r="K233" s="203" t="s">
        <v>5167</v>
      </c>
      <c r="L233" s="33">
        <v>0</v>
      </c>
      <c r="M233" s="33">
        <v>0</v>
      </c>
      <c r="N233" s="132">
        <v>0</v>
      </c>
      <c r="O233" s="132">
        <v>0</v>
      </c>
      <c r="P233" s="33">
        <v>0</v>
      </c>
      <c r="Q233" s="33" t="s">
        <v>1991</v>
      </c>
      <c r="R233" s="33" t="s">
        <v>360</v>
      </c>
      <c r="S233" s="133"/>
      <c r="T233" s="33">
        <v>0</v>
      </c>
      <c r="U233" s="33">
        <v>0</v>
      </c>
      <c r="V233" s="33">
        <v>1</v>
      </c>
      <c r="W233" s="24"/>
      <c r="X233" s="24"/>
      <c r="Y233" s="24"/>
    </row>
    <row r="234" spans="1:25" ht="14.4">
      <c r="A234" s="117">
        <v>1</v>
      </c>
      <c r="B234" s="331" t="s">
        <v>5168</v>
      </c>
      <c r="C234" s="22">
        <v>234</v>
      </c>
      <c r="D234" s="22">
        <v>10</v>
      </c>
      <c r="E234" s="22" t="s">
        <v>2538</v>
      </c>
      <c r="F234" s="121" t="str">
        <f>HYPERLINK("https://seleb.tempo.co/read/1196132/film-garin-nugroho-kucumbu-tubuh-indahku-tayang-usai-pemilu ","sumber")</f>
        <v>sumber</v>
      </c>
      <c r="G234" s="22" t="s">
        <v>1</v>
      </c>
      <c r="H234" s="22">
        <v>326</v>
      </c>
      <c r="I234" s="22">
        <v>3</v>
      </c>
      <c r="J234" s="22">
        <v>3</v>
      </c>
      <c r="K234" s="123" t="s">
        <v>5169</v>
      </c>
      <c r="L234" s="22">
        <v>0</v>
      </c>
      <c r="M234" s="22">
        <v>0</v>
      </c>
      <c r="N234" s="125">
        <v>0</v>
      </c>
      <c r="O234" s="125">
        <v>0</v>
      </c>
      <c r="P234" s="22">
        <v>0</v>
      </c>
      <c r="Q234" s="22">
        <v>0</v>
      </c>
      <c r="R234" s="22">
        <v>1</v>
      </c>
      <c r="S234" s="134"/>
      <c r="T234" s="22">
        <v>0</v>
      </c>
      <c r="U234" s="22">
        <v>0</v>
      </c>
      <c r="V234" s="22">
        <v>1</v>
      </c>
      <c r="W234" s="23"/>
      <c r="X234" s="23"/>
      <c r="Y234" s="23"/>
    </row>
    <row r="235" spans="1:25" ht="14.4">
      <c r="A235" s="117">
        <v>1</v>
      </c>
      <c r="B235" s="331" t="s">
        <v>5170</v>
      </c>
      <c r="C235" s="22">
        <v>235</v>
      </c>
      <c r="D235" s="22">
        <v>10</v>
      </c>
      <c r="E235" s="22" t="s">
        <v>5171</v>
      </c>
      <c r="F235" s="121" t="str">
        <f>HYPERLINK("https://www.suara.com/entertainment/2019/04/23/135032/dinar-candy-sebut-soal-potong-anu-dan-bencong-sindir-lucinta-luna ","sumber")</f>
        <v>sumber</v>
      </c>
      <c r="G235" s="22" t="s">
        <v>1</v>
      </c>
      <c r="H235" s="22">
        <v>186</v>
      </c>
      <c r="I235" s="22">
        <v>1</v>
      </c>
      <c r="J235" s="22">
        <v>3</v>
      </c>
      <c r="K235" s="123" t="s">
        <v>5172</v>
      </c>
      <c r="L235" s="22">
        <v>0</v>
      </c>
      <c r="M235" s="22">
        <v>0</v>
      </c>
      <c r="N235" s="125">
        <v>0</v>
      </c>
      <c r="O235" s="125">
        <v>0</v>
      </c>
      <c r="P235" s="22">
        <v>0</v>
      </c>
      <c r="Q235" s="22">
        <v>0</v>
      </c>
      <c r="R235" s="22">
        <v>-1</v>
      </c>
      <c r="S235" s="134"/>
      <c r="T235" s="22">
        <v>0</v>
      </c>
      <c r="U235" s="22">
        <v>0</v>
      </c>
      <c r="V235" s="22">
        <v>1</v>
      </c>
      <c r="W235" s="23"/>
      <c r="X235" s="23"/>
      <c r="Y235" s="23"/>
    </row>
    <row r="236" spans="1:25" ht="14.4">
      <c r="A236" s="126">
        <v>1</v>
      </c>
      <c r="B236" s="319" t="s">
        <v>5173</v>
      </c>
      <c r="C236" s="33">
        <v>236</v>
      </c>
      <c r="D236" s="33">
        <v>10</v>
      </c>
      <c r="E236" s="33" t="s">
        <v>5174</v>
      </c>
      <c r="F236" s="130" t="str">
        <f>HYPERLINK("https://dunia.tempo.co/read/1192075/brunei-darussalam-mulai-terapkan-hukum-syariah-rajam-dan-cambuk ","sumber")</f>
        <v>sumber</v>
      </c>
      <c r="G236" s="33" t="s">
        <v>1</v>
      </c>
      <c r="H236" s="33">
        <v>2</v>
      </c>
      <c r="I236" s="33">
        <v>4</v>
      </c>
      <c r="J236" s="33">
        <v>3</v>
      </c>
      <c r="K236" s="131" t="s">
        <v>5175</v>
      </c>
      <c r="L236" s="33">
        <v>0</v>
      </c>
      <c r="M236" s="33">
        <v>0</v>
      </c>
      <c r="N236" s="132">
        <v>0</v>
      </c>
      <c r="O236" s="132">
        <v>0</v>
      </c>
      <c r="P236" s="33">
        <v>0</v>
      </c>
      <c r="Q236" s="33" t="s">
        <v>29</v>
      </c>
      <c r="R236" s="33" t="s">
        <v>141</v>
      </c>
      <c r="S236" s="133"/>
      <c r="T236" s="33">
        <v>0</v>
      </c>
      <c r="U236" s="33">
        <v>0</v>
      </c>
      <c r="V236" s="33">
        <v>1</v>
      </c>
      <c r="W236" s="24"/>
      <c r="X236" s="24"/>
      <c r="Y236" s="24"/>
    </row>
    <row r="237" spans="1:25" ht="14.4">
      <c r="A237" s="117">
        <v>1</v>
      </c>
      <c r="B237" s="331" t="s">
        <v>4342</v>
      </c>
      <c r="C237" s="22">
        <v>237</v>
      </c>
      <c r="D237" s="22">
        <v>6</v>
      </c>
      <c r="E237" s="222">
        <v>43470</v>
      </c>
      <c r="F237" s="121" t="str">
        <f>HYPERLINK("https://regional.kompas.com/read/2019/05/01/12594781/dianggap-meresahkan-indekos-waria-di-cianjur-digerebek-warga ","sumber")</f>
        <v>sumber</v>
      </c>
      <c r="G237" s="22" t="s">
        <v>1</v>
      </c>
      <c r="H237" s="22">
        <v>342</v>
      </c>
      <c r="I237" s="22">
        <v>1</v>
      </c>
      <c r="J237" s="22">
        <v>3</v>
      </c>
      <c r="K237" s="123" t="s">
        <v>5176</v>
      </c>
      <c r="L237" s="22">
        <v>0</v>
      </c>
      <c r="M237" s="22">
        <v>0</v>
      </c>
      <c r="N237" s="125">
        <v>0</v>
      </c>
      <c r="O237" s="125">
        <v>0</v>
      </c>
      <c r="P237" s="22">
        <v>0</v>
      </c>
      <c r="Q237" s="22" t="s">
        <v>29</v>
      </c>
      <c r="R237" s="22" t="s">
        <v>653</v>
      </c>
      <c r="S237" s="134"/>
      <c r="T237" s="22">
        <v>0</v>
      </c>
      <c r="U237" s="22">
        <v>0</v>
      </c>
      <c r="V237" s="22">
        <v>1</v>
      </c>
      <c r="W237" s="23"/>
      <c r="X237" s="23"/>
      <c r="Y237" s="23"/>
    </row>
    <row r="238" spans="1:25" ht="14.4">
      <c r="A238" s="117">
        <v>1</v>
      </c>
      <c r="B238" s="331" t="s">
        <v>5177</v>
      </c>
      <c r="C238" s="22">
        <v>238</v>
      </c>
      <c r="D238" s="22">
        <v>6</v>
      </c>
      <c r="E238" s="222">
        <v>43651</v>
      </c>
      <c r="F238" s="121" t="str">
        <f>HYPERLINK("https://internasional.kompas.com/read/2019/05/07/05391131/populer-nternasional-sultan-brunei-tak-hukum-mati-pelaku-seks-lgbt ","sumber")</f>
        <v>sumber</v>
      </c>
      <c r="G238" s="22" t="s">
        <v>1</v>
      </c>
      <c r="H238" s="22">
        <v>299</v>
      </c>
      <c r="I238" s="22">
        <v>4</v>
      </c>
      <c r="J238" s="22">
        <v>3</v>
      </c>
      <c r="K238" s="123" t="s">
        <v>5178</v>
      </c>
      <c r="L238" s="22">
        <v>0</v>
      </c>
      <c r="M238" s="22">
        <v>0</v>
      </c>
      <c r="N238" s="125">
        <v>0</v>
      </c>
      <c r="O238" s="125">
        <v>0</v>
      </c>
      <c r="P238" s="22">
        <v>0</v>
      </c>
      <c r="Q238" s="22">
        <v>0</v>
      </c>
      <c r="R238" s="22">
        <v>1</v>
      </c>
      <c r="S238" s="134"/>
      <c r="T238" s="22">
        <v>0</v>
      </c>
      <c r="U238" s="22">
        <v>0</v>
      </c>
      <c r="V238" s="22">
        <v>1</v>
      </c>
      <c r="W238" s="23"/>
      <c r="X238" s="23"/>
      <c r="Y238" s="23"/>
    </row>
    <row r="239" spans="1:25" ht="14.4">
      <c r="A239" s="126">
        <v>1</v>
      </c>
      <c r="B239" s="319" t="s">
        <v>5179</v>
      </c>
      <c r="C239" s="33">
        <v>239</v>
      </c>
      <c r="D239" s="33">
        <v>6</v>
      </c>
      <c r="E239" s="288">
        <v>43713</v>
      </c>
      <c r="F239" s="130" t="str">
        <f>HYPERLINK("https://regional.kompas.com/read/2019/05/09/10312451/wali-kota-padang-larang-penayangan-film-kucumbu-tubuh-indahku ","sumber")</f>
        <v>sumber</v>
      </c>
      <c r="G239" s="33" t="s">
        <v>1</v>
      </c>
      <c r="H239" s="33">
        <v>1</v>
      </c>
      <c r="I239" s="33">
        <v>4</v>
      </c>
      <c r="J239" s="33">
        <v>3</v>
      </c>
      <c r="K239" s="131" t="s">
        <v>5180</v>
      </c>
      <c r="L239" s="33">
        <v>0</v>
      </c>
      <c r="M239" s="33">
        <v>0</v>
      </c>
      <c r="N239" s="132">
        <v>0</v>
      </c>
      <c r="O239" s="132">
        <v>0</v>
      </c>
      <c r="P239" s="33">
        <v>0</v>
      </c>
      <c r="Q239" s="33">
        <v>0</v>
      </c>
      <c r="R239" s="33">
        <v>-1</v>
      </c>
      <c r="S239" s="133"/>
      <c r="T239" s="33">
        <v>0</v>
      </c>
      <c r="U239" s="33">
        <v>0</v>
      </c>
      <c r="V239" s="33">
        <v>1</v>
      </c>
      <c r="W239" s="24"/>
      <c r="X239" s="24"/>
      <c r="Y239" s="24"/>
    </row>
    <row r="240" spans="1:25" ht="14.4">
      <c r="A240" s="126">
        <v>1</v>
      </c>
      <c r="B240" s="319" t="s">
        <v>5181</v>
      </c>
      <c r="C240" s="33">
        <v>240</v>
      </c>
      <c r="D240" s="33">
        <v>6</v>
      </c>
      <c r="E240" s="288">
        <v>43804</v>
      </c>
      <c r="F240" s="130" t="str">
        <f>HYPERLINK("https://internasional.kompas.com/read/2019/05/26/21425461/cucu-bapak-pendiri-singapura-nikahi-pasangan-sejenisnya ","sumber")</f>
        <v>sumber</v>
      </c>
      <c r="G240" s="33" t="s">
        <v>1</v>
      </c>
      <c r="H240" s="33">
        <v>2</v>
      </c>
      <c r="I240" s="33">
        <v>2</v>
      </c>
      <c r="J240" s="33">
        <v>3</v>
      </c>
      <c r="K240" s="131" t="s">
        <v>5182</v>
      </c>
      <c r="L240" s="33">
        <v>0</v>
      </c>
      <c r="M240" s="33">
        <v>0</v>
      </c>
      <c r="N240" s="132">
        <v>0</v>
      </c>
      <c r="O240" s="132">
        <v>0</v>
      </c>
      <c r="P240" s="33">
        <v>0</v>
      </c>
      <c r="Q240" s="33">
        <v>0</v>
      </c>
      <c r="R240" s="33">
        <v>1</v>
      </c>
      <c r="S240" s="133"/>
      <c r="T240" s="33">
        <v>0</v>
      </c>
      <c r="U240" s="33">
        <v>0</v>
      </c>
      <c r="V240" s="33">
        <v>1</v>
      </c>
      <c r="W240" s="24"/>
      <c r="X240" s="24"/>
      <c r="Y240" s="24"/>
    </row>
    <row r="241" spans="1:25" ht="14.4">
      <c r="A241" s="117">
        <v>1</v>
      </c>
      <c r="B241" s="331" t="s">
        <v>5183</v>
      </c>
      <c r="C241" s="22">
        <v>241</v>
      </c>
      <c r="D241" s="22">
        <v>4</v>
      </c>
      <c r="E241" s="22" t="s">
        <v>358</v>
      </c>
      <c r="F241" s="121" t="str">
        <f>HYPERLINK("https://www.liputan6.com/global/read/3969747/saat-taiwan-jadi-negara-asia-pertama-yang-legalkan-pernikahan-sesama-jenis ","sumber")</f>
        <v>sumber</v>
      </c>
      <c r="G241" s="22" t="s">
        <v>1</v>
      </c>
      <c r="H241" s="22">
        <v>446</v>
      </c>
      <c r="I241" s="22">
        <v>4</v>
      </c>
      <c r="J241" s="22">
        <v>3</v>
      </c>
      <c r="K241" s="123" t="s">
        <v>5184</v>
      </c>
      <c r="L241" s="22">
        <v>0</v>
      </c>
      <c r="M241" s="22">
        <v>0</v>
      </c>
      <c r="N241" s="125">
        <v>0</v>
      </c>
      <c r="O241" s="125">
        <v>0</v>
      </c>
      <c r="P241" s="22">
        <v>0</v>
      </c>
      <c r="Q241" s="22" t="s">
        <v>21</v>
      </c>
      <c r="R241" s="22" t="s">
        <v>837</v>
      </c>
      <c r="S241" s="134"/>
      <c r="T241" s="22">
        <v>0</v>
      </c>
      <c r="U241" s="22">
        <v>0</v>
      </c>
      <c r="V241" s="22">
        <v>1</v>
      </c>
      <c r="W241" s="23"/>
      <c r="X241" s="23"/>
      <c r="Y241" s="23"/>
    </row>
    <row r="242" spans="1:25" ht="14.4">
      <c r="A242" s="117">
        <v>1</v>
      </c>
      <c r="B242" s="331" t="s">
        <v>5185</v>
      </c>
      <c r="C242" s="22">
        <v>242</v>
      </c>
      <c r="D242" s="22">
        <v>1</v>
      </c>
      <c r="E242" s="22" t="s">
        <v>205</v>
      </c>
      <c r="F242" s="121" t="str">
        <f>HYPERLINK("https://news.detik.com/berita-jawa-timur/d-4557885/5-pria-terjaring-razia-saat-berbuat-asusila-antar-sesama ","sumber")</f>
        <v>sumber</v>
      </c>
      <c r="G242" s="22" t="s">
        <v>1</v>
      </c>
      <c r="H242" s="22">
        <v>154</v>
      </c>
      <c r="I242" s="22">
        <v>1</v>
      </c>
      <c r="J242" s="22">
        <v>3</v>
      </c>
      <c r="K242" s="123" t="s">
        <v>5186</v>
      </c>
      <c r="L242" s="22">
        <v>0</v>
      </c>
      <c r="M242" s="22">
        <v>0</v>
      </c>
      <c r="N242" s="125">
        <v>0</v>
      </c>
      <c r="O242" s="125">
        <v>0</v>
      </c>
      <c r="P242" s="22">
        <v>0</v>
      </c>
      <c r="Q242" s="22">
        <v>0</v>
      </c>
      <c r="R242" s="22">
        <v>-1</v>
      </c>
      <c r="S242" s="134"/>
      <c r="T242" s="22">
        <v>0</v>
      </c>
      <c r="U242" s="22">
        <v>0</v>
      </c>
      <c r="V242" s="22">
        <v>1</v>
      </c>
      <c r="W242" s="23"/>
      <c r="X242" s="23"/>
      <c r="Y242" s="23"/>
    </row>
    <row r="243" spans="1:25" ht="14.4">
      <c r="A243" s="111">
        <v>2</v>
      </c>
      <c r="B243" s="330" t="s">
        <v>5187</v>
      </c>
      <c r="C243" s="25">
        <v>243</v>
      </c>
      <c r="D243" s="25">
        <v>4</v>
      </c>
      <c r="E243" s="25" t="s">
        <v>556</v>
      </c>
      <c r="F243" s="115" t="str">
        <f>HYPERLINK("https://hot.liputan6.com/read/3972703/video-ada-panti-jompo-waria-di-indonesia-pertama-di-dunia ","sumber")</f>
        <v>sumber</v>
      </c>
      <c r="G243" s="25" t="s">
        <v>1</v>
      </c>
      <c r="H243" s="25">
        <v>21</v>
      </c>
      <c r="I243" s="25">
        <v>2</v>
      </c>
      <c r="J243" s="25">
        <v>3</v>
      </c>
      <c r="K243" s="116" t="s">
        <v>5068</v>
      </c>
      <c r="L243" s="26"/>
      <c r="M243" s="25"/>
      <c r="N243" s="151"/>
      <c r="O243" s="151"/>
      <c r="P243" s="25"/>
      <c r="Q243" s="26"/>
      <c r="R243" s="26"/>
      <c r="S243" s="124"/>
      <c r="T243" s="25"/>
      <c r="U243" s="25"/>
      <c r="V243" s="25"/>
      <c r="W243" s="26"/>
      <c r="X243" s="26"/>
      <c r="Y243" s="26"/>
    </row>
    <row r="244" spans="1:25" ht="14.4">
      <c r="A244" s="126">
        <v>1</v>
      </c>
      <c r="B244" s="319" t="s">
        <v>5188</v>
      </c>
      <c r="C244" s="33">
        <v>244</v>
      </c>
      <c r="D244" s="33">
        <v>2</v>
      </c>
      <c r="E244" s="33" t="s">
        <v>5189</v>
      </c>
      <c r="F244" s="130" t="str">
        <f>HYPERLINK("https://www.cnnindonesia.com/hiburan/20190502125147-220-391340/kontroversial-kucumbu-tubuh-indahku-dirasa-tetap-perlu-ada ","sumber")</f>
        <v>sumber</v>
      </c>
      <c r="G244" s="33" t="s">
        <v>1</v>
      </c>
      <c r="H244" s="33">
        <v>3</v>
      </c>
      <c r="I244" s="33">
        <v>3</v>
      </c>
      <c r="J244" s="33">
        <v>3</v>
      </c>
      <c r="K244" s="290" t="s">
        <v>5190</v>
      </c>
      <c r="L244" s="33">
        <v>0</v>
      </c>
      <c r="M244" s="33">
        <v>0</v>
      </c>
      <c r="N244" s="132">
        <v>0</v>
      </c>
      <c r="O244" s="132">
        <v>0</v>
      </c>
      <c r="P244" s="33">
        <v>0</v>
      </c>
      <c r="Q244" s="33" t="s">
        <v>29</v>
      </c>
      <c r="R244" s="33" t="s">
        <v>160</v>
      </c>
      <c r="S244" s="133"/>
      <c r="T244" s="33">
        <v>0</v>
      </c>
      <c r="U244" s="33">
        <v>0</v>
      </c>
      <c r="V244" s="33">
        <v>1</v>
      </c>
      <c r="W244" s="24"/>
      <c r="X244" s="24"/>
      <c r="Y244" s="24"/>
    </row>
    <row r="245" spans="1:25" ht="14.4">
      <c r="A245" s="111">
        <v>2</v>
      </c>
      <c r="B245" s="330" t="s">
        <v>5191</v>
      </c>
      <c r="C245" s="25">
        <v>245</v>
      </c>
      <c r="D245" s="26"/>
      <c r="E245" s="25" t="s">
        <v>4385</v>
      </c>
      <c r="F245" s="115" t="str">
        <f>HYPERLINK("https://index.okezone.com/read/2019/06/13/614/2065994/kontroversi-zakir-naik-penceramah-kondang-yang-bikin-malaysia-dan-india-memanas ","sumber")</f>
        <v>sumber</v>
      </c>
      <c r="G245" s="25" t="s">
        <v>1</v>
      </c>
      <c r="H245" s="26"/>
      <c r="I245" s="26"/>
      <c r="J245" s="26"/>
      <c r="K245" s="124"/>
      <c r="L245" s="26"/>
      <c r="M245" s="26"/>
      <c r="N245" s="26"/>
      <c r="O245" s="26"/>
      <c r="P245" s="26"/>
      <c r="Q245" s="26"/>
      <c r="R245" s="26"/>
      <c r="S245" s="124"/>
      <c r="T245" s="26"/>
      <c r="U245" s="26"/>
      <c r="V245" s="26"/>
      <c r="W245" s="26"/>
      <c r="X245" s="26"/>
      <c r="Y245" s="26"/>
    </row>
    <row r="246" spans="1:25" ht="14.4">
      <c r="A246" s="126">
        <v>1</v>
      </c>
      <c r="B246" s="319" t="s">
        <v>5192</v>
      </c>
      <c r="C246" s="33">
        <v>246</v>
      </c>
      <c r="D246" s="33">
        <v>5</v>
      </c>
      <c r="E246" s="33" t="s">
        <v>388</v>
      </c>
      <c r="F246" s="130" t="str">
        <f>HYPERLINK("https://tirto.id/kuasa-hukum-polisi-gay-minta-komnas-ham-jadi-ahli-sidang-ptun-dSLj ","sumber")</f>
        <v>sumber</v>
      </c>
      <c r="G246" s="33" t="s">
        <v>1</v>
      </c>
      <c r="H246" s="33">
        <v>2</v>
      </c>
      <c r="I246" s="33">
        <v>4</v>
      </c>
      <c r="J246" s="33">
        <v>3</v>
      </c>
      <c r="K246" s="131" t="s">
        <v>5193</v>
      </c>
      <c r="L246" s="33">
        <v>0</v>
      </c>
      <c r="M246" s="33">
        <v>0</v>
      </c>
      <c r="N246" s="132">
        <v>0</v>
      </c>
      <c r="O246" s="132">
        <v>0</v>
      </c>
      <c r="P246" s="33">
        <v>0</v>
      </c>
      <c r="Q246" s="33" t="s">
        <v>29</v>
      </c>
      <c r="R246" s="33" t="s">
        <v>160</v>
      </c>
      <c r="S246" s="133"/>
      <c r="T246" s="33">
        <v>0</v>
      </c>
      <c r="U246" s="33">
        <v>0</v>
      </c>
      <c r="V246" s="33">
        <v>1</v>
      </c>
      <c r="W246" s="24"/>
      <c r="X246" s="24"/>
      <c r="Y246" s="24"/>
    </row>
    <row r="247" spans="1:25" ht="14.4">
      <c r="A247" s="111">
        <v>2</v>
      </c>
      <c r="B247" s="330" t="s">
        <v>5194</v>
      </c>
      <c r="C247" s="25">
        <v>247</v>
      </c>
      <c r="D247" s="26"/>
      <c r="E247" s="25" t="s">
        <v>220</v>
      </c>
      <c r="F247" s="115" t="str">
        <f>HYPERLINK("https://www.cnnindonesia.com/gaya-hidup/20190621125441-269-405238/sambut-hut-jakarta-hari-ini-masuk-ancol-gratis ","sumber")</f>
        <v>sumber</v>
      </c>
      <c r="G247" s="25" t="s">
        <v>1</v>
      </c>
      <c r="H247" s="26"/>
      <c r="I247" s="26"/>
      <c r="J247" s="26"/>
      <c r="K247" s="124"/>
      <c r="L247" s="26"/>
      <c r="M247" s="25"/>
      <c r="N247" s="26"/>
      <c r="O247" s="26"/>
      <c r="P247" s="26"/>
      <c r="Q247" s="26"/>
      <c r="R247" s="26"/>
      <c r="S247" s="124"/>
      <c r="T247" s="26"/>
      <c r="U247" s="26"/>
      <c r="V247" s="26"/>
      <c r="W247" s="26"/>
      <c r="X247" s="26"/>
      <c r="Y247" s="26"/>
    </row>
    <row r="248" spans="1:25" ht="14.4">
      <c r="A248" s="111">
        <v>2</v>
      </c>
      <c r="B248" s="330" t="s">
        <v>5195</v>
      </c>
      <c r="C248" s="25">
        <v>248</v>
      </c>
      <c r="D248" s="26"/>
      <c r="E248" s="25" t="s">
        <v>2035</v>
      </c>
      <c r="F248" s="115" t="str">
        <f>HYPERLINK("https://dunia.tempo.co/read/1217611/trump-tidak-siap-kalah-di-pemilihan-presiden-as-2020 ","sumber")</f>
        <v>sumber</v>
      </c>
      <c r="G248" s="25" t="s">
        <v>1</v>
      </c>
      <c r="H248" s="26"/>
      <c r="I248" s="26"/>
      <c r="J248" s="26"/>
      <c r="K248" s="124"/>
      <c r="L248" s="26"/>
      <c r="M248" s="26"/>
      <c r="N248" s="26"/>
      <c r="O248" s="26"/>
      <c r="P248" s="26"/>
      <c r="Q248" s="26"/>
      <c r="R248" s="26"/>
      <c r="S248" s="124"/>
      <c r="T248" s="26"/>
      <c r="U248" s="26"/>
      <c r="V248" s="26"/>
      <c r="W248" s="26"/>
      <c r="X248" s="26"/>
      <c r="Y248" s="26"/>
    </row>
    <row r="249" spans="1:25" ht="14.4">
      <c r="A249" s="117">
        <v>1</v>
      </c>
      <c r="B249" s="331" t="s">
        <v>5196</v>
      </c>
      <c r="C249" s="22">
        <v>249</v>
      </c>
      <c r="D249" s="22">
        <v>6</v>
      </c>
      <c r="E249" s="22" t="s">
        <v>238</v>
      </c>
      <c r="F249" s="121" t="str">
        <f>HYPERLINK("https://internasional.kompas.com/read/2019/06/25/18015741/usai-bikin-status-facebook-pria-gay-myanmar-bunuh-diri ","sumber")</f>
        <v>sumber</v>
      </c>
      <c r="G249" s="22" t="s">
        <v>1</v>
      </c>
      <c r="H249" s="22">
        <v>288</v>
      </c>
      <c r="I249" s="22">
        <v>1</v>
      </c>
      <c r="J249" s="22">
        <v>3</v>
      </c>
      <c r="K249" s="123" t="s">
        <v>5197</v>
      </c>
      <c r="L249" s="22">
        <v>0</v>
      </c>
      <c r="M249" s="22">
        <v>0</v>
      </c>
      <c r="N249" s="125">
        <v>0</v>
      </c>
      <c r="O249" s="125">
        <v>0</v>
      </c>
      <c r="P249" s="22">
        <v>0</v>
      </c>
      <c r="Q249" s="22" t="s">
        <v>182</v>
      </c>
      <c r="R249" s="22" t="s">
        <v>160</v>
      </c>
      <c r="S249" s="134"/>
      <c r="T249" s="22">
        <v>0</v>
      </c>
      <c r="U249" s="22">
        <v>0</v>
      </c>
      <c r="V249" s="22">
        <v>1</v>
      </c>
      <c r="W249" s="23"/>
      <c r="X249" s="23"/>
      <c r="Y249" s="23"/>
    </row>
    <row r="250" spans="1:25" ht="14.4">
      <c r="A250" s="117">
        <v>1</v>
      </c>
      <c r="B250" s="331" t="s">
        <v>5198</v>
      </c>
      <c r="C250" s="22">
        <v>250</v>
      </c>
      <c r="D250" s="22">
        <v>10</v>
      </c>
      <c r="E250" s="22" t="s">
        <v>238</v>
      </c>
      <c r="F250" s="121" t="str">
        <f>HYPERLINK("https://difabel.tempo.co/read/1218143/menyesap-wangi-kopi-barista-inklusi ","sumber")</f>
        <v>sumber</v>
      </c>
      <c r="G250" s="22" t="s">
        <v>1</v>
      </c>
      <c r="H250" s="22">
        <v>790</v>
      </c>
      <c r="I250" s="22">
        <v>3</v>
      </c>
      <c r="J250" s="22">
        <v>3</v>
      </c>
      <c r="K250" s="123" t="s">
        <v>5199</v>
      </c>
      <c r="L250" s="22">
        <v>0</v>
      </c>
      <c r="M250" s="22">
        <v>0</v>
      </c>
      <c r="N250" s="125">
        <v>0</v>
      </c>
      <c r="O250" s="125">
        <v>0</v>
      </c>
      <c r="P250" s="22">
        <v>0</v>
      </c>
      <c r="Q250" s="22" t="s">
        <v>5200</v>
      </c>
      <c r="R250" s="22" t="s">
        <v>5201</v>
      </c>
      <c r="S250" s="134"/>
      <c r="T250" s="22">
        <v>0</v>
      </c>
      <c r="U250" s="22">
        <v>0</v>
      </c>
      <c r="V250" s="22">
        <v>1</v>
      </c>
      <c r="W250" s="23"/>
      <c r="X250" s="23"/>
      <c r="Y250" s="23"/>
    </row>
    <row r="251" spans="1:25" ht="14.4">
      <c r="A251" s="111">
        <v>2</v>
      </c>
      <c r="B251" s="330" t="s">
        <v>5202</v>
      </c>
      <c r="C251" s="25">
        <v>251</v>
      </c>
      <c r="D251" s="26"/>
      <c r="E251" s="25" t="s">
        <v>241</v>
      </c>
      <c r="F251" s="115" t="str">
        <f>HYPERLINK("https://gayahidup.republika.co.id/berita/gaya-hidup/kuliner/ptt358328/mengintip-jajanan-lezat-di-festival-makanan-singapura ","sumber")</f>
        <v>sumber</v>
      </c>
      <c r="G251" s="25" t="s">
        <v>1</v>
      </c>
      <c r="H251" s="26"/>
      <c r="I251" s="26"/>
      <c r="J251" s="26"/>
      <c r="K251" s="124"/>
      <c r="L251" s="26"/>
      <c r="M251" s="26"/>
      <c r="N251" s="26"/>
      <c r="O251" s="26"/>
      <c r="P251" s="26"/>
      <c r="Q251" s="26"/>
      <c r="R251" s="26"/>
      <c r="S251" s="124"/>
      <c r="T251" s="26"/>
      <c r="U251" s="26"/>
      <c r="V251" s="26"/>
      <c r="W251" s="26"/>
      <c r="X251" s="26"/>
      <c r="Y251" s="26"/>
    </row>
    <row r="252" spans="1:25" ht="14.4">
      <c r="A252" s="126">
        <v>1</v>
      </c>
      <c r="B252" s="319" t="s">
        <v>5203</v>
      </c>
      <c r="C252" s="33">
        <v>252</v>
      </c>
      <c r="D252" s="33">
        <v>2</v>
      </c>
      <c r="E252" s="33" t="s">
        <v>809</v>
      </c>
      <c r="F252" s="130" t="str">
        <f>HYPERLINK("https://www.cnnindonesia.com/hiburan/20190629152300-220-407600/elton-john-sebut-vladimir-putin-munafik ","sumber")</f>
        <v>sumber</v>
      </c>
      <c r="G252" s="33" t="s">
        <v>1</v>
      </c>
      <c r="H252" s="24"/>
      <c r="I252" s="33">
        <v>1</v>
      </c>
      <c r="J252" s="33">
        <v>3</v>
      </c>
      <c r="K252" s="131" t="s">
        <v>5204</v>
      </c>
      <c r="L252" s="33">
        <v>0</v>
      </c>
      <c r="M252" s="33">
        <v>0</v>
      </c>
      <c r="N252" s="132">
        <v>0</v>
      </c>
      <c r="O252" s="132">
        <v>0</v>
      </c>
      <c r="P252" s="33">
        <v>0</v>
      </c>
      <c r="Q252" s="33" t="s">
        <v>29</v>
      </c>
      <c r="R252" s="33" t="s">
        <v>182</v>
      </c>
      <c r="S252" s="133"/>
      <c r="T252" s="33">
        <v>0</v>
      </c>
      <c r="U252" s="33">
        <v>0</v>
      </c>
      <c r="V252" s="33">
        <v>1</v>
      </c>
      <c r="W252" s="24"/>
      <c r="X252" s="24"/>
      <c r="Y252" s="24"/>
    </row>
    <row r="253" spans="1:25" ht="14.4">
      <c r="A253" s="117">
        <v>1</v>
      </c>
      <c r="B253" s="331" t="s">
        <v>2389</v>
      </c>
      <c r="C253" s="22">
        <v>253</v>
      </c>
      <c r="D253" s="22">
        <v>6</v>
      </c>
      <c r="E253" s="222">
        <v>43472</v>
      </c>
      <c r="F253" s="121" t="str">
        <f>HYPERLINK("https://regional.kompas.com/read/2019/07/01/18063211/waria-perias-pengantin-cabuli-50-pria-2-orang-masih-pelajar","sumber")</f>
        <v>sumber</v>
      </c>
      <c r="G253" s="22" t="s">
        <v>1</v>
      </c>
      <c r="H253" s="22">
        <v>281</v>
      </c>
      <c r="I253" s="22">
        <v>1</v>
      </c>
      <c r="J253" s="22">
        <v>3</v>
      </c>
      <c r="K253" s="123" t="s">
        <v>5205</v>
      </c>
      <c r="L253" s="22">
        <v>0</v>
      </c>
      <c r="M253" s="22">
        <v>-1</v>
      </c>
      <c r="N253" s="125">
        <v>0</v>
      </c>
      <c r="O253" s="125">
        <v>0</v>
      </c>
      <c r="P253" s="22">
        <v>0</v>
      </c>
      <c r="Q253" s="22">
        <v>0</v>
      </c>
      <c r="R253" s="22">
        <v>1</v>
      </c>
      <c r="S253" s="134"/>
      <c r="T253" s="22">
        <v>0</v>
      </c>
      <c r="U253" s="22">
        <v>0</v>
      </c>
      <c r="V253" s="22">
        <v>1</v>
      </c>
      <c r="W253" s="23"/>
      <c r="X253" s="23"/>
      <c r="Y253" s="23"/>
    </row>
    <row r="254" spans="1:25" ht="14.4">
      <c r="A254" s="339">
        <v>2</v>
      </c>
      <c r="B254" s="319" t="s">
        <v>5206</v>
      </c>
      <c r="C254" s="33">
        <v>254</v>
      </c>
      <c r="D254" s="33">
        <v>1</v>
      </c>
      <c r="E254" s="340">
        <v>43655</v>
      </c>
      <c r="F254" s="153" t="s">
        <v>2163</v>
      </c>
      <c r="G254" s="33" t="s">
        <v>1</v>
      </c>
      <c r="H254" s="33">
        <v>476</v>
      </c>
      <c r="I254" s="33">
        <v>1</v>
      </c>
      <c r="J254" s="33">
        <v>3</v>
      </c>
      <c r="K254" s="131" t="s">
        <v>5207</v>
      </c>
      <c r="L254" s="33">
        <v>0</v>
      </c>
      <c r="M254" s="33">
        <v>1</v>
      </c>
      <c r="N254" s="33">
        <v>0</v>
      </c>
      <c r="O254" s="33">
        <v>0</v>
      </c>
      <c r="P254" s="33">
        <v>0</v>
      </c>
      <c r="Q254" s="33" t="s">
        <v>58</v>
      </c>
      <c r="R254" s="33" t="s">
        <v>1451</v>
      </c>
      <c r="S254" s="131" t="s">
        <v>716</v>
      </c>
      <c r="T254" s="33">
        <v>1</v>
      </c>
      <c r="U254" s="33">
        <v>0</v>
      </c>
      <c r="V254" s="33">
        <v>1</v>
      </c>
      <c r="W254" s="24"/>
      <c r="X254" s="24"/>
      <c r="Y254" s="24"/>
    </row>
    <row r="255" spans="1:25" ht="14.4">
      <c r="A255" s="126">
        <v>1</v>
      </c>
      <c r="B255" s="319" t="s">
        <v>5208</v>
      </c>
      <c r="C255" s="33">
        <v>255</v>
      </c>
      <c r="D255" s="33">
        <v>9</v>
      </c>
      <c r="E255" s="288">
        <v>43531</v>
      </c>
      <c r="F255" s="130" t="str">
        <f>HYPERLINK("https://nasional.republika.co.id/berita/pv41y5354/pemkot-depok-akan-usulkan-kembali-perda-antilgbt-pada-2020 ","sumber")</f>
        <v>sumber</v>
      </c>
      <c r="G255" s="33" t="s">
        <v>1</v>
      </c>
      <c r="H255" s="33">
        <v>2</v>
      </c>
      <c r="I255" s="33">
        <v>4</v>
      </c>
      <c r="J255" s="33">
        <v>3</v>
      </c>
      <c r="K255" s="131" t="s">
        <v>5209</v>
      </c>
      <c r="L255" s="33">
        <v>0</v>
      </c>
      <c r="M255" s="33">
        <v>0</v>
      </c>
      <c r="N255" s="132">
        <v>0</v>
      </c>
      <c r="O255" s="132">
        <v>0</v>
      </c>
      <c r="P255" s="33">
        <v>0</v>
      </c>
      <c r="Q255" s="33" t="s">
        <v>29</v>
      </c>
      <c r="R255" s="33" t="s">
        <v>653</v>
      </c>
      <c r="S255" s="133"/>
      <c r="T255" s="33">
        <v>0</v>
      </c>
      <c r="U255" s="33">
        <v>0</v>
      </c>
      <c r="V255" s="33">
        <v>1</v>
      </c>
      <c r="W255" s="24"/>
      <c r="X255" s="24"/>
      <c r="Y255" s="24"/>
    </row>
    <row r="256" spans="1:25" ht="14.4">
      <c r="A256" s="126">
        <v>1</v>
      </c>
      <c r="B256" s="319" t="s">
        <v>5210</v>
      </c>
      <c r="C256" s="33">
        <v>256</v>
      </c>
      <c r="D256" s="33">
        <v>4</v>
      </c>
      <c r="E256" s="288">
        <v>43562</v>
      </c>
      <c r="F256" s="130" t="str">
        <f>HYPERLINK("https://www.liputan6.com/showbiz/read/4005033/ikut-parade-di-new-york-city-dena-rachman-tampil-heboh ","sumber")</f>
        <v>sumber</v>
      </c>
      <c r="G256" s="33" t="s">
        <v>1</v>
      </c>
      <c r="H256" s="33">
        <v>183</v>
      </c>
      <c r="I256" s="33">
        <v>3</v>
      </c>
      <c r="J256" s="33">
        <v>3</v>
      </c>
      <c r="K256" s="203" t="s">
        <v>5211</v>
      </c>
      <c r="L256" s="33">
        <v>0</v>
      </c>
      <c r="M256" s="33">
        <v>0</v>
      </c>
      <c r="N256" s="132">
        <v>0</v>
      </c>
      <c r="O256" s="132">
        <v>0</v>
      </c>
      <c r="P256" s="33">
        <v>0</v>
      </c>
      <c r="Q256" s="33">
        <v>0</v>
      </c>
      <c r="R256" s="33">
        <v>1</v>
      </c>
      <c r="S256" s="133"/>
      <c r="T256" s="33">
        <v>0</v>
      </c>
      <c r="U256" s="33">
        <v>0</v>
      </c>
      <c r="V256" s="33">
        <v>0</v>
      </c>
      <c r="W256" s="24"/>
      <c r="X256" s="24"/>
      <c r="Y256" s="24"/>
    </row>
    <row r="257" spans="1:25" ht="14.4">
      <c r="A257" s="126">
        <v>1</v>
      </c>
      <c r="B257" s="285" t="s">
        <v>5212</v>
      </c>
      <c r="C257" s="33">
        <v>257</v>
      </c>
      <c r="D257" s="33">
        <v>3</v>
      </c>
      <c r="E257" s="288">
        <v>43653</v>
      </c>
      <c r="F257" s="130" t="str">
        <f>HYPERLINK("https://news.okezone.com/read/2019/07/27/18/2084425/uskup-siprus-sebut-penyebab-gay-akibat-ibu-hamil-melakukan-seks-anal ","sumber")</f>
        <v>sumber</v>
      </c>
      <c r="G257" s="33" t="s">
        <v>1</v>
      </c>
      <c r="H257" s="33">
        <v>1</v>
      </c>
      <c r="I257" s="33">
        <v>3</v>
      </c>
      <c r="J257" s="33">
        <v>3</v>
      </c>
      <c r="K257" s="131" t="s">
        <v>5213</v>
      </c>
      <c r="L257" s="33">
        <v>0</v>
      </c>
      <c r="M257" s="33">
        <v>0</v>
      </c>
      <c r="N257" s="132">
        <v>0</v>
      </c>
      <c r="O257" s="132">
        <v>0</v>
      </c>
      <c r="P257" s="33">
        <v>0</v>
      </c>
      <c r="Q257" s="33">
        <v>0</v>
      </c>
      <c r="R257" s="33">
        <v>-1</v>
      </c>
      <c r="S257" s="133"/>
      <c r="T257" s="33">
        <v>0</v>
      </c>
      <c r="U257" s="33">
        <v>0</v>
      </c>
      <c r="V257" s="33">
        <v>0</v>
      </c>
      <c r="W257" s="24"/>
      <c r="X257" s="24"/>
      <c r="Y257" s="24"/>
    </row>
    <row r="258" spans="1:25" ht="14.4">
      <c r="A258" s="126">
        <v>1</v>
      </c>
      <c r="B258" s="285" t="s">
        <v>5214</v>
      </c>
      <c r="C258" s="33">
        <v>258</v>
      </c>
      <c r="D258" s="33">
        <v>5</v>
      </c>
      <c r="E258" s="33" t="s">
        <v>613</v>
      </c>
      <c r="F258" s="130" t="str">
        <f>HYPERLINK("https://tirto.id/jejak-pertama-lesbianisme-dalam-film-indonesia-edFe ","sumber")</f>
        <v>sumber</v>
      </c>
      <c r="G258" s="33" t="s">
        <v>1</v>
      </c>
      <c r="H258" s="33">
        <v>3</v>
      </c>
      <c r="I258" s="33">
        <v>2</v>
      </c>
      <c r="J258" s="33">
        <v>3</v>
      </c>
      <c r="K258" s="131" t="s">
        <v>5215</v>
      </c>
      <c r="L258" s="33">
        <v>0</v>
      </c>
      <c r="M258" s="33">
        <v>0</v>
      </c>
      <c r="N258" s="132">
        <v>0</v>
      </c>
      <c r="O258" s="132">
        <v>0</v>
      </c>
      <c r="P258" s="33">
        <v>0</v>
      </c>
      <c r="Q258" s="33" t="s">
        <v>29</v>
      </c>
      <c r="R258" s="33" t="s">
        <v>160</v>
      </c>
      <c r="S258" s="133"/>
      <c r="T258" s="33">
        <v>0</v>
      </c>
      <c r="U258" s="33">
        <v>0</v>
      </c>
      <c r="V258" s="33">
        <v>1</v>
      </c>
      <c r="W258" s="24"/>
      <c r="X258" s="24"/>
      <c r="Y258" s="24"/>
    </row>
    <row r="259" spans="1:25" ht="14.4">
      <c r="A259" s="117">
        <v>1</v>
      </c>
      <c r="B259" s="294" t="s">
        <v>5216</v>
      </c>
      <c r="C259" s="22">
        <v>259</v>
      </c>
      <c r="D259" s="22">
        <v>7</v>
      </c>
      <c r="E259" s="22" t="s">
        <v>828</v>
      </c>
      <c r="F259" s="121" t="str">
        <f>HYPERLINK("https://www.tribunnews.com/regional/2019/07/14/video-call-tak-senonoh-diam-diam-direkam-pria-di-palopo-ini-jadi-sasaran-pemerasan-waria ","sumber")</f>
        <v>sumber</v>
      </c>
      <c r="G259" s="22" t="s">
        <v>1</v>
      </c>
      <c r="H259" s="22">
        <v>222</v>
      </c>
      <c r="I259" s="22">
        <v>1</v>
      </c>
      <c r="J259" s="22">
        <v>3</v>
      </c>
      <c r="K259" s="123" t="s">
        <v>5217</v>
      </c>
      <c r="L259" s="22">
        <v>0</v>
      </c>
      <c r="M259" s="22">
        <v>0</v>
      </c>
      <c r="N259" s="125">
        <v>0</v>
      </c>
      <c r="O259" s="125">
        <v>0</v>
      </c>
      <c r="P259" s="22">
        <v>-1</v>
      </c>
      <c r="Q259" s="22">
        <v>0</v>
      </c>
      <c r="R259" s="22">
        <v>1</v>
      </c>
      <c r="S259" s="134"/>
      <c r="T259" s="22">
        <v>0</v>
      </c>
      <c r="U259" s="22">
        <v>0</v>
      </c>
      <c r="V259" s="22">
        <v>1</v>
      </c>
      <c r="W259" s="23"/>
      <c r="X259" s="23"/>
      <c r="Y259" s="23"/>
    </row>
    <row r="260" spans="1:25" ht="14.4">
      <c r="A260" s="111">
        <v>2</v>
      </c>
      <c r="B260" s="308" t="s">
        <v>5218</v>
      </c>
      <c r="C260" s="25">
        <v>260</v>
      </c>
      <c r="D260" s="26"/>
      <c r="E260" s="25" t="s">
        <v>2406</v>
      </c>
      <c r="F260" s="115" t="str">
        <f>HYPERLINK("https://www.cnnindonesia.com/internasional/20190718152757-106-413301/tak-bela-menteri-terkait-video-seks-anwar-ibrahim-dikritik ","sumber")</f>
        <v>sumber</v>
      </c>
      <c r="G260" s="25" t="s">
        <v>1</v>
      </c>
      <c r="H260" s="26"/>
      <c r="I260" s="26"/>
      <c r="J260" s="26"/>
      <c r="K260" s="124"/>
      <c r="L260" s="26"/>
      <c r="M260" s="26"/>
      <c r="N260" s="26"/>
      <c r="O260" s="26"/>
      <c r="P260" s="26"/>
      <c r="Q260" s="26"/>
      <c r="R260" s="26"/>
      <c r="S260" s="124"/>
      <c r="T260" s="26"/>
      <c r="U260" s="26"/>
      <c r="V260" s="26"/>
      <c r="W260" s="26"/>
      <c r="X260" s="26"/>
      <c r="Y260" s="26"/>
    </row>
    <row r="261" spans="1:25" ht="14.4">
      <c r="A261" s="117">
        <v>1</v>
      </c>
      <c r="B261" s="294" t="s">
        <v>5219</v>
      </c>
      <c r="C261" s="22">
        <v>261</v>
      </c>
      <c r="D261" s="22">
        <v>8</v>
      </c>
      <c r="E261" s="22" t="s">
        <v>833</v>
      </c>
      <c r="F261" s="121" t="str">
        <f>HYPERLINK("https://jabar.suara.com/read/2019/07/21/130336/cerita-perjuangan-pekerja-seks-di-depok-hingga-waria-positif-hiv ","sumber")</f>
        <v>sumber</v>
      </c>
      <c r="G261" s="22" t="s">
        <v>1</v>
      </c>
      <c r="H261" s="121" t="str">
        <f>HYPERLINK("https://news.detik.com/berita/d-4617341/penjara-bikin-napi-jadi-gay-pernah-menyulut-kontroversi-di-as ","sumber")</f>
        <v>sumber</v>
      </c>
      <c r="I261" s="22">
        <v>2</v>
      </c>
      <c r="J261" s="22">
        <v>3</v>
      </c>
      <c r="K261" s="123" t="s">
        <v>5220</v>
      </c>
      <c r="L261" s="22">
        <v>0</v>
      </c>
      <c r="M261" s="22">
        <v>0</v>
      </c>
      <c r="N261" s="125">
        <v>0</v>
      </c>
      <c r="O261" s="125">
        <v>0</v>
      </c>
      <c r="P261" s="22">
        <v>0</v>
      </c>
      <c r="Q261" s="22" t="s">
        <v>159</v>
      </c>
      <c r="R261" s="22" t="s">
        <v>160</v>
      </c>
      <c r="S261" s="134"/>
      <c r="T261" s="22">
        <v>0</v>
      </c>
      <c r="U261" s="22">
        <v>0</v>
      </c>
      <c r="V261" s="22">
        <v>1</v>
      </c>
      <c r="W261" s="23"/>
      <c r="X261" s="23"/>
      <c r="Y261" s="23"/>
    </row>
    <row r="262" spans="1:25" ht="14.4">
      <c r="A262" s="117">
        <v>1</v>
      </c>
      <c r="B262" s="294" t="s">
        <v>4420</v>
      </c>
      <c r="C262" s="22">
        <v>262</v>
      </c>
      <c r="D262" s="22">
        <v>10</v>
      </c>
      <c r="E262" s="22" t="s">
        <v>833</v>
      </c>
      <c r="F262" s="121" t="str">
        <f>HYPERLINK("https://metro.tempo.co/read/1226832/tolak-raperda-anti-lgbt-dkr-dpok-usulkan-perda-hivaids ","sumber")</f>
        <v>sumber</v>
      </c>
      <c r="G262" s="22" t="s">
        <v>1</v>
      </c>
      <c r="H262" s="22">
        <v>210</v>
      </c>
      <c r="I262" s="22">
        <v>4</v>
      </c>
      <c r="J262" s="22">
        <v>3</v>
      </c>
      <c r="K262" s="185" t="s">
        <v>5221</v>
      </c>
      <c r="L262" s="22">
        <v>0</v>
      </c>
      <c r="M262" s="22">
        <v>0</v>
      </c>
      <c r="N262" s="125">
        <v>0</v>
      </c>
      <c r="O262" s="125">
        <v>0</v>
      </c>
      <c r="P262" s="22">
        <v>0</v>
      </c>
      <c r="Q262" s="22">
        <v>0</v>
      </c>
      <c r="R262" s="22">
        <v>1</v>
      </c>
      <c r="S262" s="134"/>
      <c r="T262" s="22">
        <v>0</v>
      </c>
      <c r="U262" s="22">
        <v>0</v>
      </c>
      <c r="V262" s="22">
        <v>1</v>
      </c>
      <c r="W262" s="23"/>
      <c r="X262" s="23"/>
      <c r="Y262" s="23"/>
    </row>
    <row r="263" spans="1:25" ht="15.75" customHeight="1">
      <c r="A263" s="126">
        <v>1</v>
      </c>
      <c r="B263" s="285" t="s">
        <v>5222</v>
      </c>
      <c r="C263" s="33">
        <v>263</v>
      </c>
      <c r="D263" s="33">
        <v>6</v>
      </c>
      <c r="E263" s="33" t="s">
        <v>2423</v>
      </c>
      <c r="F263" s="130" t="str">
        <f>HYPERLINK("https://olahraga.kompas.com/read/2019/07/14/17262568/satu-lagi-petarung-puteri-lgbt-seganas-amanda-nunes ","sumber")</f>
        <v>sumber</v>
      </c>
      <c r="G263" s="33" t="s">
        <v>1</v>
      </c>
      <c r="H263" s="33">
        <v>1</v>
      </c>
      <c r="I263" s="33">
        <v>3</v>
      </c>
      <c r="J263" s="33">
        <v>3</v>
      </c>
      <c r="K263" s="131"/>
      <c r="L263" s="33">
        <v>0</v>
      </c>
      <c r="M263" s="33">
        <v>0</v>
      </c>
      <c r="N263" s="132">
        <v>0</v>
      </c>
      <c r="O263" s="132">
        <v>0</v>
      </c>
      <c r="P263" s="33">
        <v>0</v>
      </c>
      <c r="Q263" s="33"/>
      <c r="R263" s="33"/>
      <c r="S263" s="133"/>
      <c r="T263" s="33">
        <v>0</v>
      </c>
      <c r="U263" s="33">
        <v>0</v>
      </c>
      <c r="V263" s="33">
        <v>0</v>
      </c>
      <c r="W263" s="24"/>
      <c r="X263" s="24"/>
      <c r="Y263" s="24"/>
    </row>
    <row r="264" spans="1:25" ht="14.4">
      <c r="A264" s="126">
        <v>1</v>
      </c>
      <c r="B264" s="285" t="s">
        <v>5223</v>
      </c>
      <c r="C264" s="33">
        <v>264</v>
      </c>
      <c r="D264" s="33">
        <v>10</v>
      </c>
      <c r="E264" s="33" t="s">
        <v>2587</v>
      </c>
      <c r="F264" s="130" t="str">
        <f>HYPERLINK("https://sport.tempo.co/read/1222279/begini-sosok-unik-amanda-nunes-petarung-wanita-terhebat-mma ","sumber")</f>
        <v>sumber</v>
      </c>
      <c r="G264" s="33" t="s">
        <v>1</v>
      </c>
      <c r="H264" s="33">
        <v>1</v>
      </c>
      <c r="I264" s="33">
        <v>2</v>
      </c>
      <c r="J264" s="33">
        <v>3</v>
      </c>
      <c r="K264" s="131"/>
      <c r="L264" s="33">
        <v>0</v>
      </c>
      <c r="M264" s="33">
        <v>0</v>
      </c>
      <c r="N264" s="132">
        <v>0</v>
      </c>
      <c r="O264" s="132">
        <v>0</v>
      </c>
      <c r="P264" s="33">
        <v>0</v>
      </c>
      <c r="Q264" s="33"/>
      <c r="R264" s="33"/>
      <c r="S264" s="133"/>
      <c r="T264" s="33">
        <v>0</v>
      </c>
      <c r="U264" s="33">
        <v>0</v>
      </c>
      <c r="V264" s="33">
        <v>0</v>
      </c>
      <c r="W264" s="24"/>
      <c r="X264" s="24"/>
      <c r="Y264" s="24"/>
    </row>
    <row r="265" spans="1:25" ht="14.4">
      <c r="A265" s="126">
        <v>1</v>
      </c>
      <c r="B265" s="285" t="s">
        <v>5224</v>
      </c>
      <c r="C265" s="33">
        <v>265</v>
      </c>
      <c r="D265" s="33">
        <v>5</v>
      </c>
      <c r="E265" s="33" t="s">
        <v>2229</v>
      </c>
      <c r="F265" s="130" t="str">
        <f>HYPERLINK("https://tirto.id/lewat-megan-rapinoe-sepakbola-wanita-bersuara-melawan-diskriminasi-edTp ","sumber")</f>
        <v>sumber</v>
      </c>
      <c r="G265" s="33" t="s">
        <v>1</v>
      </c>
      <c r="H265" s="33">
        <v>3</v>
      </c>
      <c r="I265" s="33">
        <v>2</v>
      </c>
      <c r="J265" s="33">
        <v>3</v>
      </c>
      <c r="K265" s="131" t="s">
        <v>5225</v>
      </c>
      <c r="L265" s="33">
        <v>0</v>
      </c>
      <c r="M265" s="33">
        <v>0</v>
      </c>
      <c r="N265" s="132">
        <v>0</v>
      </c>
      <c r="O265" s="132">
        <v>0</v>
      </c>
      <c r="P265" s="33">
        <v>0</v>
      </c>
      <c r="Q265" s="33" t="s">
        <v>48</v>
      </c>
      <c r="R265" s="33" t="s">
        <v>22</v>
      </c>
      <c r="S265" s="133"/>
      <c r="T265" s="33">
        <v>0</v>
      </c>
      <c r="U265" s="33">
        <v>0</v>
      </c>
      <c r="V265" s="33">
        <v>1</v>
      </c>
      <c r="W265" s="24"/>
      <c r="X265" s="24"/>
      <c r="Y265" s="24"/>
    </row>
    <row r="266" spans="1:25" ht="14.4">
      <c r="A266" s="126">
        <v>1</v>
      </c>
      <c r="B266" s="285" t="s">
        <v>5226</v>
      </c>
      <c r="C266" s="33">
        <v>266</v>
      </c>
      <c r="D266" s="33">
        <v>8</v>
      </c>
      <c r="E266" s="288">
        <v>43473</v>
      </c>
      <c r="F266" s="130" t="str">
        <f>HYPERLINK("https://www.suara.com/health/2019/08/01/152000/millendaru-sudah-cangkok-rahim-hati-hati-risikonya-bisa-mengancam-jiwa ","sumber")</f>
        <v>sumber</v>
      </c>
      <c r="G266" s="33" t="s">
        <v>1</v>
      </c>
      <c r="H266" s="33">
        <v>2</v>
      </c>
      <c r="I266" s="33">
        <v>2</v>
      </c>
      <c r="J266" s="33">
        <v>3</v>
      </c>
      <c r="K266" s="131" t="s">
        <v>5227</v>
      </c>
      <c r="L266" s="33">
        <v>0</v>
      </c>
      <c r="M266" s="33">
        <v>0</v>
      </c>
      <c r="N266" s="132">
        <v>0</v>
      </c>
      <c r="O266" s="132">
        <v>0</v>
      </c>
      <c r="P266" s="33">
        <v>0</v>
      </c>
      <c r="Q266" s="33">
        <v>2</v>
      </c>
      <c r="R266" s="33">
        <v>0</v>
      </c>
      <c r="S266" s="133"/>
      <c r="T266" s="33">
        <v>0</v>
      </c>
      <c r="U266" s="33">
        <v>0</v>
      </c>
      <c r="V266" s="33">
        <v>0</v>
      </c>
      <c r="W266" s="24"/>
      <c r="X266" s="24"/>
      <c r="Y266" s="24"/>
    </row>
    <row r="267" spans="1:25" ht="14.4">
      <c r="A267" s="117">
        <v>1</v>
      </c>
      <c r="B267" s="294" t="s">
        <v>3</v>
      </c>
      <c r="C267" s="22">
        <v>267</v>
      </c>
      <c r="D267" s="22">
        <v>1</v>
      </c>
      <c r="E267" s="222">
        <v>43504</v>
      </c>
      <c r="F267" s="121" t="str">
        <f>HYPERLINK("https://hot.detik.com/celeb/d-4649382/penyesalan-mendalam-aby-respati-pernah-jadi-waria ","sumber")</f>
        <v>sumber</v>
      </c>
      <c r="G267" s="22" t="s">
        <v>1</v>
      </c>
      <c r="H267" s="22">
        <v>192</v>
      </c>
      <c r="I267" s="22">
        <v>2</v>
      </c>
      <c r="J267" s="22">
        <v>3</v>
      </c>
      <c r="K267" s="185" t="s">
        <v>4</v>
      </c>
      <c r="L267" s="22">
        <v>0</v>
      </c>
      <c r="M267" s="22">
        <v>0</v>
      </c>
      <c r="N267" s="125">
        <v>0</v>
      </c>
      <c r="O267" s="125">
        <v>0</v>
      </c>
      <c r="P267" s="22">
        <v>0</v>
      </c>
      <c r="Q267" s="22">
        <v>0</v>
      </c>
      <c r="R267" s="22">
        <v>-1</v>
      </c>
      <c r="S267" s="134"/>
      <c r="T267" s="22">
        <v>0</v>
      </c>
      <c r="U267" s="22">
        <v>0</v>
      </c>
      <c r="V267" s="22">
        <v>0</v>
      </c>
      <c r="W267" s="23"/>
      <c r="X267" s="23"/>
      <c r="Y267" s="23"/>
    </row>
    <row r="268" spans="1:25" ht="14.4">
      <c r="A268" s="117">
        <v>1</v>
      </c>
      <c r="B268" s="294" t="s">
        <v>5228</v>
      </c>
      <c r="C268" s="22">
        <v>268</v>
      </c>
      <c r="D268" s="22">
        <v>6</v>
      </c>
      <c r="E268" s="222">
        <v>43746</v>
      </c>
      <c r="F268" s="121" t="str">
        <f>HYPERLINK("https://regional.kompas.com/read/2019/08/10/16012971/diikat-dan-direkam-seorang-siswa-disuruh-lakukan-seks-menyimpang-oleh-guru ","sumber")</f>
        <v>sumber</v>
      </c>
      <c r="G268" s="22" t="s">
        <v>1</v>
      </c>
      <c r="H268" s="22">
        <v>140</v>
      </c>
      <c r="I268" s="22">
        <v>1</v>
      </c>
      <c r="J268" s="22">
        <v>1</v>
      </c>
      <c r="K268" s="123" t="s">
        <v>5229</v>
      </c>
      <c r="L268" s="22">
        <v>0</v>
      </c>
      <c r="M268" s="22">
        <v>-1</v>
      </c>
      <c r="N268" s="125">
        <v>0</v>
      </c>
      <c r="O268" s="125">
        <v>0</v>
      </c>
      <c r="P268" s="22">
        <v>0</v>
      </c>
      <c r="Q268" s="22" t="s">
        <v>29</v>
      </c>
      <c r="R268" s="22" t="s">
        <v>653</v>
      </c>
      <c r="S268" s="134"/>
      <c r="T268" s="22">
        <v>0</v>
      </c>
      <c r="U268" s="22">
        <v>0</v>
      </c>
      <c r="V268" s="22">
        <v>0</v>
      </c>
      <c r="W268" s="23"/>
      <c r="X268" s="23"/>
      <c r="Y268" s="23"/>
    </row>
    <row r="269" spans="1:25" ht="14.4">
      <c r="A269" s="111">
        <v>2</v>
      </c>
      <c r="B269" s="308" t="s">
        <v>5230</v>
      </c>
      <c r="C269" s="25">
        <v>269</v>
      </c>
      <c r="D269" s="25">
        <v>7</v>
      </c>
      <c r="E269" s="234">
        <v>43746</v>
      </c>
      <c r="F269" s="115" t="str">
        <f>HYPERLINK("https://www.tribunnews.com/nasional/2019/08/10/made-urip-anggota-dpr-ri-asal-bali-kembali-jadi-pengurus-dpd-pdip-ketua-bidang-pertanian ","sumber")</f>
        <v>sumber</v>
      </c>
      <c r="G269" s="25" t="s">
        <v>1</v>
      </c>
      <c r="H269" s="26"/>
      <c r="I269" s="26"/>
      <c r="J269" s="26"/>
      <c r="K269" s="124"/>
      <c r="L269" s="26"/>
      <c r="M269" s="26"/>
      <c r="N269" s="26"/>
      <c r="O269" s="26"/>
      <c r="P269" s="26"/>
      <c r="Q269" s="26"/>
      <c r="R269" s="26"/>
      <c r="S269" s="124"/>
      <c r="T269" s="26"/>
      <c r="U269" s="26"/>
      <c r="V269" s="26"/>
      <c r="W269" s="26"/>
      <c r="X269" s="26"/>
      <c r="Y269" s="26"/>
    </row>
    <row r="270" spans="1:25" ht="14.4">
      <c r="A270" s="117">
        <v>1</v>
      </c>
      <c r="B270" s="294" t="s">
        <v>5231</v>
      </c>
      <c r="C270" s="22">
        <v>270</v>
      </c>
      <c r="D270" s="22">
        <v>7</v>
      </c>
      <c r="E270" s="222">
        <v>43777</v>
      </c>
      <c r="F270" s="121" t="str">
        <f>HYPERLINK("https://www.tribunnews.com/regional/2019/08/11/aksi-bejat-guru-di-tanjungpinang-paksa-siswanya-lakukan-perbuatan-menyimpang-lalu-sebar-videonya ","sumber")</f>
        <v>sumber</v>
      </c>
      <c r="G270" s="22" t="s">
        <v>1</v>
      </c>
      <c r="H270" s="22">
        <v>215</v>
      </c>
      <c r="I270" s="22">
        <v>1</v>
      </c>
      <c r="J270" s="22">
        <v>3</v>
      </c>
      <c r="K270" s="123" t="s">
        <v>5229</v>
      </c>
      <c r="L270" s="22">
        <v>0</v>
      </c>
      <c r="M270" s="22">
        <v>-1</v>
      </c>
      <c r="N270" s="125">
        <v>0</v>
      </c>
      <c r="O270" s="125">
        <v>0</v>
      </c>
      <c r="P270" s="22">
        <v>0</v>
      </c>
      <c r="Q270" s="22" t="s">
        <v>29</v>
      </c>
      <c r="R270" s="22" t="s">
        <v>653</v>
      </c>
      <c r="S270" s="134"/>
      <c r="T270" s="22">
        <v>0</v>
      </c>
      <c r="U270" s="22">
        <v>0</v>
      </c>
      <c r="V270" s="22">
        <v>0</v>
      </c>
      <c r="W270" s="23"/>
      <c r="X270" s="23"/>
      <c r="Y270" s="23"/>
    </row>
    <row r="271" spans="1:25" ht="14.4">
      <c r="A271" s="117">
        <v>1</v>
      </c>
      <c r="B271" s="294" t="s">
        <v>5232</v>
      </c>
      <c r="C271" s="22">
        <v>271</v>
      </c>
      <c r="D271" s="22">
        <v>1</v>
      </c>
      <c r="E271" s="22" t="s">
        <v>9</v>
      </c>
      <c r="F271" s="121" t="str">
        <f>HYPERLINK("https://news.detik.com/berita/d-4679380/fpi-sebut-ruu-pks-berpotensi-legalkan-lgbt-komnas-perempuan-ndak-nyambung ","sumber")</f>
        <v>sumber</v>
      </c>
      <c r="G271" s="22" t="s">
        <v>1</v>
      </c>
      <c r="H271" s="22">
        <v>437</v>
      </c>
      <c r="I271" s="22">
        <v>1</v>
      </c>
      <c r="J271" s="22">
        <v>3</v>
      </c>
      <c r="K271" s="123" t="s">
        <v>5233</v>
      </c>
      <c r="L271" s="22">
        <v>0</v>
      </c>
      <c r="M271" s="22">
        <v>0</v>
      </c>
      <c r="N271" s="125">
        <v>0</v>
      </c>
      <c r="O271" s="125">
        <v>0</v>
      </c>
      <c r="P271" s="22">
        <v>0</v>
      </c>
      <c r="Q271" s="22" t="s">
        <v>68</v>
      </c>
      <c r="R271" s="22" t="s">
        <v>748</v>
      </c>
      <c r="S271" s="134"/>
      <c r="T271" s="22">
        <v>0</v>
      </c>
      <c r="U271" s="22">
        <v>0</v>
      </c>
      <c r="V271" s="22">
        <v>0</v>
      </c>
      <c r="W271" s="23"/>
      <c r="X271" s="23"/>
      <c r="Y271" s="23"/>
    </row>
    <row r="272" spans="1:25" ht="14.4">
      <c r="A272" s="111">
        <v>2</v>
      </c>
      <c r="B272" s="308" t="s">
        <v>5234</v>
      </c>
      <c r="C272" s="25">
        <v>272</v>
      </c>
      <c r="D272" s="26"/>
      <c r="E272" s="25" t="s">
        <v>274</v>
      </c>
      <c r="F272" s="115" t="str">
        <f>HYPERLINK("https://celebrity.okezone.com/read/2019/08/25/33/2096463/telepon-genggam-hilang-millendaru-menangis-sesenggukan ","sumber")</f>
        <v>sumber</v>
      </c>
      <c r="G272" s="25" t="s">
        <v>1</v>
      </c>
      <c r="H272" s="26"/>
      <c r="I272" s="26"/>
      <c r="J272" s="26"/>
      <c r="K272" s="124"/>
      <c r="L272" s="26"/>
      <c r="M272" s="26"/>
      <c r="N272" s="26"/>
      <c r="O272" s="26"/>
      <c r="P272" s="26"/>
      <c r="Q272" s="26"/>
      <c r="R272" s="26"/>
      <c r="S272" s="124"/>
      <c r="T272" s="26"/>
      <c r="U272" s="26"/>
      <c r="V272" s="26"/>
      <c r="W272" s="26"/>
      <c r="X272" s="26"/>
      <c r="Y272" s="26"/>
    </row>
    <row r="273" spans="1:25" ht="14.4">
      <c r="A273" s="117">
        <v>1</v>
      </c>
      <c r="B273" s="294" t="s">
        <v>5235</v>
      </c>
      <c r="C273" s="22">
        <v>273</v>
      </c>
      <c r="D273" s="22">
        <v>4</v>
      </c>
      <c r="E273" s="22" t="s">
        <v>278</v>
      </c>
      <c r="F273" s="121" t="str">
        <f>HYPERLINK("https://www.liputan6.com/global/read/4047289/kisah-matematikawan-era-pd-ii-alan-turing-dikebiri-kimia-akibat-homosekual ","sumber")</f>
        <v>sumber</v>
      </c>
      <c r="G273" s="22" t="s">
        <v>1</v>
      </c>
      <c r="H273" s="22">
        <v>356</v>
      </c>
      <c r="I273" s="22">
        <v>2</v>
      </c>
      <c r="J273" s="22">
        <v>3</v>
      </c>
      <c r="K273" s="123" t="s">
        <v>5236</v>
      </c>
      <c r="L273" s="22">
        <v>0</v>
      </c>
      <c r="M273" s="22">
        <v>0</v>
      </c>
      <c r="N273" s="125">
        <v>0</v>
      </c>
      <c r="O273" s="125">
        <v>0</v>
      </c>
      <c r="P273" s="22">
        <v>0</v>
      </c>
      <c r="Q273" s="22">
        <v>0</v>
      </c>
      <c r="R273" s="22">
        <v>0</v>
      </c>
      <c r="S273" s="134"/>
      <c r="T273" s="22">
        <v>0</v>
      </c>
      <c r="U273" s="22">
        <v>0</v>
      </c>
      <c r="V273" s="22">
        <v>0</v>
      </c>
      <c r="W273" s="23"/>
      <c r="X273" s="23"/>
      <c r="Y273" s="23"/>
    </row>
    <row r="274" spans="1:25" ht="14.4">
      <c r="A274" s="111">
        <v>2</v>
      </c>
      <c r="B274" s="308" t="s">
        <v>5237</v>
      </c>
      <c r="C274" s="25">
        <v>274</v>
      </c>
      <c r="D274" s="26"/>
      <c r="E274" s="25" t="s">
        <v>278</v>
      </c>
      <c r="F274" s="115" t="str">
        <f>HYPERLINK("https://tirto.id/sinopsis-my-only-one-ep-75-76-drama-trans-tv-hong-sil-minta-maaf-eg2Z ","sumber")</f>
        <v>sumber</v>
      </c>
      <c r="G274" s="25" t="s">
        <v>1</v>
      </c>
      <c r="H274" s="26"/>
      <c r="I274" s="26"/>
      <c r="J274" s="26"/>
      <c r="K274" s="124"/>
      <c r="L274" s="26"/>
      <c r="M274" s="26"/>
      <c r="N274" s="26"/>
      <c r="O274" s="26"/>
      <c r="P274" s="26"/>
      <c r="Q274" s="26"/>
      <c r="R274" s="26"/>
      <c r="S274" s="124"/>
      <c r="T274" s="26"/>
      <c r="U274" s="26"/>
      <c r="V274" s="26"/>
      <c r="W274" s="26"/>
      <c r="X274" s="26"/>
      <c r="Y274" s="26"/>
    </row>
    <row r="275" spans="1:25" ht="14.4">
      <c r="A275" s="117">
        <v>1</v>
      </c>
      <c r="B275" s="294" t="s">
        <v>5238</v>
      </c>
      <c r="C275" s="22">
        <v>275</v>
      </c>
      <c r="D275" s="22">
        <v>6</v>
      </c>
      <c r="E275" s="22" t="s">
        <v>2444</v>
      </c>
      <c r="F275" s="121" t="str">
        <f>HYPERLINK("https://regional.kompas.com/read/2019/08/28/17250171/tak-terima-dihujat-waria-ini-bunuh-pemilik-salon ","sumber")</f>
        <v>sumber</v>
      </c>
      <c r="G275" s="22" t="s">
        <v>1</v>
      </c>
      <c r="H275" s="22">
        <v>270</v>
      </c>
      <c r="I275" s="22">
        <v>1</v>
      </c>
      <c r="J275" s="22">
        <v>3</v>
      </c>
      <c r="K275" s="123" t="s">
        <v>5239</v>
      </c>
      <c r="L275" s="22">
        <v>0</v>
      </c>
      <c r="M275" s="22">
        <v>-1</v>
      </c>
      <c r="N275" s="125">
        <v>0</v>
      </c>
      <c r="O275" s="125">
        <v>0</v>
      </c>
      <c r="P275" s="22">
        <v>-1</v>
      </c>
      <c r="Q275" s="22">
        <v>0</v>
      </c>
      <c r="R275" s="22">
        <v>0</v>
      </c>
      <c r="S275" s="134"/>
      <c r="T275" s="22">
        <v>0</v>
      </c>
      <c r="U275" s="22">
        <v>0</v>
      </c>
      <c r="V275" s="22">
        <v>1</v>
      </c>
      <c r="W275" s="23"/>
      <c r="X275" s="23"/>
      <c r="Y275" s="23"/>
    </row>
    <row r="276" spans="1:25" ht="14.4">
      <c r="A276" s="111">
        <v>2</v>
      </c>
      <c r="B276" s="308" t="s">
        <v>5240</v>
      </c>
      <c r="C276" s="25">
        <v>276</v>
      </c>
      <c r="D276" s="26"/>
      <c r="E276" s="25" t="s">
        <v>286</v>
      </c>
      <c r="F276" s="115" t="str">
        <f>HYPERLINK("https://nasional.tempo.co/read/1241693/meski-banyak-kritik-fahri-hamzah-ingin-ruu-kuhp-segera-disahkan ","sumber")</f>
        <v>sumber</v>
      </c>
      <c r="G276" s="25" t="s">
        <v>1</v>
      </c>
      <c r="H276" s="26"/>
      <c r="I276" s="26"/>
      <c r="J276" s="26"/>
      <c r="K276" s="124"/>
      <c r="L276" s="26"/>
      <c r="M276" s="26"/>
      <c r="N276" s="26"/>
      <c r="O276" s="26"/>
      <c r="P276" s="26"/>
      <c r="Q276" s="26"/>
      <c r="R276" s="26"/>
      <c r="S276" s="124"/>
      <c r="T276" s="26"/>
      <c r="U276" s="26"/>
      <c r="V276" s="26"/>
      <c r="W276" s="26"/>
      <c r="X276" s="26"/>
      <c r="Y276" s="26"/>
    </row>
    <row r="277" spans="1:25" ht="14.4">
      <c r="A277" s="117">
        <v>1</v>
      </c>
      <c r="B277" s="294" t="s">
        <v>4443</v>
      </c>
      <c r="C277" s="22">
        <v>277</v>
      </c>
      <c r="D277" s="22">
        <v>2</v>
      </c>
      <c r="E277" s="222">
        <v>43533</v>
      </c>
      <c r="F277" s="121" t="str">
        <f>HYPERLINK("https://www.cnnindonesia.com/gaya-hidup/20190902150712-284-426832/studi-bantah-ada-gen-penyebab-gay ","sumber")</f>
        <v>sumber</v>
      </c>
      <c r="G277" s="22" t="s">
        <v>1</v>
      </c>
      <c r="H277" s="22">
        <v>310</v>
      </c>
      <c r="I277" s="22">
        <v>5</v>
      </c>
      <c r="J277" s="22">
        <v>3</v>
      </c>
      <c r="K277" s="123" t="s">
        <v>5241</v>
      </c>
      <c r="L277" s="22">
        <v>0</v>
      </c>
      <c r="M277" s="22">
        <v>0</v>
      </c>
      <c r="N277" s="125">
        <v>0</v>
      </c>
      <c r="O277" s="125">
        <v>0</v>
      </c>
      <c r="P277" s="22">
        <v>0</v>
      </c>
      <c r="Q277" s="22" t="s">
        <v>21</v>
      </c>
      <c r="R277" s="22" t="s">
        <v>360</v>
      </c>
      <c r="S277" s="134"/>
      <c r="T277" s="22">
        <v>0</v>
      </c>
      <c r="U277" s="22">
        <v>0</v>
      </c>
      <c r="V277" s="22">
        <v>0</v>
      </c>
      <c r="W277" s="23"/>
      <c r="X277" s="23"/>
      <c r="Y277" s="23"/>
    </row>
    <row r="278" spans="1:25" ht="14.4">
      <c r="A278" s="111">
        <v>2</v>
      </c>
      <c r="B278" s="308" t="s">
        <v>5242</v>
      </c>
      <c r="C278" s="25">
        <v>278</v>
      </c>
      <c r="D278" s="26"/>
      <c r="E278" s="234">
        <v>43533</v>
      </c>
      <c r="F278" s="115" t="str">
        <f>HYPERLINK("https://index.okezone.com/read/2019/09/03/614/2100306/heboh-hubungan-seksual-di-luar-nikah-halal-ini-4-syaratnya ","sumber")</f>
        <v>sumber</v>
      </c>
      <c r="G278" s="25" t="s">
        <v>1</v>
      </c>
      <c r="H278" s="26"/>
      <c r="I278" s="26"/>
      <c r="J278" s="26"/>
      <c r="K278" s="124"/>
      <c r="L278" s="26"/>
      <c r="M278" s="26"/>
      <c r="N278" s="26"/>
      <c r="O278" s="26"/>
      <c r="P278" s="26"/>
      <c r="Q278" s="26"/>
      <c r="R278" s="26"/>
      <c r="S278" s="124"/>
      <c r="T278" s="26"/>
      <c r="U278" s="26"/>
      <c r="V278" s="26"/>
      <c r="W278" s="26"/>
      <c r="X278" s="26"/>
      <c r="Y278" s="26"/>
    </row>
    <row r="279" spans="1:25" ht="14.4">
      <c r="A279" s="117">
        <v>1</v>
      </c>
      <c r="B279" s="294" t="s">
        <v>5243</v>
      </c>
      <c r="C279" s="22">
        <v>279</v>
      </c>
      <c r="D279" s="22">
        <v>8</v>
      </c>
      <c r="E279" s="222">
        <v>43564</v>
      </c>
      <c r="F279" s="121" t="str">
        <f>HYPERLINK("https://www.suara.com/news/2019/09/04/060000/dosen-gay-yang-digerebek-warga-ternyata-staf-pengajar-di-fkip-umsb ","sumber")</f>
        <v>sumber</v>
      </c>
      <c r="G279" s="22" t="s">
        <v>1</v>
      </c>
      <c r="H279" s="22">
        <v>269</v>
      </c>
      <c r="I279" s="22">
        <v>1</v>
      </c>
      <c r="J279" s="22">
        <v>3</v>
      </c>
      <c r="K279" s="123" t="s">
        <v>5244</v>
      </c>
      <c r="L279" s="22">
        <v>0</v>
      </c>
      <c r="M279" s="22">
        <v>0</v>
      </c>
      <c r="N279" s="125">
        <v>0</v>
      </c>
      <c r="O279" s="125">
        <v>0</v>
      </c>
      <c r="P279" s="22">
        <v>0</v>
      </c>
      <c r="Q279" s="22">
        <v>0</v>
      </c>
      <c r="R279" s="22">
        <v>-1</v>
      </c>
      <c r="S279" s="134"/>
      <c r="T279" s="22">
        <v>0</v>
      </c>
      <c r="U279" s="22">
        <v>0</v>
      </c>
      <c r="V279" s="22">
        <v>1</v>
      </c>
      <c r="W279" s="23"/>
      <c r="X279" s="23"/>
      <c r="Y279" s="23"/>
    </row>
    <row r="280" spans="1:25" ht="14.4">
      <c r="A280" s="117">
        <v>1</v>
      </c>
      <c r="B280" s="294" t="s">
        <v>5245</v>
      </c>
      <c r="C280" s="22">
        <v>280</v>
      </c>
      <c r="D280" s="22">
        <v>5</v>
      </c>
      <c r="E280" s="222">
        <v>43564</v>
      </c>
      <c r="F280" s="121" t="str">
        <f>HYPERLINK("https://tirto.id/salah-kaprah-ruqyah-menyembuhkan-lgbt-yang-nirfaedah-ehtE ","sumber")</f>
        <v>sumber</v>
      </c>
      <c r="G280" s="22" t="s">
        <v>1</v>
      </c>
      <c r="H280" s="22">
        <v>2284</v>
      </c>
      <c r="I280" s="22">
        <v>2</v>
      </c>
      <c r="J280" s="22">
        <v>3</v>
      </c>
      <c r="K280" s="123" t="s">
        <v>5246</v>
      </c>
      <c r="L280" s="22">
        <v>0</v>
      </c>
      <c r="M280" s="22">
        <v>0</v>
      </c>
      <c r="N280" s="125">
        <v>0</v>
      </c>
      <c r="O280" s="125">
        <v>0</v>
      </c>
      <c r="P280" s="22">
        <v>0</v>
      </c>
      <c r="Q280" s="22" t="s">
        <v>5247</v>
      </c>
      <c r="R280" s="22" t="s">
        <v>5248</v>
      </c>
      <c r="S280" s="134"/>
      <c r="T280" s="22">
        <v>0</v>
      </c>
      <c r="U280" s="22">
        <v>0</v>
      </c>
      <c r="V280" s="22">
        <v>0</v>
      </c>
      <c r="W280" s="23"/>
      <c r="X280" s="23"/>
      <c r="Y280" s="23"/>
    </row>
    <row r="281" spans="1:25" ht="14.4">
      <c r="A281" s="117">
        <v>1</v>
      </c>
      <c r="B281" s="294" t="s">
        <v>5249</v>
      </c>
      <c r="C281" s="22">
        <v>281</v>
      </c>
      <c r="D281" s="22">
        <v>8</v>
      </c>
      <c r="E281" s="22" t="s">
        <v>5250</v>
      </c>
      <c r="F281" s="121" t="str">
        <f>HYPERLINK("https://www.suara.com/news/2019/09/23/092221/pasangan-lgbt-ketangkap-basah-main-cabul-di-tengah-taman-pagaruyung ","sumber")</f>
        <v>sumber</v>
      </c>
      <c r="G281" s="22" t="s">
        <v>1</v>
      </c>
      <c r="H281" s="22">
        <v>301</v>
      </c>
      <c r="I281" s="22">
        <v>1</v>
      </c>
      <c r="J281" s="22">
        <v>3</v>
      </c>
      <c r="K281" s="123" t="s">
        <v>5251</v>
      </c>
      <c r="L281" s="22">
        <v>0</v>
      </c>
      <c r="M281" s="22">
        <v>0</v>
      </c>
      <c r="N281" s="125">
        <v>0</v>
      </c>
      <c r="O281" s="125">
        <v>0</v>
      </c>
      <c r="P281" s="22">
        <v>0</v>
      </c>
      <c r="Q281" s="22">
        <v>0</v>
      </c>
      <c r="R281" s="22">
        <v>1</v>
      </c>
      <c r="S281" s="134"/>
      <c r="T281" s="22">
        <v>0</v>
      </c>
      <c r="U281" s="22">
        <v>0</v>
      </c>
      <c r="V281" s="22">
        <v>1</v>
      </c>
      <c r="W281" s="23"/>
      <c r="X281" s="23"/>
      <c r="Y281" s="23"/>
    </row>
    <row r="282" spans="1:25" ht="14.4">
      <c r="A282" s="341">
        <v>1</v>
      </c>
      <c r="B282" s="342" t="s">
        <v>39</v>
      </c>
      <c r="C282" s="147">
        <v>282</v>
      </c>
      <c r="D282" s="147">
        <v>4</v>
      </c>
      <c r="E282" s="147" t="s">
        <v>649</v>
      </c>
      <c r="F282" s="333" t="str">
        <f>HYPERLINK("https://www.liputan6.com/showbiz/read/4073943/pengakuan-lucinta-luna-tentang-muhammad-fatah ","sumber")</f>
        <v>sumber</v>
      </c>
      <c r="G282" s="147" t="s">
        <v>1</v>
      </c>
      <c r="H282" s="147">
        <v>2</v>
      </c>
      <c r="I282" s="147">
        <v>2</v>
      </c>
      <c r="J282" s="147">
        <v>3</v>
      </c>
      <c r="K282" s="334" t="s">
        <v>5252</v>
      </c>
      <c r="L282" s="147">
        <v>0</v>
      </c>
      <c r="M282" s="147">
        <v>0</v>
      </c>
      <c r="N282" s="335">
        <v>0</v>
      </c>
      <c r="O282" s="335">
        <v>0</v>
      </c>
      <c r="P282" s="147">
        <v>0</v>
      </c>
      <c r="Q282" s="147" t="s">
        <v>245</v>
      </c>
      <c r="R282" s="147" t="s">
        <v>5253</v>
      </c>
      <c r="S282" s="336"/>
      <c r="T282" s="147">
        <v>0</v>
      </c>
      <c r="U282" s="147">
        <v>0</v>
      </c>
      <c r="V282" s="147">
        <v>0</v>
      </c>
      <c r="W282" s="337"/>
      <c r="X282" s="337"/>
      <c r="Y282" s="337"/>
    </row>
    <row r="283" spans="1:25" ht="14.4">
      <c r="A283" s="111">
        <v>2</v>
      </c>
      <c r="B283" s="308" t="s">
        <v>1576</v>
      </c>
      <c r="C283" s="25">
        <v>283</v>
      </c>
      <c r="D283" s="26"/>
      <c r="E283" s="234">
        <v>43586</v>
      </c>
      <c r="F283" s="115" t="str">
        <f>HYPERLINK("https://regional.kompas.com/read/2019/01/05/19580821/polisi-sekali-kencan-dengan-artis-va-tarifnya-rp-80-juta ","sumber")</f>
        <v>sumber</v>
      </c>
      <c r="G283" s="25" t="s">
        <v>1</v>
      </c>
      <c r="H283" s="26"/>
      <c r="I283" s="26"/>
      <c r="J283" s="26"/>
      <c r="K283" s="124"/>
      <c r="L283" s="26"/>
      <c r="M283" s="26"/>
      <c r="N283" s="26"/>
      <c r="O283" s="26"/>
      <c r="P283" s="26"/>
      <c r="Q283" s="26"/>
      <c r="R283" s="26"/>
      <c r="S283" s="124"/>
      <c r="T283" s="26"/>
      <c r="U283" s="26"/>
      <c r="V283" s="26"/>
      <c r="W283" s="26"/>
      <c r="X283" s="26"/>
      <c r="Y283" s="26"/>
    </row>
    <row r="284" spans="1:25" ht="14.4">
      <c r="A284" s="111">
        <v>2</v>
      </c>
      <c r="B284" s="308" t="s">
        <v>5254</v>
      </c>
      <c r="C284" s="25">
        <v>284</v>
      </c>
      <c r="D284" s="26"/>
      <c r="E284" s="234">
        <v>43617</v>
      </c>
      <c r="F284" s="115" t="str">
        <f>HYPERLINK("https://celebrity.okezone.com/read/2019/01/06/33/2000565/unggahan-didi-mahardika-disinyalir-sindir-penangkapan-vanessa-angel ","sumber")</f>
        <v>sumber</v>
      </c>
      <c r="G284" s="25" t="s">
        <v>1</v>
      </c>
      <c r="H284" s="26"/>
      <c r="I284" s="26"/>
      <c r="J284" s="26"/>
      <c r="K284" s="124"/>
      <c r="L284" s="26"/>
      <c r="M284" s="26"/>
      <c r="N284" s="26"/>
      <c r="O284" s="26"/>
      <c r="P284" s="26"/>
      <c r="Q284" s="26"/>
      <c r="R284" s="26"/>
      <c r="S284" s="124"/>
      <c r="T284" s="26"/>
      <c r="U284" s="26"/>
      <c r="V284" s="26"/>
      <c r="W284" s="26"/>
      <c r="X284" s="26"/>
      <c r="Y284" s="26"/>
    </row>
    <row r="285" spans="1:25" ht="14.4">
      <c r="A285" s="111">
        <v>2</v>
      </c>
      <c r="B285" s="308" t="s">
        <v>5255</v>
      </c>
      <c r="C285" s="25">
        <v>285</v>
      </c>
      <c r="D285" s="26"/>
      <c r="E285" s="234">
        <v>43647</v>
      </c>
      <c r="F285" s="115" t="str">
        <f>HYPERLINK("https://www.suara.com/news/2019/01/07/132655/orang-asing-pesan-jasa-seks-artis-dan-model-mucikari-vanessa-angel ","sumber")</f>
        <v>sumber</v>
      </c>
      <c r="G285" s="25" t="s">
        <v>1</v>
      </c>
      <c r="H285" s="26"/>
      <c r="I285" s="26"/>
      <c r="J285" s="26"/>
      <c r="K285" s="124"/>
      <c r="L285" s="26"/>
      <c r="M285" s="26"/>
      <c r="N285" s="26"/>
      <c r="O285" s="26"/>
      <c r="P285" s="25" t="s">
        <v>5068</v>
      </c>
      <c r="Q285" s="26"/>
      <c r="R285" s="26"/>
      <c r="S285" s="124"/>
      <c r="T285" s="26"/>
      <c r="U285" s="26"/>
      <c r="V285" s="26"/>
      <c r="W285" s="26"/>
      <c r="X285" s="26"/>
      <c r="Y285" s="26"/>
    </row>
    <row r="286" spans="1:25" ht="14.4">
      <c r="A286" s="117">
        <v>1</v>
      </c>
      <c r="B286" s="294" t="s">
        <v>5256</v>
      </c>
      <c r="C286" s="22">
        <v>286</v>
      </c>
      <c r="D286" s="22">
        <v>7</v>
      </c>
      <c r="E286" s="222">
        <v>43678</v>
      </c>
      <c r="F286" s="121" t="str">
        <f>HYPERLINK("http://www.tribunnews.com/nasional/2019/01/08/korban-dugaan-perkosaan-dewas-bpjs-ketenagakerjaan-saya-bertahan-dua-tahun-karena-takut ","sumber")</f>
        <v>sumber</v>
      </c>
      <c r="G286" s="22" t="s">
        <v>1</v>
      </c>
      <c r="H286" s="22">
        <v>315</v>
      </c>
      <c r="I286" s="22">
        <v>1</v>
      </c>
      <c r="J286" s="22">
        <v>1</v>
      </c>
      <c r="K286" s="123" t="s">
        <v>5257</v>
      </c>
      <c r="L286" s="22">
        <v>0</v>
      </c>
      <c r="M286" s="22">
        <v>1</v>
      </c>
      <c r="N286" s="125">
        <v>0</v>
      </c>
      <c r="O286" s="22">
        <v>0</v>
      </c>
      <c r="P286" s="22">
        <v>0</v>
      </c>
      <c r="Q286" s="22">
        <v>2</v>
      </c>
      <c r="R286" s="22">
        <v>1</v>
      </c>
      <c r="S286" s="134"/>
      <c r="T286" s="22">
        <v>0</v>
      </c>
      <c r="U286" s="22">
        <v>0</v>
      </c>
      <c r="V286" s="22">
        <v>1</v>
      </c>
      <c r="W286" s="23"/>
      <c r="X286" s="23"/>
      <c r="Y286" s="23"/>
    </row>
    <row r="287" spans="1:25" ht="14.4">
      <c r="A287" s="126">
        <v>1</v>
      </c>
      <c r="B287" s="285" t="s">
        <v>5258</v>
      </c>
      <c r="C287" s="33">
        <v>287</v>
      </c>
      <c r="D287" s="33">
        <v>7</v>
      </c>
      <c r="E287" s="288">
        <v>43739</v>
      </c>
      <c r="F287" s="130" t="str">
        <f>HYPERLINK("http://www.tribunnews.com/internasional/2019/01/10/pendiri-situs-porno-korsel-dipenjara-dan-denda-rp176-miliar ","sumber")</f>
        <v>sumber</v>
      </c>
      <c r="G287" s="33" t="s">
        <v>1</v>
      </c>
      <c r="H287" s="33">
        <v>2</v>
      </c>
      <c r="I287" s="33">
        <v>4</v>
      </c>
      <c r="J287" s="33">
        <v>1</v>
      </c>
      <c r="K287" s="131"/>
      <c r="L287" s="33">
        <v>0</v>
      </c>
      <c r="M287" s="33">
        <v>0</v>
      </c>
      <c r="N287" s="132">
        <v>0</v>
      </c>
      <c r="O287" s="132">
        <v>0</v>
      </c>
      <c r="P287" s="33">
        <v>0</v>
      </c>
      <c r="Q287" s="33"/>
      <c r="R287" s="33"/>
      <c r="S287" s="133"/>
      <c r="T287" s="33">
        <v>0</v>
      </c>
      <c r="U287" s="33">
        <v>0</v>
      </c>
      <c r="V287" s="33">
        <v>1</v>
      </c>
      <c r="W287" s="24"/>
      <c r="X287" s="24"/>
      <c r="Y287" s="24"/>
    </row>
    <row r="288" spans="1:25" ht="14.4">
      <c r="A288" s="111">
        <v>2</v>
      </c>
      <c r="B288" s="308" t="s">
        <v>1587</v>
      </c>
      <c r="C288" s="25">
        <v>288</v>
      </c>
      <c r="D288" s="26"/>
      <c r="E288" s="25" t="s">
        <v>657</v>
      </c>
      <c r="F288" s="115" t="str">
        <f>HYPERLINK("https://www.liputan6.com/showbiz/read/3870767/polda-jatim-kirim-surat-panggilan-kasus-dugaan-prostitusi-online-2-model-respons ","sumber")</f>
        <v>sumber</v>
      </c>
      <c r="G288" s="25" t="s">
        <v>1</v>
      </c>
      <c r="H288" s="26"/>
      <c r="I288" s="26"/>
      <c r="J288" s="26"/>
      <c r="K288" s="124"/>
      <c r="L288" s="26"/>
      <c r="M288" s="26"/>
      <c r="N288" s="26"/>
      <c r="O288" s="26"/>
      <c r="P288" s="26"/>
      <c r="Q288" s="26"/>
      <c r="R288" s="26"/>
      <c r="S288" s="124"/>
      <c r="T288" s="26"/>
      <c r="U288" s="26"/>
      <c r="V288" s="26"/>
      <c r="W288" s="26"/>
      <c r="X288" s="26"/>
      <c r="Y288" s="26"/>
    </row>
    <row r="289" spans="1:25" ht="14.4">
      <c r="A289" s="341">
        <v>1</v>
      </c>
      <c r="B289" s="342" t="s">
        <v>5259</v>
      </c>
      <c r="C289" s="147">
        <v>289</v>
      </c>
      <c r="D289" s="147">
        <v>3</v>
      </c>
      <c r="E289" s="147" t="s">
        <v>5260</v>
      </c>
      <c r="F289" s="333" t="str">
        <f>HYPERLINK("https://lifestyle.okezone.com/read/2019/01/15/194/2004826/gebetan-baru-harry-styles-kiko-mizuhara-berbagi-kisah-kelam-dunia-modelling ","sumber")</f>
        <v>sumber</v>
      </c>
      <c r="G289" s="147" t="s">
        <v>1</v>
      </c>
      <c r="H289" s="147">
        <v>2</v>
      </c>
      <c r="I289" s="147">
        <v>2</v>
      </c>
      <c r="J289" s="147">
        <v>1</v>
      </c>
      <c r="K289" s="334" t="s">
        <v>5261</v>
      </c>
      <c r="L289" s="147">
        <v>0</v>
      </c>
      <c r="M289" s="147">
        <v>0</v>
      </c>
      <c r="N289" s="335">
        <v>0</v>
      </c>
      <c r="O289" s="335">
        <v>0</v>
      </c>
      <c r="P289" s="147">
        <v>0</v>
      </c>
      <c r="Q289" s="147">
        <v>2</v>
      </c>
      <c r="R289" s="147">
        <v>1</v>
      </c>
      <c r="S289" s="336"/>
      <c r="T289" s="147">
        <v>0</v>
      </c>
      <c r="U289" s="147">
        <v>0</v>
      </c>
      <c r="V289" s="147">
        <v>1</v>
      </c>
      <c r="W289" s="337"/>
      <c r="X289" s="337"/>
      <c r="Y289" s="337"/>
    </row>
    <row r="290" spans="1:25" ht="14.4">
      <c r="A290" s="111">
        <v>2</v>
      </c>
      <c r="B290" s="308" t="s">
        <v>5262</v>
      </c>
      <c r="C290" s="25">
        <v>290</v>
      </c>
      <c r="D290" s="26"/>
      <c r="E290" s="25" t="s">
        <v>61</v>
      </c>
      <c r="F290" s="115" t="str">
        <f>HYPERLINK("https://cantik.tempo.co/read/1165271/kezia-warouw-ungkap-isi-grup-wa-soal-dugaan-prostitusi-online ","sumber")</f>
        <v>sumber</v>
      </c>
      <c r="G290" s="25" t="s">
        <v>1</v>
      </c>
      <c r="H290" s="26"/>
      <c r="I290" s="26"/>
      <c r="J290" s="26"/>
      <c r="K290" s="124"/>
      <c r="L290" s="26"/>
      <c r="M290" s="26"/>
      <c r="N290" s="26"/>
      <c r="O290" s="26"/>
      <c r="P290" s="26"/>
      <c r="Q290" s="26"/>
      <c r="R290" s="26"/>
      <c r="S290" s="124"/>
      <c r="T290" s="26"/>
      <c r="U290" s="26"/>
      <c r="V290" s="26"/>
      <c r="W290" s="26"/>
      <c r="X290" s="26"/>
      <c r="Y290" s="26"/>
    </row>
    <row r="291" spans="1:25" ht="14.4">
      <c r="A291" s="111">
        <v>2</v>
      </c>
      <c r="B291" s="308" t="s">
        <v>3527</v>
      </c>
      <c r="C291" s="25">
        <v>291</v>
      </c>
      <c r="D291" s="26"/>
      <c r="E291" s="25" t="s">
        <v>425</v>
      </c>
      <c r="F291" s="115" t="str">
        <f>HYPERLINK("https://entertainment.kompas.com/read/2019/01/16/192858910/vanessa-angel-tanggapi-tuduhan-tawarkan-diri-gunakan-video-dan-foto ","sumber")</f>
        <v>sumber</v>
      </c>
      <c r="G291" s="25" t="s">
        <v>1</v>
      </c>
      <c r="H291" s="26"/>
      <c r="I291" s="26"/>
      <c r="J291" s="26"/>
      <c r="K291" s="124"/>
      <c r="L291" s="26"/>
      <c r="M291" s="26"/>
      <c r="N291" s="26"/>
      <c r="O291" s="26"/>
      <c r="P291" s="26"/>
      <c r="Q291" s="26"/>
      <c r="R291" s="26"/>
      <c r="S291" s="124"/>
      <c r="T291" s="26"/>
      <c r="U291" s="26"/>
      <c r="V291" s="26"/>
      <c r="W291" s="26"/>
      <c r="X291" s="26"/>
      <c r="Y291" s="26"/>
    </row>
    <row r="292" spans="1:25" ht="14.4">
      <c r="A292" s="111">
        <v>2</v>
      </c>
      <c r="B292" s="308" t="s">
        <v>5263</v>
      </c>
      <c r="C292" s="25">
        <v>292</v>
      </c>
      <c r="D292" s="26"/>
      <c r="E292" s="25" t="s">
        <v>666</v>
      </c>
      <c r="F292" s="115" t="str">
        <f>HYPERLINK("https://www.cnnindonesia.com/internasional/20190118104608-134-361867/rusia-tahan-model-klaim-trump-curang-di-pilpres-as ","sumber")</f>
        <v>sumber</v>
      </c>
      <c r="G292" s="25" t="s">
        <v>1</v>
      </c>
      <c r="H292" s="26"/>
      <c r="I292" s="26"/>
      <c r="J292" s="26"/>
      <c r="K292" s="124"/>
      <c r="L292" s="26"/>
      <c r="M292" s="26"/>
      <c r="N292" s="26"/>
      <c r="O292" s="26"/>
      <c r="P292" s="26"/>
      <c r="Q292" s="26"/>
      <c r="R292" s="26"/>
      <c r="S292" s="124"/>
      <c r="T292" s="26"/>
      <c r="U292" s="26"/>
      <c r="V292" s="26"/>
      <c r="W292" s="26"/>
      <c r="X292" s="26"/>
      <c r="Y292" s="26"/>
    </row>
    <row r="293" spans="1:25" ht="14.4">
      <c r="A293" s="126">
        <v>1</v>
      </c>
      <c r="B293" s="285" t="s">
        <v>5264</v>
      </c>
      <c r="C293" s="33">
        <v>293</v>
      </c>
      <c r="D293" s="33">
        <v>1</v>
      </c>
      <c r="E293" s="33" t="s">
        <v>314</v>
      </c>
      <c r="F293" s="130" t="str">
        <f>HYPERLINK("https://news.detik.com/berita/d-4380615/dewas-bpjs-tk-sab-akui-punya-hubungan-khusus-dengan-stafnya ","sumber")</f>
        <v>sumber</v>
      </c>
      <c r="G293" s="33" t="s">
        <v>1</v>
      </c>
      <c r="H293" s="33">
        <v>1</v>
      </c>
      <c r="I293" s="33">
        <v>1</v>
      </c>
      <c r="J293" s="33">
        <v>1</v>
      </c>
      <c r="K293" s="131" t="s">
        <v>5265</v>
      </c>
      <c r="L293" s="33">
        <v>0</v>
      </c>
      <c r="M293" s="33">
        <v>0</v>
      </c>
      <c r="N293" s="132">
        <v>0</v>
      </c>
      <c r="O293" s="132">
        <v>0</v>
      </c>
      <c r="P293" s="33">
        <v>0</v>
      </c>
      <c r="Q293" s="33" t="s">
        <v>5266</v>
      </c>
      <c r="R293" s="33" t="s">
        <v>653</v>
      </c>
      <c r="S293" s="133"/>
      <c r="T293" s="33">
        <v>0</v>
      </c>
      <c r="U293" s="33">
        <v>0</v>
      </c>
      <c r="V293" s="33">
        <v>0</v>
      </c>
      <c r="W293" s="24"/>
      <c r="X293" s="24"/>
      <c r="Y293" s="24"/>
    </row>
    <row r="294" spans="1:25" ht="14.4">
      <c r="A294" s="111">
        <v>2</v>
      </c>
      <c r="B294" s="308" t="s">
        <v>5267</v>
      </c>
      <c r="C294" s="25">
        <v>294</v>
      </c>
      <c r="D294" s="26"/>
      <c r="E294" s="25" t="s">
        <v>5101</v>
      </c>
      <c r="F294" s="115" t="str">
        <f>HYPERLINK("https://www.cnnindonesia.com/teknologi/20190128095551-185-364328/sepanjang-2018-7-bayi-telah-lahir-dalam-perjalanan-grab ","sumber")</f>
        <v>sumber</v>
      </c>
      <c r="G294" s="25" t="s">
        <v>1</v>
      </c>
      <c r="H294" s="26"/>
      <c r="I294" s="26"/>
      <c r="J294" s="26"/>
      <c r="K294" s="124"/>
      <c r="L294" s="26"/>
      <c r="M294" s="26"/>
      <c r="N294" s="26"/>
      <c r="O294" s="26"/>
      <c r="P294" s="26"/>
      <c r="Q294" s="26"/>
      <c r="R294" s="26"/>
      <c r="S294" s="124"/>
      <c r="T294" s="26"/>
      <c r="U294" s="26"/>
      <c r="V294" s="26"/>
      <c r="W294" s="26"/>
      <c r="X294" s="26"/>
      <c r="Y294" s="26"/>
    </row>
    <row r="295" spans="1:25" ht="14.4">
      <c r="A295" s="111">
        <v>2</v>
      </c>
      <c r="B295" s="308" t="s">
        <v>5268</v>
      </c>
      <c r="C295" s="25">
        <v>295</v>
      </c>
      <c r="D295" s="26"/>
      <c r="E295" s="25" t="s">
        <v>434</v>
      </c>
      <c r="F295" s="115" t="str">
        <f>HYPERLINK("http://www.tribunnews.com/seleb/2019/01/30/vanessa-angel-resmi-ditahan-berikut-deretan-fakta-penahanannya-atas-kasus-prostitusi-online ","sumber")</f>
        <v>sumber</v>
      </c>
      <c r="G295" s="25" t="s">
        <v>1</v>
      </c>
      <c r="H295" s="26"/>
      <c r="I295" s="26"/>
      <c r="J295" s="26"/>
      <c r="K295" s="124"/>
      <c r="L295" s="26"/>
      <c r="M295" s="26"/>
      <c r="N295" s="26"/>
      <c r="O295" s="26"/>
      <c r="P295" s="26"/>
      <c r="Q295" s="26"/>
      <c r="R295" s="26"/>
      <c r="S295" s="124"/>
      <c r="T295" s="26"/>
      <c r="U295" s="26"/>
      <c r="V295" s="26"/>
      <c r="W295" s="26"/>
      <c r="X295" s="26"/>
      <c r="Y295" s="26"/>
    </row>
    <row r="296" spans="1:25" ht="14.4">
      <c r="A296" s="111">
        <v>2</v>
      </c>
      <c r="B296" s="308" t="s">
        <v>5269</v>
      </c>
      <c r="C296" s="25">
        <v>296</v>
      </c>
      <c r="D296" s="26"/>
      <c r="E296" s="25" t="s">
        <v>66</v>
      </c>
      <c r="F296" s="115" t="str">
        <f>HYPERLINK("https://cantik.tempo.co/read/1170652/pilihan-fashion-jessie-amalia-suka-main-warna-dan-kasual ","sumber")</f>
        <v>sumber</v>
      </c>
      <c r="G296" s="25" t="s">
        <v>1</v>
      </c>
      <c r="H296" s="26"/>
      <c r="I296" s="26"/>
      <c r="J296" s="26"/>
      <c r="K296" s="124"/>
      <c r="L296" s="26"/>
      <c r="M296" s="26"/>
      <c r="N296" s="26"/>
      <c r="O296" s="26"/>
      <c r="P296" s="26"/>
      <c r="Q296" s="26"/>
      <c r="R296" s="26"/>
      <c r="S296" s="124"/>
      <c r="T296" s="26"/>
      <c r="U296" s="26"/>
      <c r="V296" s="26"/>
      <c r="W296" s="26"/>
      <c r="X296" s="26"/>
      <c r="Y296" s="26"/>
    </row>
    <row r="297" spans="1:25" ht="14.4">
      <c r="A297" s="117">
        <v>1</v>
      </c>
      <c r="B297" s="294" t="s">
        <v>5270</v>
      </c>
      <c r="C297" s="22">
        <v>297</v>
      </c>
      <c r="D297" s="22">
        <v>1</v>
      </c>
      <c r="E297" s="222">
        <v>43498</v>
      </c>
      <c r="F297" s="121" t="str">
        <f>HYPERLINK("https://news.detik.com/internasional/d-4411516/bersalah-atas-kekerasan-seks-pastor-prancis-divonis-5-tahun-penjara ","sumber")</f>
        <v>sumber</v>
      </c>
      <c r="G297" s="22" t="s">
        <v>1</v>
      </c>
      <c r="H297" s="22">
        <v>413</v>
      </c>
      <c r="I297" s="22">
        <v>1</v>
      </c>
      <c r="J297" s="22">
        <v>1</v>
      </c>
      <c r="K297" s="123" t="s">
        <v>5271</v>
      </c>
      <c r="L297" s="22">
        <v>0</v>
      </c>
      <c r="M297" s="22">
        <v>-1</v>
      </c>
      <c r="N297" s="125">
        <v>0</v>
      </c>
      <c r="O297" s="22">
        <v>1</v>
      </c>
      <c r="P297" s="22">
        <v>0</v>
      </c>
      <c r="Q297" s="22" t="s">
        <v>29</v>
      </c>
      <c r="R297" s="22" t="s">
        <v>160</v>
      </c>
      <c r="S297" s="134"/>
      <c r="T297" s="22">
        <v>0</v>
      </c>
      <c r="U297" s="22">
        <v>0</v>
      </c>
      <c r="V297" s="22">
        <v>1</v>
      </c>
      <c r="W297" s="23"/>
      <c r="X297" s="23"/>
      <c r="Y297" s="23"/>
    </row>
    <row r="298" spans="1:25" ht="14.4">
      <c r="A298" s="126">
        <v>1</v>
      </c>
      <c r="B298" s="285" t="s">
        <v>5272</v>
      </c>
      <c r="C298" s="33">
        <v>298</v>
      </c>
      <c r="D298" s="33">
        <v>1</v>
      </c>
      <c r="E298" s="288">
        <v>43618</v>
      </c>
      <c r="F298" s="130" t="str">
        <f>HYPERLINK("https://sport.detik.com/sepakbola/liga-indonesia/d-4425918/olok-olok-suporter-newcastle-jets-untuk-simic ","sumber")</f>
        <v>sumber</v>
      </c>
      <c r="G298" s="33" t="s">
        <v>1</v>
      </c>
      <c r="H298" s="33">
        <v>1</v>
      </c>
      <c r="I298" s="33">
        <v>1</v>
      </c>
      <c r="J298" s="33">
        <v>1</v>
      </c>
      <c r="K298" s="131" t="s">
        <v>5273</v>
      </c>
      <c r="L298" s="33">
        <v>0</v>
      </c>
      <c r="M298" s="33">
        <v>0</v>
      </c>
      <c r="N298" s="132">
        <v>0</v>
      </c>
      <c r="O298" s="132">
        <v>0</v>
      </c>
      <c r="P298" s="33">
        <v>0</v>
      </c>
      <c r="Q298" s="33">
        <v>0</v>
      </c>
      <c r="R298" s="33">
        <v>0</v>
      </c>
      <c r="S298" s="133"/>
      <c r="T298" s="33">
        <v>0</v>
      </c>
      <c r="U298" s="33">
        <v>0</v>
      </c>
      <c r="V298" s="33">
        <v>0</v>
      </c>
      <c r="W298" s="24"/>
      <c r="X298" s="24"/>
      <c r="Y298" s="24"/>
    </row>
    <row r="299" spans="1:25" ht="14.4">
      <c r="A299" s="111">
        <v>2</v>
      </c>
      <c r="B299" s="308" t="s">
        <v>5274</v>
      </c>
      <c r="C299" s="25">
        <v>299</v>
      </c>
      <c r="D299" s="26"/>
      <c r="E299" s="234">
        <v>43618</v>
      </c>
      <c r="F299" s="115" t="str">
        <f>HYPERLINK("https://www.suara.com/entertainment/2019/02/06/113248/della-perez-bersyukur-didoakan-sebelum-diperiksa-kasus-prostitusi ","sumber")</f>
        <v>sumber</v>
      </c>
      <c r="G299" s="25" t="s">
        <v>1</v>
      </c>
      <c r="H299" s="26"/>
      <c r="I299" s="26"/>
      <c r="J299" s="26"/>
      <c r="K299" s="124"/>
      <c r="L299" s="26"/>
      <c r="M299" s="26"/>
      <c r="N299" s="26"/>
      <c r="O299" s="26"/>
      <c r="P299" s="26"/>
      <c r="Q299" s="26"/>
      <c r="R299" s="26"/>
      <c r="S299" s="124"/>
      <c r="T299" s="26"/>
      <c r="U299" s="26"/>
      <c r="V299" s="26"/>
      <c r="W299" s="26"/>
      <c r="X299" s="26"/>
      <c r="Y299" s="26"/>
    </row>
    <row r="300" spans="1:25" ht="14.4">
      <c r="A300" s="117">
        <v>1</v>
      </c>
      <c r="B300" s="294" t="s">
        <v>5275</v>
      </c>
      <c r="C300" s="22">
        <v>300</v>
      </c>
      <c r="D300" s="22">
        <v>3</v>
      </c>
      <c r="E300" s="22" t="s">
        <v>76</v>
      </c>
      <c r="F300" s="121" t="str">
        <f>HYPERLINK("https://news.okezone.com/read/2019/02/13/18/2017453/dua-mahasiswi-indonesia-diserang-di-australia-diduga-karena-mengenakan-jilbab ","sumber")</f>
        <v>sumber</v>
      </c>
      <c r="G300" s="22" t="s">
        <v>1</v>
      </c>
      <c r="H300" s="22">
        <v>459</v>
      </c>
      <c r="I300" s="22">
        <v>1</v>
      </c>
      <c r="J300" s="22">
        <v>4</v>
      </c>
      <c r="K300" s="185" t="s">
        <v>5276</v>
      </c>
      <c r="L300" s="22">
        <v>0</v>
      </c>
      <c r="M300" s="22">
        <v>0</v>
      </c>
      <c r="N300" s="125">
        <v>0</v>
      </c>
      <c r="O300" s="125">
        <v>0</v>
      </c>
      <c r="P300" s="22">
        <v>0</v>
      </c>
      <c r="Q300" s="22" t="s">
        <v>57</v>
      </c>
      <c r="R300" s="22" t="s">
        <v>1026</v>
      </c>
      <c r="S300" s="134"/>
      <c r="T300" s="22">
        <v>0</v>
      </c>
      <c r="U300" s="22">
        <v>0</v>
      </c>
      <c r="V300" s="22">
        <v>1</v>
      </c>
      <c r="W300" s="23"/>
      <c r="X300" s="23"/>
      <c r="Y300" s="23"/>
    </row>
    <row r="301" spans="1:25" ht="14.4">
      <c r="A301" s="111">
        <v>2</v>
      </c>
      <c r="B301" s="308" t="s">
        <v>5277</v>
      </c>
      <c r="C301" s="25">
        <v>301</v>
      </c>
      <c r="D301" s="26"/>
      <c r="E301" s="25" t="s">
        <v>5278</v>
      </c>
      <c r="F301" s="115" t="str">
        <f>HYPERLINK("https://tirto.id/klub-burning-sun-akan-ditutup-usai-seungri-bigbang-hengkang-dhbo ","sumber")</f>
        <v>sumber</v>
      </c>
      <c r="G301" s="25" t="s">
        <v>1</v>
      </c>
      <c r="H301" s="26"/>
      <c r="I301" s="26"/>
      <c r="J301" s="26"/>
      <c r="K301" s="124"/>
      <c r="L301" s="26"/>
      <c r="M301" s="26"/>
      <c r="N301" s="26"/>
      <c r="O301" s="26"/>
      <c r="P301" s="26"/>
      <c r="Q301" s="26"/>
      <c r="R301" s="26"/>
      <c r="S301" s="124"/>
      <c r="T301" s="26"/>
      <c r="U301" s="26"/>
      <c r="V301" s="26"/>
      <c r="W301" s="26"/>
      <c r="X301" s="26"/>
      <c r="Y301" s="26"/>
    </row>
    <row r="302" spans="1:25" ht="14.4">
      <c r="A302" s="117">
        <v>1</v>
      </c>
      <c r="B302" s="294" t="s">
        <v>5279</v>
      </c>
      <c r="C302" s="22">
        <v>302</v>
      </c>
      <c r="D302" s="22">
        <v>7</v>
      </c>
      <c r="E302" s="22" t="s">
        <v>5280</v>
      </c>
      <c r="F302" s="121" t="str">
        <f>HYPERLINK("http://www.tribunnews.com/internasional/2019/02/21/bagaimana-paus-fransiskus-tangani-skandal-seks-di-gereja-katolik ","sumber")</f>
        <v>sumber</v>
      </c>
      <c r="G302" s="22" t="s">
        <v>1</v>
      </c>
      <c r="H302" s="22">
        <v>1000</v>
      </c>
      <c r="I302" s="22">
        <v>2</v>
      </c>
      <c r="J302" s="22">
        <v>1</v>
      </c>
      <c r="K302" s="123" t="s">
        <v>5281</v>
      </c>
      <c r="L302" s="22">
        <v>0</v>
      </c>
      <c r="M302" s="22">
        <v>0</v>
      </c>
      <c r="N302" s="125">
        <v>0</v>
      </c>
      <c r="O302" s="22">
        <v>1</v>
      </c>
      <c r="P302" s="22">
        <v>0</v>
      </c>
      <c r="Q302" s="22" t="s">
        <v>112</v>
      </c>
      <c r="R302" s="22" t="s">
        <v>5282</v>
      </c>
      <c r="S302" s="123"/>
      <c r="T302" s="22">
        <v>0</v>
      </c>
      <c r="U302" s="22">
        <v>0</v>
      </c>
      <c r="V302" s="22">
        <v>1</v>
      </c>
      <c r="W302" s="23"/>
      <c r="X302" s="23"/>
      <c r="Y302" s="23"/>
    </row>
    <row r="303" spans="1:25" ht="15.75" customHeight="1">
      <c r="A303" s="111">
        <v>2</v>
      </c>
      <c r="B303" s="308" t="s">
        <v>5283</v>
      </c>
      <c r="C303" s="25">
        <v>303</v>
      </c>
      <c r="D303" s="26"/>
      <c r="E303" s="25" t="s">
        <v>2117</v>
      </c>
      <c r="F303" s="115" t="str">
        <f>HYPERLINK("https://www.suara.com/bola/2019/02/23/231523/escobar-siap-gantikan-peran-marko-simic-di-lini-depan-persija-jakarta ","sumber")</f>
        <v>sumber</v>
      </c>
      <c r="G303" s="25" t="s">
        <v>1</v>
      </c>
      <c r="H303" s="26"/>
      <c r="I303" s="26"/>
      <c r="J303" s="26"/>
      <c r="K303" s="124"/>
      <c r="L303" s="26"/>
      <c r="M303" s="26"/>
      <c r="N303" s="26"/>
      <c r="O303" s="26"/>
      <c r="P303" s="26"/>
      <c r="Q303" s="26"/>
      <c r="R303" s="26"/>
      <c r="S303" s="124"/>
      <c r="T303" s="26"/>
      <c r="U303" s="26"/>
      <c r="V303" s="26"/>
      <c r="W303" s="26"/>
      <c r="X303" s="26"/>
      <c r="Y303" s="26"/>
    </row>
    <row r="304" spans="1:25" ht="14.4">
      <c r="A304" s="117">
        <v>1</v>
      </c>
      <c r="B304" s="294" t="s">
        <v>5284</v>
      </c>
      <c r="C304" s="22">
        <v>304</v>
      </c>
      <c r="D304" s="22">
        <v>1</v>
      </c>
      <c r="E304" s="22" t="s">
        <v>437</v>
      </c>
      <c r="F304" s="121" t="str">
        <f>HYPERLINK("https://news.detik.com/berita/d-4441239/polisi-pastikan-pelaku-incest-anak-diadili-cepat","sumber")</f>
        <v>sumber</v>
      </c>
      <c r="G304" s="22" t="s">
        <v>1</v>
      </c>
      <c r="H304" s="22">
        <v>458</v>
      </c>
      <c r="I304" s="22">
        <v>1</v>
      </c>
      <c r="J304" s="22">
        <v>1</v>
      </c>
      <c r="K304" s="123" t="s">
        <v>5285</v>
      </c>
      <c r="L304" s="22">
        <v>0</v>
      </c>
      <c r="M304" s="22">
        <v>1</v>
      </c>
      <c r="N304" s="125">
        <v>0</v>
      </c>
      <c r="O304" s="22">
        <v>1</v>
      </c>
      <c r="P304" s="22">
        <v>0</v>
      </c>
      <c r="Q304" s="22" t="s">
        <v>29</v>
      </c>
      <c r="R304" s="22" t="s">
        <v>160</v>
      </c>
      <c r="S304" s="134"/>
      <c r="T304" s="22">
        <v>0</v>
      </c>
      <c r="U304" s="22">
        <v>0</v>
      </c>
      <c r="V304" s="22">
        <v>0</v>
      </c>
      <c r="W304" s="23"/>
      <c r="X304" s="23"/>
      <c r="Y304" s="23"/>
    </row>
    <row r="305" spans="1:25" ht="14.4">
      <c r="A305" s="117">
        <v>1</v>
      </c>
      <c r="B305" s="294" t="s">
        <v>5286</v>
      </c>
      <c r="C305" s="22">
        <v>305</v>
      </c>
      <c r="D305" s="22">
        <v>5</v>
      </c>
      <c r="E305" s="22" t="s">
        <v>325</v>
      </c>
      <c r="F305" s="121" t="str">
        <f>HYPERLINK("https://tirto.id/r-kelly-dibebaskan-usai-bayar--100-ribu-di-kasus-pelecehan-seksual-dhMG ","sumber")</f>
        <v>sumber</v>
      </c>
      <c r="G305" s="22" t="s">
        <v>1</v>
      </c>
      <c r="H305" s="22">
        <v>627</v>
      </c>
      <c r="I305" s="22">
        <v>1</v>
      </c>
      <c r="J305" s="22">
        <v>1</v>
      </c>
      <c r="K305" s="123" t="s">
        <v>5287</v>
      </c>
      <c r="L305" s="22">
        <v>0</v>
      </c>
      <c r="M305" s="22">
        <v>1</v>
      </c>
      <c r="N305" s="125">
        <v>0</v>
      </c>
      <c r="O305" s="22">
        <v>1</v>
      </c>
      <c r="P305" s="22">
        <v>0</v>
      </c>
      <c r="Q305" s="22" t="s">
        <v>21</v>
      </c>
      <c r="R305" s="22" t="s">
        <v>309</v>
      </c>
      <c r="S305" s="134"/>
      <c r="T305" s="22">
        <v>0</v>
      </c>
      <c r="U305" s="22">
        <v>0</v>
      </c>
      <c r="V305" s="22">
        <v>1</v>
      </c>
      <c r="W305" s="23"/>
      <c r="X305" s="23"/>
      <c r="Y305" s="23"/>
    </row>
    <row r="306" spans="1:25" ht="14.4">
      <c r="A306" s="117">
        <v>1</v>
      </c>
      <c r="B306" s="294" t="s">
        <v>3578</v>
      </c>
      <c r="C306" s="22">
        <v>306</v>
      </c>
      <c r="D306" s="22">
        <v>4</v>
      </c>
      <c r="E306" s="22" t="s">
        <v>2304</v>
      </c>
      <c r="F306" s="121" t="str">
        <f>HYPERLINK("https://www.liputan6.com/regional/read/3905192/rayuan-miras-dan-hilangnya-keperawanan-gadis-smp-di-jember ","sumber")</f>
        <v>sumber</v>
      </c>
      <c r="G306" s="22" t="s">
        <v>1</v>
      </c>
      <c r="H306" s="22">
        <v>530</v>
      </c>
      <c r="I306" s="22">
        <v>1</v>
      </c>
      <c r="J306" s="22">
        <v>1</v>
      </c>
      <c r="K306" s="123" t="s">
        <v>5288</v>
      </c>
      <c r="L306" s="22">
        <v>0</v>
      </c>
      <c r="M306" s="22">
        <v>-1</v>
      </c>
      <c r="N306" s="125">
        <v>0</v>
      </c>
      <c r="O306" s="22">
        <v>-1</v>
      </c>
      <c r="P306" s="22">
        <v>-1</v>
      </c>
      <c r="Q306" s="22">
        <v>0</v>
      </c>
      <c r="R306" s="22">
        <v>-1</v>
      </c>
      <c r="S306" s="134"/>
      <c r="T306" s="22">
        <v>0</v>
      </c>
      <c r="U306" s="22">
        <v>0</v>
      </c>
      <c r="V306" s="22">
        <v>0</v>
      </c>
      <c r="W306" s="23"/>
      <c r="X306" s="23"/>
      <c r="Y306" s="23"/>
    </row>
    <row r="307" spans="1:25" ht="14.4">
      <c r="A307" s="111">
        <v>2</v>
      </c>
      <c r="B307" s="308" t="s">
        <v>5289</v>
      </c>
      <c r="C307" s="25">
        <v>307</v>
      </c>
      <c r="D307" s="26"/>
      <c r="E307" s="25" t="s">
        <v>2304</v>
      </c>
      <c r="F307" s="115" t="str">
        <f>HYPERLINK("https://nasional.tempo.co/read/1180379/munas-alim-ulama-nu-sekjen-tidak-akan-ada-deklarasi-politik ","sumber")</f>
        <v>sumber</v>
      </c>
      <c r="G307" s="25" t="s">
        <v>1</v>
      </c>
      <c r="H307" s="26"/>
      <c r="I307" s="26"/>
      <c r="J307" s="26"/>
      <c r="K307" s="124"/>
      <c r="L307" s="26"/>
      <c r="M307" s="26"/>
      <c r="N307" s="26"/>
      <c r="O307" s="26"/>
      <c r="P307" s="26"/>
      <c r="Q307" s="26"/>
      <c r="R307" s="26"/>
      <c r="S307" s="124"/>
      <c r="T307" s="26"/>
      <c r="U307" s="26"/>
      <c r="V307" s="26"/>
      <c r="W307" s="26"/>
      <c r="X307" s="26"/>
      <c r="Y307" s="26"/>
    </row>
    <row r="308" spans="1:25" ht="14.4">
      <c r="A308" s="117">
        <v>1</v>
      </c>
      <c r="B308" s="294" t="s">
        <v>5290</v>
      </c>
      <c r="C308" s="22">
        <v>308</v>
      </c>
      <c r="D308" s="22">
        <v>5</v>
      </c>
      <c r="E308" s="222">
        <v>43499</v>
      </c>
      <c r="F308" s="121" t="str">
        <f>HYPERLINK("https://tirto.id/masalah-kekerasan-seksual-adalah-problem-kita-semua-dieG ","sumber")</f>
        <v>sumber</v>
      </c>
      <c r="G308" s="22" t="s">
        <v>1</v>
      </c>
      <c r="H308" s="22">
        <v>771</v>
      </c>
      <c r="I308" s="22">
        <v>3</v>
      </c>
      <c r="J308" s="22">
        <v>1</v>
      </c>
      <c r="K308" s="123" t="s">
        <v>5291</v>
      </c>
      <c r="L308" s="22">
        <v>0</v>
      </c>
      <c r="M308" s="22">
        <v>0</v>
      </c>
      <c r="N308" s="125">
        <v>0</v>
      </c>
      <c r="O308" s="125">
        <v>0</v>
      </c>
      <c r="P308" s="22">
        <v>0</v>
      </c>
      <c r="Q308" s="22" t="s">
        <v>21</v>
      </c>
      <c r="R308" s="22" t="s">
        <v>1552</v>
      </c>
      <c r="S308" s="134"/>
      <c r="T308" s="22">
        <v>0</v>
      </c>
      <c r="U308" s="22">
        <v>0</v>
      </c>
      <c r="V308" s="22">
        <v>1</v>
      </c>
      <c r="W308" s="23"/>
      <c r="X308" s="23"/>
      <c r="Y308" s="23"/>
    </row>
    <row r="309" spans="1:25" ht="14.4">
      <c r="A309" s="117">
        <v>1</v>
      </c>
      <c r="B309" s="294" t="s">
        <v>5292</v>
      </c>
      <c r="C309" s="22">
        <v>309</v>
      </c>
      <c r="D309" s="22">
        <v>9</v>
      </c>
      <c r="E309" s="222">
        <v>43588</v>
      </c>
      <c r="F309" s="121" t="str">
        <f>HYPERLINK("https://internasional.republika.co.id/berita/internasional/asia/pnw83n377/pemerkosa-tki-di-hong-kong-divonis-11-tahun-penjara ","sumber")</f>
        <v>sumber</v>
      </c>
      <c r="G309" s="22" t="s">
        <v>1</v>
      </c>
      <c r="H309" s="22">
        <v>411</v>
      </c>
      <c r="I309" s="22">
        <v>1</v>
      </c>
      <c r="J309" s="22">
        <v>1</v>
      </c>
      <c r="K309" s="185" t="s">
        <v>5293</v>
      </c>
      <c r="L309" s="22">
        <v>0</v>
      </c>
      <c r="M309" s="22">
        <v>1</v>
      </c>
      <c r="N309" s="125">
        <v>0</v>
      </c>
      <c r="O309" s="22">
        <v>1</v>
      </c>
      <c r="P309" s="22">
        <v>0</v>
      </c>
      <c r="Q309" s="22" t="s">
        <v>29</v>
      </c>
      <c r="R309" s="22" t="s">
        <v>160</v>
      </c>
      <c r="S309" s="134"/>
      <c r="T309" s="22">
        <v>0</v>
      </c>
      <c r="U309" s="22">
        <v>0</v>
      </c>
      <c r="V309" s="22">
        <v>1</v>
      </c>
      <c r="W309" s="23"/>
      <c r="X309" s="23"/>
      <c r="Y309" s="23"/>
    </row>
    <row r="310" spans="1:25" ht="14.4">
      <c r="A310" s="117">
        <v>1</v>
      </c>
      <c r="B310" s="294" t="s">
        <v>104</v>
      </c>
      <c r="C310" s="22">
        <v>310</v>
      </c>
      <c r="D310" s="22">
        <v>10</v>
      </c>
      <c r="E310" s="222">
        <v>43802</v>
      </c>
      <c r="F310" s="121" t="str">
        <f>HYPERLINK("https://tekno.tempo.co/read/1184473/google-bayar-rp-15-t-dua-eksekutif-yang-terlibat-pelecehan ","sumber")</f>
        <v>sumber</v>
      </c>
      <c r="G310" s="22" t="s">
        <v>1</v>
      </c>
      <c r="H310" s="22">
        <v>405</v>
      </c>
      <c r="I310" s="22">
        <v>1</v>
      </c>
      <c r="J310" s="22">
        <v>1</v>
      </c>
      <c r="K310" s="123" t="s">
        <v>5294</v>
      </c>
      <c r="L310" s="22">
        <v>0</v>
      </c>
      <c r="M310" s="22">
        <v>0</v>
      </c>
      <c r="N310" s="125">
        <v>0</v>
      </c>
      <c r="O310" s="125">
        <v>0</v>
      </c>
      <c r="P310" s="22">
        <v>0</v>
      </c>
      <c r="Q310" s="22" t="s">
        <v>29</v>
      </c>
      <c r="R310" s="22" t="s">
        <v>160</v>
      </c>
      <c r="S310" s="134"/>
      <c r="T310" s="22">
        <v>0</v>
      </c>
      <c r="U310" s="22">
        <v>0</v>
      </c>
      <c r="V310" s="22">
        <v>1</v>
      </c>
      <c r="W310" s="23"/>
      <c r="X310" s="23"/>
      <c r="Y310" s="23"/>
    </row>
    <row r="311" spans="1:25" ht="14.4">
      <c r="A311" s="111">
        <v>2</v>
      </c>
      <c r="B311" s="308" t="s">
        <v>5295</v>
      </c>
      <c r="C311" s="25">
        <v>311</v>
      </c>
      <c r="D311" s="26"/>
      <c r="E311" s="25" t="s">
        <v>91</v>
      </c>
      <c r="F311" s="115" t="str">
        <f>HYPERLINK("https://tekno.tempo.co/read/1185611/gojek-sediakan-tombol-darurat-apa-bedanya-dengan-tombol-sos-grab ","sumber")</f>
        <v>sumber</v>
      </c>
      <c r="G311" s="25" t="s">
        <v>1</v>
      </c>
      <c r="H311" s="26"/>
      <c r="I311" s="26"/>
      <c r="J311" s="26"/>
      <c r="K311" s="124"/>
      <c r="L311" s="26"/>
      <c r="M311" s="26"/>
      <c r="N311" s="26"/>
      <c r="O311" s="26"/>
      <c r="P311" s="26"/>
      <c r="Q311" s="26"/>
      <c r="R311" s="26"/>
      <c r="S311" s="124"/>
      <c r="T311" s="25">
        <v>0</v>
      </c>
      <c r="U311" s="26"/>
      <c r="V311" s="26"/>
      <c r="W311" s="26"/>
      <c r="X311" s="26"/>
      <c r="Y311" s="26"/>
    </row>
    <row r="312" spans="1:25" ht="14.4">
      <c r="A312" s="117">
        <v>1</v>
      </c>
      <c r="B312" s="294" t="s">
        <v>114</v>
      </c>
      <c r="C312" s="22">
        <v>312</v>
      </c>
      <c r="D312" s="22">
        <v>9</v>
      </c>
      <c r="E312" s="22" t="s">
        <v>115</v>
      </c>
      <c r="F312" s="121" t="str">
        <f>HYPERLINK("https://nasional.republika.co.id/berita/nasional/daerah/pog61o320/pencabulan-dominasi-kasus-kekerasaan-anak-di-pekanbaru","sumber")</f>
        <v>sumber</v>
      </c>
      <c r="G312" s="22" t="s">
        <v>1</v>
      </c>
      <c r="H312" s="22">
        <v>370</v>
      </c>
      <c r="I312" s="22">
        <v>1</v>
      </c>
      <c r="J312" s="22">
        <v>1</v>
      </c>
      <c r="K312" s="185" t="s">
        <v>5296</v>
      </c>
      <c r="L312" s="22">
        <v>0</v>
      </c>
      <c r="M312" s="22">
        <v>0</v>
      </c>
      <c r="N312" s="125">
        <v>0</v>
      </c>
      <c r="O312" s="125">
        <v>0</v>
      </c>
      <c r="P312" s="22">
        <v>0</v>
      </c>
      <c r="Q312" s="22">
        <v>0</v>
      </c>
      <c r="R312" s="22">
        <v>1</v>
      </c>
      <c r="S312" s="134"/>
      <c r="T312" s="22">
        <v>0</v>
      </c>
      <c r="U312" s="22">
        <v>0</v>
      </c>
      <c r="V312" s="22">
        <v>1</v>
      </c>
      <c r="W312" s="23"/>
      <c r="X312" s="23"/>
      <c r="Y312" s="23"/>
    </row>
    <row r="313" spans="1:25" ht="14.4">
      <c r="A313" s="117">
        <v>1</v>
      </c>
      <c r="B313" s="294" t="s">
        <v>5297</v>
      </c>
      <c r="C313" s="22">
        <v>313</v>
      </c>
      <c r="D313" s="22">
        <v>5</v>
      </c>
      <c r="E313" s="22" t="s">
        <v>118</v>
      </c>
      <c r="F313" s="121" t="str">
        <f>HYPERLINK("https://tirto.id/megaskandal-seungri-dan-molka-sisi-kelam-gemerlap-k-pop-djEW ","sumber")</f>
        <v>sumber</v>
      </c>
      <c r="G313" s="22" t="s">
        <v>1</v>
      </c>
      <c r="H313" s="22">
        <v>1227</v>
      </c>
      <c r="I313" s="22">
        <v>1</v>
      </c>
      <c r="J313" s="22">
        <v>1</v>
      </c>
      <c r="K313" s="123" t="s">
        <v>5298</v>
      </c>
      <c r="L313" s="22">
        <v>0</v>
      </c>
      <c r="M313" s="22">
        <v>0</v>
      </c>
      <c r="N313" s="125">
        <v>0</v>
      </c>
      <c r="O313" s="125">
        <v>0</v>
      </c>
      <c r="P313" s="22">
        <v>0</v>
      </c>
      <c r="Q313" s="22" t="s">
        <v>5299</v>
      </c>
      <c r="R313" s="22" t="s">
        <v>1026</v>
      </c>
      <c r="S313" s="134"/>
      <c r="T313" s="22">
        <v>0</v>
      </c>
      <c r="U313" s="22">
        <v>0</v>
      </c>
      <c r="V313" s="22">
        <v>1</v>
      </c>
      <c r="W313" s="23"/>
      <c r="X313" s="23"/>
      <c r="Y313" s="23"/>
    </row>
    <row r="314" spans="1:25" ht="14.4">
      <c r="A314" s="111">
        <v>2</v>
      </c>
      <c r="B314" s="308" t="s">
        <v>5300</v>
      </c>
      <c r="C314" s="25">
        <v>314</v>
      </c>
      <c r="D314" s="26"/>
      <c r="E314" s="25" t="s">
        <v>491</v>
      </c>
      <c r="F314" s="115" t="str">
        <f>HYPERLINK("https://www.cnnindonesia.com/hiburan/20190319092729-220-378580/disney-bantah-pernah-cari-pengganti-james-gunn ","sumber")</f>
        <v>sumber</v>
      </c>
      <c r="G314" s="25" t="s">
        <v>1</v>
      </c>
      <c r="H314" s="26"/>
      <c r="I314" s="26"/>
      <c r="J314" s="26"/>
      <c r="K314" s="124"/>
      <c r="L314" s="26"/>
      <c r="M314" s="26"/>
      <c r="N314" s="26"/>
      <c r="O314" s="26"/>
      <c r="P314" s="26"/>
      <c r="Q314" s="26"/>
      <c r="R314" s="26"/>
      <c r="S314" s="124"/>
      <c r="T314" s="26"/>
      <c r="U314" s="26"/>
      <c r="V314" s="26"/>
      <c r="W314" s="26"/>
      <c r="X314" s="26"/>
      <c r="Y314" s="26"/>
    </row>
    <row r="315" spans="1:25" ht="14.4">
      <c r="A315" s="117">
        <v>1</v>
      </c>
      <c r="B315" s="294" t="s">
        <v>5301</v>
      </c>
      <c r="C315" s="22">
        <v>315</v>
      </c>
      <c r="D315" s="22">
        <v>10</v>
      </c>
      <c r="E315" s="22" t="s">
        <v>124</v>
      </c>
      <c r="F315" s="121" t="str">
        <f>HYPERLINK("https://sport.tempo.co/read/1187881/takut-ditangkap-cristiano-ronaldo-tak-mau-bermain-bola-di-as ","sumber")</f>
        <v>sumber</v>
      </c>
      <c r="G315" s="22" t="s">
        <v>1</v>
      </c>
      <c r="H315" s="22">
        <v>228</v>
      </c>
      <c r="I315" s="22">
        <v>1</v>
      </c>
      <c r="J315" s="22">
        <v>1</v>
      </c>
      <c r="K315" s="123" t="s">
        <v>5302</v>
      </c>
      <c r="L315" s="22">
        <v>0</v>
      </c>
      <c r="M315" s="22">
        <v>0</v>
      </c>
      <c r="N315" s="125">
        <v>0</v>
      </c>
      <c r="O315" s="125">
        <v>0</v>
      </c>
      <c r="P315" s="22">
        <v>0</v>
      </c>
      <c r="Q315" s="22">
        <v>0</v>
      </c>
      <c r="R315" s="22">
        <v>1</v>
      </c>
      <c r="S315" s="134"/>
      <c r="T315" s="22">
        <v>0</v>
      </c>
      <c r="U315" s="22">
        <v>0</v>
      </c>
      <c r="V315" s="22">
        <v>1</v>
      </c>
      <c r="W315" s="23"/>
      <c r="X315" s="23"/>
      <c r="Y315" s="23"/>
    </row>
    <row r="316" spans="1:25" ht="14.4">
      <c r="A316" s="126">
        <v>1</v>
      </c>
      <c r="B316" s="285" t="s">
        <v>5303</v>
      </c>
      <c r="C316" s="33">
        <v>316</v>
      </c>
      <c r="D316" s="33">
        <v>1</v>
      </c>
      <c r="E316" s="33" t="s">
        <v>4048</v>
      </c>
      <c r="F316" s="130" t="str">
        <f>HYPERLINK("https://news.detik.com/berita/d-4470178/ruu-p-ks-disebut-legalkan-zina-bamsoet-itu-ngawur-dan-omong-kosong ","sumber")</f>
        <v>sumber</v>
      </c>
      <c r="G316" s="33" t="s">
        <v>1</v>
      </c>
      <c r="H316" s="33">
        <v>1</v>
      </c>
      <c r="I316" s="33">
        <v>4</v>
      </c>
      <c r="J316" s="33">
        <v>3</v>
      </c>
      <c r="K316" s="131" t="s">
        <v>5304</v>
      </c>
      <c r="L316" s="33">
        <v>0</v>
      </c>
      <c r="M316" s="33">
        <v>0</v>
      </c>
      <c r="N316" s="132">
        <v>0</v>
      </c>
      <c r="O316" s="132">
        <v>0</v>
      </c>
      <c r="P316" s="33">
        <v>0</v>
      </c>
      <c r="Q316" s="33">
        <v>0</v>
      </c>
      <c r="R316" s="33">
        <v>0</v>
      </c>
      <c r="S316" s="133"/>
      <c r="T316" s="33">
        <v>0</v>
      </c>
      <c r="U316" s="33">
        <v>0</v>
      </c>
      <c r="V316" s="33">
        <v>1</v>
      </c>
      <c r="W316" s="24"/>
      <c r="X316" s="24"/>
      <c r="Y316" s="24"/>
    </row>
    <row r="317" spans="1:25" ht="14.4">
      <c r="A317" s="111">
        <v>2</v>
      </c>
      <c r="B317" s="308" t="s">
        <v>5305</v>
      </c>
      <c r="C317" s="25">
        <v>317</v>
      </c>
      <c r="D317" s="26"/>
      <c r="E317" s="25" t="s">
        <v>127</v>
      </c>
      <c r="F317" s="115" t="str">
        <f>HYPERLINK("https://www.suara.com/tekno/2019/03/26/143254/bareng-apple-tv-plus-oprah-winfrey-rilis-dua-film-dokumenter-sekaligus ","sumber")</f>
        <v>sumber</v>
      </c>
      <c r="G317" s="25" t="s">
        <v>1</v>
      </c>
      <c r="H317" s="26"/>
      <c r="I317" s="26"/>
      <c r="J317" s="26"/>
      <c r="K317" s="124"/>
      <c r="L317" s="26"/>
      <c r="M317" s="26"/>
      <c r="N317" s="26"/>
      <c r="O317" s="26"/>
      <c r="P317" s="26"/>
      <c r="Q317" s="26"/>
      <c r="R317" s="26"/>
      <c r="S317" s="124"/>
      <c r="T317" s="26"/>
      <c r="U317" s="26"/>
      <c r="V317" s="26"/>
      <c r="W317" s="26"/>
      <c r="X317" s="26"/>
      <c r="Y317" s="26"/>
    </row>
    <row r="318" spans="1:25" ht="14.4">
      <c r="A318" s="111">
        <v>2</v>
      </c>
      <c r="B318" s="308" t="s">
        <v>3623</v>
      </c>
      <c r="C318" s="25">
        <v>318</v>
      </c>
      <c r="D318" s="26"/>
      <c r="E318" s="25" t="s">
        <v>502</v>
      </c>
      <c r="F318" s="115" t="str">
        <f>HYPERLINK("https://internasional.republika.co.id/berita/internasional/timur-tengah/pp2usp320/aktivis-ungkap-penyiksaan-selama-ditahan-saudi ","sumber")</f>
        <v>sumber</v>
      </c>
      <c r="G318" s="25" t="s">
        <v>1</v>
      </c>
      <c r="H318" s="26"/>
      <c r="I318" s="26"/>
      <c r="J318" s="26"/>
      <c r="K318" s="124"/>
      <c r="L318" s="26"/>
      <c r="M318" s="26"/>
      <c r="N318" s="26"/>
      <c r="O318" s="26"/>
      <c r="P318" s="26"/>
      <c r="Q318" s="26"/>
      <c r="R318" s="26"/>
      <c r="S318" s="124"/>
      <c r="T318" s="26"/>
      <c r="U318" s="26"/>
      <c r="V318" s="26"/>
      <c r="W318" s="26"/>
      <c r="X318" s="26"/>
      <c r="Y318" s="26"/>
    </row>
    <row r="319" spans="1:25" ht="15.75" customHeight="1">
      <c r="A319" s="111">
        <v>2</v>
      </c>
      <c r="B319" s="308" t="s">
        <v>5306</v>
      </c>
      <c r="C319" s="25">
        <v>319</v>
      </c>
      <c r="D319" s="26"/>
      <c r="E319" s="25" t="s">
        <v>2656</v>
      </c>
      <c r="F319" s="115" t="str">
        <f>HYPERLINK("https://www.suara.com/tekno/2019/03/29/222528/kominfo-prostitusi-online-paling-banyak-di-twitter ","sumber")</f>
        <v>sumber</v>
      </c>
      <c r="G319" s="25" t="s">
        <v>1</v>
      </c>
      <c r="H319" s="26"/>
      <c r="I319" s="26"/>
      <c r="J319" s="26"/>
      <c r="K319" s="124"/>
      <c r="L319" s="26"/>
      <c r="M319" s="26"/>
      <c r="N319" s="26"/>
      <c r="O319" s="26"/>
      <c r="P319" s="26"/>
      <c r="Q319" s="26"/>
      <c r="R319" s="26"/>
      <c r="S319" s="124"/>
      <c r="T319" s="26"/>
      <c r="U319" s="26"/>
      <c r="V319" s="26"/>
      <c r="W319" s="26"/>
      <c r="X319" s="26"/>
      <c r="Y319" s="26"/>
    </row>
    <row r="320" spans="1:25" ht="14.4">
      <c r="A320" s="126">
        <v>1</v>
      </c>
      <c r="B320" s="285" t="s">
        <v>136</v>
      </c>
      <c r="C320" s="33">
        <v>320</v>
      </c>
      <c r="D320" s="33">
        <v>7</v>
      </c>
      <c r="E320" s="33" t="s">
        <v>132</v>
      </c>
      <c r="F320" s="130" t="str">
        <f>HYPERLINK("http://www.tribunnews.com/nasional/2019/03/09/sambil-memangku-cucunya-seorang-ibu-menangis-di-ruang-rapat-komisi-viii-dpr-ri ","sumber")</f>
        <v>sumber</v>
      </c>
      <c r="G320" s="33" t="s">
        <v>1</v>
      </c>
      <c r="H320" s="33">
        <v>2</v>
      </c>
      <c r="I320" s="33">
        <v>3</v>
      </c>
      <c r="J320" s="33">
        <v>2</v>
      </c>
      <c r="K320" s="131" t="s">
        <v>5307</v>
      </c>
      <c r="L320" s="33">
        <v>0</v>
      </c>
      <c r="M320" s="33">
        <v>0</v>
      </c>
      <c r="N320" s="132">
        <v>0</v>
      </c>
      <c r="O320" s="132">
        <v>0</v>
      </c>
      <c r="P320" s="33">
        <v>0</v>
      </c>
      <c r="Q320" s="33" t="s">
        <v>68</v>
      </c>
      <c r="R320" s="33" t="s">
        <v>160</v>
      </c>
      <c r="S320" s="133"/>
      <c r="T320" s="33">
        <v>0</v>
      </c>
      <c r="U320" s="33">
        <v>0</v>
      </c>
      <c r="V320" s="33">
        <v>1</v>
      </c>
      <c r="W320" s="24"/>
      <c r="X320" s="24"/>
      <c r="Y320" s="24"/>
    </row>
    <row r="321" spans="1:25" ht="14.4">
      <c r="A321" s="117">
        <v>1</v>
      </c>
      <c r="B321" s="294" t="s">
        <v>5308</v>
      </c>
      <c r="C321" s="22">
        <v>321</v>
      </c>
      <c r="D321" s="22">
        <v>1</v>
      </c>
      <c r="E321" s="222">
        <v>43620</v>
      </c>
      <c r="F321" s="121" t="str">
        <f>HYPERLINK("https://news.detik.com/abc-australia/d-4498999/medsos-hotel-hotel-sultan-brunei-nonaktif-setelah-protes-hukuman-mati ","sumber")</f>
        <v>sumber</v>
      </c>
      <c r="G321" s="22" t="s">
        <v>1</v>
      </c>
      <c r="H321" s="22">
        <v>507</v>
      </c>
      <c r="I321" s="22">
        <v>1</v>
      </c>
      <c r="J321" s="22">
        <v>3</v>
      </c>
      <c r="K321" s="123" t="s">
        <v>5309</v>
      </c>
      <c r="L321" s="22">
        <v>0</v>
      </c>
      <c r="M321" s="22">
        <v>0</v>
      </c>
      <c r="N321" s="125">
        <v>0</v>
      </c>
      <c r="O321" s="125">
        <v>0</v>
      </c>
      <c r="P321" s="22">
        <v>0</v>
      </c>
      <c r="Q321" s="343" t="s">
        <v>21</v>
      </c>
      <c r="R321" s="22" t="s">
        <v>360</v>
      </c>
      <c r="S321" s="134"/>
      <c r="T321" s="22">
        <v>0</v>
      </c>
      <c r="U321" s="22">
        <v>0</v>
      </c>
      <c r="V321" s="22">
        <v>1</v>
      </c>
      <c r="W321" s="23"/>
      <c r="X321" s="23"/>
      <c r="Y321" s="23"/>
    </row>
    <row r="322" spans="1:25" ht="14.4">
      <c r="A322" s="126">
        <v>1</v>
      </c>
      <c r="B322" s="285" t="s">
        <v>5310</v>
      </c>
      <c r="C322" s="33">
        <v>322</v>
      </c>
      <c r="D322" s="33">
        <v>9</v>
      </c>
      <c r="E322" s="288">
        <v>43620</v>
      </c>
      <c r="F322" s="130" t="str">
        <f>HYPERLINK("https://nasional.republika.co.id/berita/nasional/daerah/pq9pwu349/tersangka-pembunuh-istri-di-maluku-terancam-15-tahun-penjara ","sumber")</f>
        <v>sumber</v>
      </c>
      <c r="G322" s="33" t="s">
        <v>1</v>
      </c>
      <c r="H322" s="33">
        <v>1</v>
      </c>
      <c r="I322" s="33">
        <v>1</v>
      </c>
      <c r="J322" s="33">
        <v>1</v>
      </c>
      <c r="K322" s="131" t="s">
        <v>5311</v>
      </c>
      <c r="L322" s="33">
        <v>0</v>
      </c>
      <c r="M322" s="33">
        <v>-1</v>
      </c>
      <c r="N322" s="132">
        <v>0</v>
      </c>
      <c r="O322" s="132">
        <v>0</v>
      </c>
      <c r="P322" s="33">
        <v>0</v>
      </c>
      <c r="Q322" s="33">
        <v>0</v>
      </c>
      <c r="R322" s="33">
        <v>0</v>
      </c>
      <c r="S322" s="133"/>
      <c r="T322" s="33">
        <v>0</v>
      </c>
      <c r="U322" s="33">
        <v>0</v>
      </c>
      <c r="V322" s="33">
        <v>0</v>
      </c>
      <c r="W322" s="24"/>
      <c r="X322" s="24"/>
      <c r="Y322" s="24"/>
    </row>
    <row r="323" spans="1:25" ht="14.4">
      <c r="A323" s="111">
        <v>2</v>
      </c>
      <c r="B323" s="308" t="s">
        <v>5312</v>
      </c>
      <c r="C323" s="25">
        <v>323</v>
      </c>
      <c r="D323" s="26"/>
      <c r="E323" s="234">
        <v>43650</v>
      </c>
      <c r="F323" s="115" t="str">
        <f>HYPERLINK("https://regional.kompas.com/read/2019/04/07/11212721/kronologi-polisi-bekuk-mucikari-prostitusi-online-di-makassar ","sumber")</f>
        <v>sumber</v>
      </c>
      <c r="G323" s="25" t="s">
        <v>1</v>
      </c>
      <c r="H323" s="26"/>
      <c r="I323" s="26"/>
      <c r="J323" s="26"/>
      <c r="K323" s="124"/>
      <c r="L323" s="26"/>
      <c r="M323" s="26"/>
      <c r="N323" s="25"/>
      <c r="O323" s="26"/>
      <c r="P323" s="26"/>
      <c r="Q323" s="26"/>
      <c r="R323" s="26"/>
      <c r="S323" s="124"/>
      <c r="T323" s="26"/>
      <c r="U323" s="26"/>
      <c r="V323" s="26"/>
      <c r="W323" s="26"/>
      <c r="X323" s="26"/>
      <c r="Y323" s="26"/>
    </row>
    <row r="324" spans="1:25" ht="14.4">
      <c r="A324" s="126">
        <v>1</v>
      </c>
      <c r="B324" s="285" t="s">
        <v>5313</v>
      </c>
      <c r="C324" s="33">
        <v>324</v>
      </c>
      <c r="D324" s="33">
        <v>1</v>
      </c>
      <c r="E324" s="288">
        <v>43712</v>
      </c>
      <c r="F324" s="130" t="str">
        <f>HYPERLINK("https://news.detik.com/bbc-world/d-4493537/kerap-lakukan-kdrt-kakek-di-inggris-dipukuli-istrinya-hingga-tewas ","sumber")</f>
        <v>sumber</v>
      </c>
      <c r="G324" s="33" t="s">
        <v>1</v>
      </c>
      <c r="H324" s="33">
        <v>1</v>
      </c>
      <c r="I324" s="33">
        <v>2</v>
      </c>
      <c r="J324" s="33">
        <v>1</v>
      </c>
      <c r="K324" s="131" t="s">
        <v>5314</v>
      </c>
      <c r="L324" s="33">
        <v>0</v>
      </c>
      <c r="M324" s="33">
        <v>0</v>
      </c>
      <c r="N324" s="132">
        <v>0</v>
      </c>
      <c r="O324" s="132">
        <v>0</v>
      </c>
      <c r="P324" s="33">
        <v>0</v>
      </c>
      <c r="Q324" s="33">
        <v>0</v>
      </c>
      <c r="R324" s="33">
        <v>1</v>
      </c>
      <c r="S324" s="133"/>
      <c r="T324" s="33">
        <v>0</v>
      </c>
      <c r="U324" s="33">
        <v>0</v>
      </c>
      <c r="V324" s="33">
        <v>1</v>
      </c>
      <c r="W324" s="24"/>
      <c r="X324" s="24"/>
      <c r="Y324" s="24"/>
    </row>
    <row r="325" spans="1:25" ht="14.4">
      <c r="A325" s="111">
        <v>2</v>
      </c>
      <c r="B325" s="308" t="s">
        <v>1636</v>
      </c>
      <c r="C325" s="25">
        <v>325</v>
      </c>
      <c r="D325" s="26"/>
      <c r="E325" s="234">
        <v>43773</v>
      </c>
      <c r="F325" s="115" t="str">
        <f>HYPERLINK("https://news.okezone.com/read/2019/04/11/337/2042049/kementerian-pppa-3-tersangka-penganiaya-au-depresi-berat ","sumber")</f>
        <v>sumber</v>
      </c>
      <c r="G325" s="25" t="s">
        <v>1</v>
      </c>
      <c r="H325" s="26"/>
      <c r="I325" s="26"/>
      <c r="J325" s="26"/>
      <c r="K325" s="124"/>
      <c r="L325" s="26"/>
      <c r="M325" s="26"/>
      <c r="N325" s="26"/>
      <c r="O325" s="26"/>
      <c r="P325" s="26"/>
      <c r="Q325" s="26"/>
      <c r="R325" s="26"/>
      <c r="S325" s="124"/>
      <c r="T325" s="26"/>
      <c r="U325" s="26"/>
      <c r="V325" s="26"/>
      <c r="W325" s="26"/>
      <c r="X325" s="26"/>
      <c r="Y325" s="26"/>
    </row>
    <row r="326" spans="1:25" ht="14.4">
      <c r="A326" s="111">
        <v>2</v>
      </c>
      <c r="B326" s="308" t="s">
        <v>5315</v>
      </c>
      <c r="C326" s="25">
        <v>326</v>
      </c>
      <c r="D326" s="26"/>
      <c r="E326" s="234">
        <v>43803</v>
      </c>
      <c r="F326" s="115" t="e">
        <f>HYPERLINK("https://tirto.id/kasus-kekerasan-anak-kemenpppa-usulkan-ada-uu-pengasuhan-keluarga-dlXk?__cf_chl_captcha_tk__=a4f5fd8de4235b9bd95c005f5dd5d1e451e3dbb5-1581411805-0-AUuXS-EPWx6IEMt8_9JFRAPa1eXmu20CwQ45OA_XHVgat2IRFGGFS2FMxQj0SInbIqp_3Ex3Y50ADuZfXlQM3c6BIEG"&amp;"NKH98kbhkaYHchCwvlUhoMUT6iC0F91toizryc_-_6tMFvzyutVCA6yb8_4UPPVzoN7bS_2Kn8y1AEUESH6L4Voho0R7uW2uwMy0dzk82SsNFjXY_2dowTnZSDOCeU09m2L3a5EWD8SyCRUy1Se-FpRz_1H64E07Mej1DCg7eMCUf6NBrHDTDcHE2il50-J5REBGocmPCYRhj-dihtpDlnWmldKjCMVIbKwXvgcu8WA4nxmjOAJ38iGfYzFZFym"&amp;"f7oQtPoPs0NqgCXktNdQs8uN2VHhQ1XwAFHWl7tClM2t8m_qiM5tIeLmhv4M_CX4wtA_wvK7piVeY-TclfWIIkB8ooAAu8XvwgmdFzHA","sumber")</f>
        <v>#VALUE!</v>
      </c>
      <c r="G326" s="25" t="s">
        <v>1</v>
      </c>
      <c r="H326" s="26"/>
      <c r="I326" s="26"/>
      <c r="J326" s="26"/>
      <c r="K326" s="124"/>
      <c r="L326" s="26"/>
      <c r="M326" s="26"/>
      <c r="N326" s="26"/>
      <c r="O326" s="26"/>
      <c r="P326" s="26"/>
      <c r="Q326" s="26"/>
      <c r="R326" s="26"/>
      <c r="S326" s="124"/>
      <c r="T326" s="26"/>
      <c r="U326" s="26"/>
      <c r="V326" s="26"/>
      <c r="W326" s="26"/>
      <c r="X326" s="26"/>
      <c r="Y326" s="26"/>
    </row>
    <row r="327" spans="1:25" ht="14.4">
      <c r="A327" s="111">
        <v>2</v>
      </c>
      <c r="B327" s="308" t="s">
        <v>5316</v>
      </c>
      <c r="C327" s="25">
        <v>327</v>
      </c>
      <c r="D327" s="26"/>
      <c r="E327" s="25" t="s">
        <v>734</v>
      </c>
      <c r="F327" s="115" t="str">
        <f>HYPERLINK("https://hot.liputan6.com/read/3940695/selain-isu-pangeran-william-dan-rose-hanbury-ini-7-skandal-keluarga-kerajaan-inggris ","sumber")</f>
        <v>sumber</v>
      </c>
      <c r="G327" s="25" t="s">
        <v>1</v>
      </c>
      <c r="H327" s="26"/>
      <c r="I327" s="26"/>
      <c r="J327" s="26"/>
      <c r="K327" s="124"/>
      <c r="L327" s="26"/>
      <c r="M327" s="26"/>
      <c r="N327" s="26"/>
      <c r="O327" s="26"/>
      <c r="P327" s="26"/>
      <c r="Q327" s="26"/>
      <c r="R327" s="26"/>
      <c r="S327" s="124"/>
      <c r="T327" s="26"/>
      <c r="U327" s="26"/>
      <c r="V327" s="26"/>
      <c r="W327" s="26"/>
      <c r="X327" s="26"/>
      <c r="Y327" s="26"/>
    </row>
    <row r="328" spans="1:25" ht="14.4">
      <c r="A328" s="111">
        <v>2</v>
      </c>
      <c r="B328" s="308" t="s">
        <v>5317</v>
      </c>
      <c r="C328" s="25">
        <v>328</v>
      </c>
      <c r="D328" s="25"/>
      <c r="E328" s="25" t="s">
        <v>5318</v>
      </c>
      <c r="F328" s="115" t="str">
        <f>HYPERLINK("https://www.liputan6.com/global/read/3941718/ayah-bos-wikileaks-minta-bantuan-australia-pulangkan-sang-putra ","sumber")</f>
        <v>sumber</v>
      </c>
      <c r="G328" s="25" t="s">
        <v>1</v>
      </c>
      <c r="H328" s="25"/>
      <c r="I328" s="25"/>
      <c r="J328" s="25"/>
      <c r="K328" s="124"/>
      <c r="L328" s="26"/>
      <c r="M328" s="26"/>
      <c r="N328" s="26"/>
      <c r="O328" s="26"/>
      <c r="P328" s="26"/>
      <c r="Q328" s="26"/>
      <c r="R328" s="26"/>
      <c r="S328" s="124"/>
      <c r="T328" s="26"/>
      <c r="U328" s="26"/>
      <c r="V328" s="26"/>
      <c r="W328" s="26"/>
      <c r="X328" s="26"/>
      <c r="Y328" s="26"/>
    </row>
    <row r="329" spans="1:25" ht="14.4">
      <c r="A329" s="111">
        <v>2</v>
      </c>
      <c r="B329" s="308" t="s">
        <v>5319</v>
      </c>
      <c r="C329" s="25">
        <v>329</v>
      </c>
      <c r="D329" s="26"/>
      <c r="E329" s="25" t="s">
        <v>2538</v>
      </c>
      <c r="F329" s="115" t="str">
        <f>HYPERLINK("https://www.cnnindonesia.com/hiburan/20190415170632-234-386570/seungri-terbukti-bayar-pramuria-di-pesta-yang-dihadiri-raline ","sumber")</f>
        <v>sumber</v>
      </c>
      <c r="G329" s="25" t="s">
        <v>1</v>
      </c>
      <c r="H329" s="26"/>
      <c r="I329" s="26"/>
      <c r="J329" s="26"/>
      <c r="K329" s="124"/>
      <c r="L329" s="26"/>
      <c r="M329" s="26"/>
      <c r="N329" s="26"/>
      <c r="O329" s="26"/>
      <c r="P329" s="26"/>
      <c r="Q329" s="26"/>
      <c r="R329" s="26"/>
      <c r="S329" s="124"/>
      <c r="T329" s="26"/>
      <c r="U329" s="26"/>
      <c r="V329" s="26"/>
      <c r="W329" s="26"/>
      <c r="X329" s="26"/>
      <c r="Y329" s="26"/>
    </row>
    <row r="330" spans="1:25" ht="14.4">
      <c r="A330" s="117">
        <v>1</v>
      </c>
      <c r="B330" s="294" t="s">
        <v>5320</v>
      </c>
      <c r="C330" s="22">
        <v>330</v>
      </c>
      <c r="D330" s="22">
        <v>6</v>
      </c>
      <c r="E330" s="22" t="s">
        <v>525</v>
      </c>
      <c r="F330" s="121" t="str">
        <f>HYPERLINK("https://bola.kompas.com/read/2019/04/19/13000098/lawan-pelecehan-rasial-pemain-liga-inggris-boikot-media-sosial ","sumber")</f>
        <v>sumber</v>
      </c>
      <c r="G330" s="22" t="s">
        <v>1</v>
      </c>
      <c r="H330" s="22">
        <v>400</v>
      </c>
      <c r="I330" s="22">
        <v>2</v>
      </c>
      <c r="J330" s="22">
        <v>0</v>
      </c>
      <c r="K330" s="123" t="s">
        <v>5321</v>
      </c>
      <c r="L330" s="22">
        <v>0</v>
      </c>
      <c r="M330" s="22">
        <v>0</v>
      </c>
      <c r="N330" s="125">
        <v>0</v>
      </c>
      <c r="O330" s="125">
        <v>0</v>
      </c>
      <c r="P330" s="22">
        <v>0</v>
      </c>
      <c r="Q330" s="22" t="s">
        <v>87</v>
      </c>
      <c r="R330" s="22" t="s">
        <v>160</v>
      </c>
      <c r="S330" s="134"/>
      <c r="T330" s="22">
        <v>0</v>
      </c>
      <c r="U330" s="22">
        <v>0</v>
      </c>
      <c r="V330" s="22">
        <v>1</v>
      </c>
      <c r="W330" s="23"/>
      <c r="X330" s="23"/>
      <c r="Y330" s="23"/>
    </row>
    <row r="331" spans="1:25" ht="14.4">
      <c r="A331" s="111">
        <v>2</v>
      </c>
      <c r="B331" s="308" t="s">
        <v>5322</v>
      </c>
      <c r="C331" s="25">
        <v>331</v>
      </c>
      <c r="D331" s="26"/>
      <c r="E331" s="25" t="s">
        <v>162</v>
      </c>
      <c r="F331" s="115" t="str">
        <f>HYPERLINK("https://sport.tempo.co/read/1198310/petarung-mma-rodrigo-de-lima-tewas-ditabrak-taksi-online ","sumber")</f>
        <v>sumber</v>
      </c>
      <c r="G331" s="25" t="s">
        <v>1</v>
      </c>
      <c r="H331" s="26"/>
      <c r="I331" s="26"/>
      <c r="J331" s="26"/>
      <c r="K331" s="124"/>
      <c r="L331" s="26"/>
      <c r="M331" s="26"/>
      <c r="N331" s="25"/>
      <c r="O331" s="26"/>
      <c r="P331" s="26"/>
      <c r="Q331" s="26"/>
      <c r="R331" s="26"/>
      <c r="S331" s="124"/>
      <c r="T331" s="26"/>
      <c r="U331" s="26"/>
      <c r="V331" s="26"/>
      <c r="W331" s="26"/>
      <c r="X331" s="26"/>
      <c r="Y331" s="26"/>
    </row>
    <row r="332" spans="1:25" ht="14.4">
      <c r="A332" s="111">
        <v>2</v>
      </c>
      <c r="B332" s="308" t="s">
        <v>5323</v>
      </c>
      <c r="C332" s="25">
        <v>332</v>
      </c>
      <c r="D332" s="26"/>
      <c r="E332" s="25" t="s">
        <v>521</v>
      </c>
      <c r="F332" s="115" t="str">
        <f>HYPERLINK("https://www.liputan6.com/showbiz/read/3949730/penyewa-jasa-booking-out-vanessa-angel-jadi-dpo-polda-jatim ","sumber")</f>
        <v>sumber</v>
      </c>
      <c r="G332" s="25" t="s">
        <v>1</v>
      </c>
      <c r="H332" s="26"/>
      <c r="I332" s="26"/>
      <c r="J332" s="26"/>
      <c r="K332" s="124"/>
      <c r="L332" s="26"/>
      <c r="M332" s="26"/>
      <c r="N332" s="26"/>
      <c r="O332" s="26"/>
      <c r="P332" s="26"/>
      <c r="Q332" s="26"/>
      <c r="R332" s="26"/>
      <c r="S332" s="124"/>
      <c r="T332" s="26"/>
      <c r="U332" s="26"/>
      <c r="V332" s="26"/>
      <c r="W332" s="26"/>
      <c r="X332" s="26"/>
      <c r="Y332" s="26"/>
    </row>
    <row r="333" spans="1:25" ht="14.4">
      <c r="A333" s="117">
        <v>1</v>
      </c>
      <c r="B333" s="294" t="s">
        <v>1651</v>
      </c>
      <c r="C333" s="22">
        <v>333</v>
      </c>
      <c r="D333" s="23"/>
      <c r="E333" s="222">
        <v>43590</v>
      </c>
      <c r="F333" s="121" t="str">
        <f>HYPERLINK("http://www.tribunnews.com/regional/2019/05/05/mati-lampu-resbi-malah-cari-kesempatan-untuk-memperkosa-tetangga ","sumber")</f>
        <v>sumber</v>
      </c>
      <c r="G333" s="22" t="s">
        <v>1</v>
      </c>
      <c r="H333" s="23"/>
      <c r="I333" s="22">
        <v>1</v>
      </c>
      <c r="J333" s="22">
        <v>1</v>
      </c>
      <c r="K333" s="123" t="s">
        <v>5324</v>
      </c>
      <c r="L333" s="22">
        <v>0</v>
      </c>
      <c r="M333" s="22">
        <v>0</v>
      </c>
      <c r="N333" s="125">
        <v>0</v>
      </c>
      <c r="O333" s="22">
        <v>-1</v>
      </c>
      <c r="P333" s="22">
        <v>-1</v>
      </c>
      <c r="Q333" s="22" t="s">
        <v>29</v>
      </c>
      <c r="R333" s="22" t="s">
        <v>160</v>
      </c>
      <c r="S333" s="134"/>
      <c r="T333" s="22">
        <v>0</v>
      </c>
      <c r="U333" s="22">
        <v>0</v>
      </c>
      <c r="V333" s="22">
        <v>1</v>
      </c>
      <c r="W333" s="23"/>
      <c r="X333" s="23"/>
      <c r="Y333" s="23"/>
    </row>
    <row r="334" spans="1:25" ht="14.4">
      <c r="A334" s="111">
        <v>2</v>
      </c>
      <c r="B334" s="308" t="s">
        <v>5325</v>
      </c>
      <c r="C334" s="25">
        <v>334</v>
      </c>
      <c r="D334" s="26"/>
      <c r="E334" s="234">
        <v>43713</v>
      </c>
      <c r="F334" s="115" t="str">
        <f>HYPERLINK("https://www.suara.com/entertainment/2019/05/09/154025/cari-sosok-rian-mantan-vanessa-angel-bikin-sayembara-senilai-rp-60-juta ","sumber")</f>
        <v>sumber</v>
      </c>
      <c r="G334" s="25" t="s">
        <v>1</v>
      </c>
      <c r="H334" s="26"/>
      <c r="I334" s="26"/>
      <c r="J334" s="26"/>
      <c r="K334" s="124"/>
      <c r="L334" s="26"/>
      <c r="M334" s="26"/>
      <c r="N334" s="26"/>
      <c r="O334" s="26"/>
      <c r="P334" s="26"/>
      <c r="Q334" s="26"/>
      <c r="R334" s="26"/>
      <c r="S334" s="124"/>
      <c r="T334" s="26"/>
      <c r="U334" s="26"/>
      <c r="V334" s="26"/>
      <c r="W334" s="26"/>
      <c r="X334" s="26"/>
      <c r="Y334" s="26"/>
    </row>
    <row r="335" spans="1:25" ht="14.4">
      <c r="A335" s="111">
        <v>2</v>
      </c>
      <c r="B335" s="308" t="s">
        <v>5326</v>
      </c>
      <c r="C335" s="25">
        <v>335</v>
      </c>
      <c r="D335" s="26"/>
      <c r="E335" s="234">
        <v>43743</v>
      </c>
      <c r="F335" s="115" t="str">
        <f>HYPERLINK("https://sport.tempo.co/read/1204157/marko-simic-datang-persija-pinjamkan-silvio-escobar ","sumber")</f>
        <v>sumber</v>
      </c>
      <c r="G335" s="25" t="s">
        <v>1</v>
      </c>
      <c r="H335" s="26"/>
      <c r="I335" s="26"/>
      <c r="J335" s="26"/>
      <c r="K335" s="124"/>
      <c r="L335" s="26"/>
      <c r="M335" s="26"/>
      <c r="N335" s="26"/>
      <c r="O335" s="26"/>
      <c r="P335" s="26"/>
      <c r="Q335" s="26"/>
      <c r="R335" s="26"/>
      <c r="S335" s="124"/>
      <c r="T335" s="26"/>
      <c r="U335" s="26"/>
      <c r="V335" s="26"/>
      <c r="W335" s="26"/>
      <c r="X335" s="26"/>
      <c r="Y335" s="26"/>
    </row>
    <row r="336" spans="1:25" ht="14.4">
      <c r="A336" s="111">
        <v>2</v>
      </c>
      <c r="B336" s="308" t="s">
        <v>5327</v>
      </c>
      <c r="C336" s="25">
        <v>336</v>
      </c>
      <c r="D336" s="26"/>
      <c r="E336" s="234">
        <v>43804</v>
      </c>
      <c r="F336" s="115" t="str">
        <f>HYPERLINK("https://www.suara.com/lifestyle/2019/05/12/132000/lelah-jadi-gelandangan-lelaki-ini-diam-diam-tinggal-di-loteng-mantan-pacar ","sumber")</f>
        <v>sumber</v>
      </c>
      <c r="G336" s="25" t="s">
        <v>1</v>
      </c>
      <c r="H336" s="26"/>
      <c r="I336" s="26"/>
      <c r="J336" s="26"/>
      <c r="K336" s="124"/>
      <c r="L336" s="26"/>
      <c r="M336" s="26"/>
      <c r="N336" s="26"/>
      <c r="O336" s="26"/>
      <c r="P336" s="26"/>
      <c r="Q336" s="26"/>
      <c r="R336" s="26"/>
      <c r="S336" s="124"/>
      <c r="T336" s="26"/>
      <c r="U336" s="26"/>
      <c r="V336" s="26"/>
      <c r="W336" s="26"/>
      <c r="X336" s="26"/>
      <c r="Y336" s="26"/>
    </row>
    <row r="337" spans="1:25" ht="14.4">
      <c r="A337" s="117">
        <v>1</v>
      </c>
      <c r="B337" s="294" t="s">
        <v>5328</v>
      </c>
      <c r="C337" s="22">
        <v>337</v>
      </c>
      <c r="D337" s="22">
        <v>2</v>
      </c>
      <c r="E337" s="22" t="s">
        <v>358</v>
      </c>
      <c r="F337" s="121" t="str">
        <f>HYPERLINK("https://www.cnnindonesia.com/nasional/20190519125913-12-396165/amnesty-internasional-pemecatan-polisi-gay-langgar-aturan ","sumber")</f>
        <v>sumber</v>
      </c>
      <c r="G337" s="22" t="s">
        <v>1</v>
      </c>
      <c r="H337" s="22">
        <v>804</v>
      </c>
      <c r="I337" s="22">
        <v>1</v>
      </c>
      <c r="J337" s="22">
        <v>3</v>
      </c>
      <c r="K337" s="123" t="s">
        <v>5329</v>
      </c>
      <c r="L337" s="22">
        <v>0</v>
      </c>
      <c r="M337" s="22">
        <v>0</v>
      </c>
      <c r="N337" s="125">
        <v>0</v>
      </c>
      <c r="O337" s="125">
        <v>0</v>
      </c>
      <c r="P337" s="22">
        <v>0</v>
      </c>
      <c r="Q337" s="22" t="s">
        <v>21</v>
      </c>
      <c r="R337" s="22" t="s">
        <v>1416</v>
      </c>
      <c r="S337" s="134"/>
      <c r="T337" s="22">
        <v>0</v>
      </c>
      <c r="U337" s="22">
        <v>0</v>
      </c>
      <c r="V337" s="22">
        <v>1</v>
      </c>
      <c r="W337" s="23"/>
      <c r="X337" s="23"/>
      <c r="Y337" s="23"/>
    </row>
    <row r="338" spans="1:25" ht="14.4">
      <c r="A338" s="117">
        <v>1</v>
      </c>
      <c r="B338" s="294" t="s">
        <v>5330</v>
      </c>
      <c r="C338" s="22">
        <v>338</v>
      </c>
      <c r="D338" s="22">
        <v>1</v>
      </c>
      <c r="E338" s="22" t="s">
        <v>556</v>
      </c>
      <c r="F338" s="121" t="str">
        <f>HYPERLINK("https://news.detik.com/berita/d-4560739/kenalan-di-facebook-guide-di-bali-perkosa-pegawai-garmen ","sumber")</f>
        <v>sumber</v>
      </c>
      <c r="G338" s="22" t="s">
        <v>1</v>
      </c>
      <c r="H338" s="22">
        <v>249</v>
      </c>
      <c r="I338" s="22">
        <v>1</v>
      </c>
      <c r="J338" s="22">
        <v>1</v>
      </c>
      <c r="K338" s="123" t="s">
        <v>5331</v>
      </c>
      <c r="L338" s="22">
        <v>0</v>
      </c>
      <c r="M338" s="22">
        <v>1</v>
      </c>
      <c r="N338" s="125">
        <v>0</v>
      </c>
      <c r="O338" s="22">
        <v>1</v>
      </c>
      <c r="P338" s="22">
        <v>0</v>
      </c>
      <c r="Q338" s="22">
        <v>0</v>
      </c>
      <c r="R338" s="22">
        <v>1</v>
      </c>
      <c r="S338" s="134"/>
      <c r="T338" s="22">
        <v>0</v>
      </c>
      <c r="U338" s="22">
        <v>0</v>
      </c>
      <c r="V338" s="22">
        <v>1</v>
      </c>
      <c r="W338" s="23"/>
      <c r="X338" s="23"/>
      <c r="Y338" s="23"/>
    </row>
    <row r="339" spans="1:25" ht="14.4">
      <c r="A339" s="111">
        <v>2</v>
      </c>
      <c r="B339" s="308" t="s">
        <v>5332</v>
      </c>
      <c r="C339" s="25">
        <v>339</v>
      </c>
      <c r="D339" s="26"/>
      <c r="E339" s="25" t="s">
        <v>2177</v>
      </c>
      <c r="F339" s="115" t="str">
        <f>HYPERLINK("https://www.cnnindonesia.com/hiburan/20190527134849-234-398728/kondisi-goo-hara-mulai-stabil-usai-coba-bunuh-diri ","sumber")</f>
        <v>sumber</v>
      </c>
      <c r="G339" s="25" t="s">
        <v>1</v>
      </c>
      <c r="H339" s="26"/>
      <c r="I339" s="26"/>
      <c r="J339" s="26"/>
      <c r="K339" s="124"/>
      <c r="L339" s="26"/>
      <c r="M339" s="26"/>
      <c r="N339" s="26"/>
      <c r="O339" s="26"/>
      <c r="P339" s="26"/>
      <c r="Q339" s="26"/>
      <c r="R339" s="26"/>
      <c r="S339" s="124"/>
      <c r="T339" s="26"/>
      <c r="U339" s="26"/>
      <c r="V339" s="26"/>
      <c r="W339" s="26"/>
      <c r="X339" s="26"/>
      <c r="Y339" s="26"/>
    </row>
    <row r="340" spans="1:25" ht="14.4">
      <c r="A340" s="117">
        <v>1</v>
      </c>
      <c r="B340" s="294" t="s">
        <v>5333</v>
      </c>
      <c r="C340" s="22">
        <v>340</v>
      </c>
      <c r="D340" s="22">
        <v>4</v>
      </c>
      <c r="E340" s="22" t="s">
        <v>180</v>
      </c>
      <c r="F340" s="121" t="str">
        <f>HYPERLINK("https://www.liputan6.com/tekno/read/3980846/kepala-tim-bodyguard-mark-zuckerberg-diduga-lakukan-kekerasan-seksual ","sumber")</f>
        <v>sumber</v>
      </c>
      <c r="G340" s="22" t="s">
        <v>1</v>
      </c>
      <c r="H340" s="22">
        <v>356</v>
      </c>
      <c r="I340" s="22">
        <v>1</v>
      </c>
      <c r="J340" s="22">
        <v>1</v>
      </c>
      <c r="K340" s="123" t="s">
        <v>5334</v>
      </c>
      <c r="L340" s="22">
        <v>0</v>
      </c>
      <c r="M340" s="22">
        <v>0</v>
      </c>
      <c r="N340" s="125">
        <v>0</v>
      </c>
      <c r="O340" s="125">
        <v>0</v>
      </c>
      <c r="P340" s="22">
        <v>0</v>
      </c>
      <c r="Q340" s="22">
        <v>0</v>
      </c>
      <c r="R340" s="22">
        <v>1</v>
      </c>
      <c r="S340" s="134"/>
      <c r="T340" s="22">
        <v>0</v>
      </c>
      <c r="U340" s="22">
        <v>0</v>
      </c>
      <c r="V340" s="22">
        <v>1</v>
      </c>
      <c r="W340" s="23"/>
      <c r="X340" s="23"/>
      <c r="Y340" s="23"/>
    </row>
    <row r="341" spans="1:25" ht="14.4">
      <c r="A341" s="117">
        <v>1</v>
      </c>
      <c r="B341" s="294" t="s">
        <v>5335</v>
      </c>
      <c r="C341" s="22">
        <v>341</v>
      </c>
      <c r="D341" s="22">
        <v>10</v>
      </c>
      <c r="E341" s="222">
        <v>43502</v>
      </c>
      <c r="F341" s="121" t="str">
        <f>HYPERLINK("https://bola.tempo.co/read/1211774/neymar-tanggapi-tuduhan-perkosaan-bilang-sedang-diperas ","sumber")</f>
        <v>sumber</v>
      </c>
      <c r="G341" s="22" t="s">
        <v>1</v>
      </c>
      <c r="H341" s="22">
        <v>1</v>
      </c>
      <c r="I341" s="22">
        <v>1</v>
      </c>
      <c r="J341" s="22">
        <v>1</v>
      </c>
      <c r="K341" s="123" t="s">
        <v>5336</v>
      </c>
      <c r="L341" s="22">
        <v>0</v>
      </c>
      <c r="M341" s="22">
        <v>0</v>
      </c>
      <c r="N341" s="125">
        <v>0</v>
      </c>
      <c r="O341" s="125">
        <v>0</v>
      </c>
      <c r="P341" s="22">
        <v>0</v>
      </c>
      <c r="Q341" s="22">
        <v>0</v>
      </c>
      <c r="R341" s="22">
        <v>0</v>
      </c>
      <c r="S341" s="134"/>
      <c r="T341" s="22">
        <v>0</v>
      </c>
      <c r="U341" s="22">
        <v>0</v>
      </c>
      <c r="V341" s="22">
        <v>0</v>
      </c>
      <c r="W341" s="23"/>
      <c r="X341" s="23"/>
      <c r="Y341" s="23"/>
    </row>
    <row r="342" spans="1:25" ht="14.4">
      <c r="A342" s="126">
        <v>1</v>
      </c>
      <c r="B342" s="285" t="s">
        <v>5337</v>
      </c>
      <c r="C342" s="33">
        <v>342</v>
      </c>
      <c r="D342" s="33">
        <v>4</v>
      </c>
      <c r="E342" s="288">
        <v>43591</v>
      </c>
      <c r="F342" s="130" t="str">
        <f>HYPERLINK("https://www.liputan6.com/bola/read/3984006/gugatan-tuduhan-pemerkosaan-cristiano-ronaldo-dicabut ","sumber")</f>
        <v>sumber</v>
      </c>
      <c r="G342" s="33" t="s">
        <v>1</v>
      </c>
      <c r="H342" s="33">
        <v>1</v>
      </c>
      <c r="I342" s="33">
        <v>4</v>
      </c>
      <c r="J342" s="33">
        <v>1</v>
      </c>
      <c r="K342" s="131"/>
      <c r="L342" s="33">
        <v>0</v>
      </c>
      <c r="M342" s="33">
        <v>0</v>
      </c>
      <c r="N342" s="132">
        <v>0</v>
      </c>
      <c r="O342" s="132">
        <v>0</v>
      </c>
      <c r="P342" s="33">
        <v>0</v>
      </c>
      <c r="Q342" s="33"/>
      <c r="R342" s="33"/>
      <c r="S342" s="133"/>
      <c r="T342" s="33">
        <v>0</v>
      </c>
      <c r="U342" s="33">
        <v>0</v>
      </c>
      <c r="V342" s="33">
        <v>0</v>
      </c>
      <c r="W342" s="24"/>
      <c r="X342" s="24"/>
      <c r="Y342" s="24"/>
    </row>
    <row r="343" spans="1:25" ht="14.4">
      <c r="A343" s="111">
        <v>2</v>
      </c>
      <c r="B343" s="308" t="s">
        <v>5338</v>
      </c>
      <c r="C343" s="25">
        <v>343</v>
      </c>
      <c r="D343" s="26"/>
      <c r="E343" s="26"/>
      <c r="F343" s="115" t="str">
        <f>HYPERLINK("https://seleb.tempo.co/read/1213955/vanessa-angel-ingin-ke-rumah-tak-tahan-kamar-mandi-penjara ","sumber")</f>
        <v>sumber</v>
      </c>
      <c r="G343" s="25" t="s">
        <v>1</v>
      </c>
      <c r="H343" s="26"/>
      <c r="I343" s="26"/>
      <c r="J343" s="26"/>
      <c r="K343" s="124"/>
      <c r="L343" s="26"/>
      <c r="M343" s="26"/>
      <c r="N343" s="25"/>
      <c r="O343" s="26"/>
      <c r="P343" s="25"/>
      <c r="Q343" s="26"/>
      <c r="R343" s="26"/>
      <c r="S343" s="124"/>
      <c r="T343" s="26"/>
      <c r="U343" s="26"/>
      <c r="V343" s="26"/>
      <c r="W343" s="26"/>
      <c r="X343" s="26"/>
      <c r="Y343" s="26"/>
    </row>
    <row r="344" spans="1:25" ht="14.4">
      <c r="A344" s="111">
        <v>2</v>
      </c>
      <c r="B344" s="308" t="s">
        <v>5339</v>
      </c>
      <c r="C344" s="25">
        <v>344</v>
      </c>
      <c r="D344" s="26"/>
      <c r="E344" s="26"/>
      <c r="F344" s="115" t="str">
        <f>HYPERLINK("https://www.suara.com/entertainment/2019/06/13/131100/vanessa-angel-dan-siska-saling-menguatkan-di-penjara ","sumber")</f>
        <v>sumber</v>
      </c>
      <c r="G344" s="25" t="s">
        <v>1</v>
      </c>
      <c r="H344" s="26"/>
      <c r="I344" s="26"/>
      <c r="J344" s="26"/>
      <c r="K344" s="124"/>
      <c r="L344" s="26"/>
      <c r="M344" s="26"/>
      <c r="N344" s="26"/>
      <c r="O344" s="26"/>
      <c r="P344" s="26"/>
      <c r="Q344" s="26"/>
      <c r="R344" s="26"/>
      <c r="S344" s="124"/>
      <c r="T344" s="26"/>
      <c r="U344" s="26"/>
      <c r="V344" s="26"/>
      <c r="W344" s="26"/>
      <c r="X344" s="26"/>
      <c r="Y344" s="26"/>
    </row>
    <row r="345" spans="1:25" ht="14.4">
      <c r="A345" s="111">
        <v>2</v>
      </c>
      <c r="B345" s="308" t="s">
        <v>5340</v>
      </c>
      <c r="C345" s="25">
        <v>345</v>
      </c>
      <c r="D345" s="26"/>
      <c r="E345" s="26"/>
      <c r="F345" s="115" t="str">
        <f>HYPERLINK("https://www.cnnindonesia.com/internasional/20190617061616-134-403773/meksiko-tahan-791-imigran-368-anak-di-bawah-8-tahun ","sumber")</f>
        <v>sumber</v>
      </c>
      <c r="G345" s="25" t="s">
        <v>1</v>
      </c>
      <c r="H345" s="26"/>
      <c r="I345" s="26"/>
      <c r="J345" s="26"/>
      <c r="K345" s="124"/>
      <c r="L345" s="26"/>
      <c r="M345" s="26"/>
      <c r="N345" s="26"/>
      <c r="O345" s="26"/>
      <c r="P345" s="26"/>
      <c r="Q345" s="26"/>
      <c r="R345" s="26"/>
      <c r="S345" s="124"/>
      <c r="T345" s="26"/>
      <c r="U345" s="26"/>
      <c r="V345" s="26"/>
      <c r="W345" s="26"/>
      <c r="X345" s="26"/>
      <c r="Y345" s="26"/>
    </row>
    <row r="346" spans="1:25" ht="14.4">
      <c r="A346" s="126">
        <v>1</v>
      </c>
      <c r="B346" s="285" t="s">
        <v>1673</v>
      </c>
      <c r="C346" s="33">
        <v>346</v>
      </c>
      <c r="D346" s="33">
        <v>1</v>
      </c>
      <c r="E346" s="33" t="s">
        <v>2035</v>
      </c>
      <c r="F346" s="130" t="str">
        <f>HYPERLINK("https://news.detik.com/berita/d-4597688/gadis-di-pinrang-yang-diperkosa-5-orang-hamil-dan-masih-trauma ","sumber")</f>
        <v>sumber</v>
      </c>
      <c r="G346" s="33" t="s">
        <v>1</v>
      </c>
      <c r="H346" s="33">
        <v>1</v>
      </c>
      <c r="I346" s="33">
        <v>1</v>
      </c>
      <c r="J346" s="33">
        <v>1</v>
      </c>
      <c r="K346" s="131" t="s">
        <v>5341</v>
      </c>
      <c r="L346" s="33">
        <v>0</v>
      </c>
      <c r="M346" s="33">
        <v>1</v>
      </c>
      <c r="N346" s="132">
        <v>0</v>
      </c>
      <c r="O346" s="33">
        <v>1</v>
      </c>
      <c r="P346" s="33">
        <v>0</v>
      </c>
      <c r="Q346" s="33" t="s">
        <v>29</v>
      </c>
      <c r="R346" s="33" t="s">
        <v>5342</v>
      </c>
      <c r="S346" s="133"/>
      <c r="T346" s="33">
        <v>0</v>
      </c>
      <c r="U346" s="33">
        <v>0</v>
      </c>
      <c r="V346" s="33">
        <v>1</v>
      </c>
      <c r="W346" s="24"/>
      <c r="X346" s="24"/>
      <c r="Y346" s="24"/>
    </row>
    <row r="347" spans="1:25" ht="14.4">
      <c r="A347" s="111">
        <v>2</v>
      </c>
      <c r="B347" s="308" t="s">
        <v>1675</v>
      </c>
      <c r="C347" s="25">
        <v>347</v>
      </c>
      <c r="D347" s="26"/>
      <c r="E347" s="26"/>
      <c r="F347" s="115" t="str">
        <f>HYPERLINK("https://bola.tempo.co/read/1215304/psg-siap-lepas-neymar-pantaskah-ia-balik-ke-barcelona ","sumber")</f>
        <v>sumber</v>
      </c>
      <c r="G347" s="25" t="s">
        <v>1</v>
      </c>
      <c r="H347" s="26"/>
      <c r="I347" s="26"/>
      <c r="J347" s="26"/>
      <c r="K347" s="124"/>
      <c r="L347" s="26"/>
      <c r="M347" s="26"/>
      <c r="N347" s="26"/>
      <c r="O347" s="26"/>
      <c r="P347" s="26"/>
      <c r="Q347" s="26"/>
      <c r="R347" s="26"/>
      <c r="S347" s="124"/>
      <c r="T347" s="26"/>
      <c r="U347" s="26"/>
      <c r="V347" s="26"/>
      <c r="W347" s="26"/>
      <c r="X347" s="26"/>
      <c r="Y347" s="26"/>
    </row>
    <row r="348" spans="1:25" ht="14.4">
      <c r="A348" s="117">
        <v>1</v>
      </c>
      <c r="B348" s="294" t="s">
        <v>5343</v>
      </c>
      <c r="C348" s="22">
        <v>348</v>
      </c>
      <c r="D348" s="22">
        <v>3</v>
      </c>
      <c r="E348" s="22" t="s">
        <v>799</v>
      </c>
      <c r="F348" s="121" t="str">
        <f>HYPERLINK("https://news.okezone.com/read/2019/06/20/340/2068772/lbh-laporkan-oknum-polisi-berpangkat-akbp-atas-dugaan-pemerkosaan-anak ","sumber")</f>
        <v>sumber</v>
      </c>
      <c r="G348" s="22" t="s">
        <v>1</v>
      </c>
      <c r="H348" s="22">
        <v>3</v>
      </c>
      <c r="I348" s="22">
        <v>1</v>
      </c>
      <c r="J348" s="22">
        <v>1</v>
      </c>
      <c r="K348" s="123" t="s">
        <v>5344</v>
      </c>
      <c r="L348" s="22">
        <v>0</v>
      </c>
      <c r="M348" s="22">
        <v>1</v>
      </c>
      <c r="N348" s="125">
        <v>0</v>
      </c>
      <c r="O348" s="125">
        <v>0</v>
      </c>
      <c r="P348" s="22">
        <v>0</v>
      </c>
      <c r="Q348" s="22" t="s">
        <v>29</v>
      </c>
      <c r="R348" s="22" t="s">
        <v>748</v>
      </c>
      <c r="S348" s="134"/>
      <c r="T348" s="22">
        <v>0</v>
      </c>
      <c r="U348" s="22">
        <v>0</v>
      </c>
      <c r="V348" s="22">
        <v>1</v>
      </c>
      <c r="W348" s="23"/>
      <c r="X348" s="23"/>
      <c r="Y348" s="23"/>
    </row>
    <row r="349" spans="1:25" ht="14.4">
      <c r="A349" s="111">
        <v>2</v>
      </c>
      <c r="B349" s="308" t="s">
        <v>231</v>
      </c>
      <c r="C349" s="25">
        <v>349</v>
      </c>
      <c r="D349" s="26"/>
      <c r="E349" s="26"/>
      <c r="F349" s="115" t="str">
        <f>HYPERLINK("https://www.liputan6.com/news/read/3994460/pimpin-delegasi-indonesia-pada-sidang-ilc-di-swiss-menaker-sampaikan-4-hal-ini ","sumber")</f>
        <v>sumber</v>
      </c>
      <c r="G349" s="25" t="s">
        <v>1</v>
      </c>
      <c r="H349" s="26"/>
      <c r="I349" s="26"/>
      <c r="J349" s="26"/>
      <c r="K349" s="124"/>
      <c r="L349" s="26"/>
      <c r="M349" s="26"/>
      <c r="N349" s="26"/>
      <c r="O349" s="26"/>
      <c r="P349" s="26"/>
      <c r="Q349" s="26"/>
      <c r="R349" s="26"/>
      <c r="S349" s="124"/>
      <c r="T349" s="26"/>
      <c r="U349" s="26"/>
      <c r="V349" s="26"/>
      <c r="W349" s="26"/>
      <c r="X349" s="26"/>
      <c r="Y349" s="26"/>
    </row>
    <row r="350" spans="1:25" ht="14.4">
      <c r="A350" s="111">
        <v>2</v>
      </c>
      <c r="B350" s="308" t="s">
        <v>5345</v>
      </c>
      <c r="C350" s="25">
        <v>350</v>
      </c>
      <c r="D350" s="26"/>
      <c r="E350" s="26"/>
      <c r="F350" s="115" t="str">
        <f>HYPERLINK("https://megapolitan.kompas.com/read/2019/06/23/07250711/ada-luka-benda-tumpul-pada-jenazah-remaja-dengan-kaki-dan-tangan-terikat ","sumber")</f>
        <v>sumber</v>
      </c>
      <c r="G350" s="25" t="s">
        <v>1</v>
      </c>
      <c r="H350" s="26"/>
      <c r="I350" s="26"/>
      <c r="J350" s="26"/>
      <c r="K350" s="124"/>
      <c r="L350" s="26"/>
      <c r="M350" s="26"/>
      <c r="N350" s="26"/>
      <c r="O350" s="26"/>
      <c r="P350" s="26"/>
      <c r="Q350" s="26"/>
      <c r="R350" s="26"/>
      <c r="S350" s="124"/>
      <c r="T350" s="26"/>
      <c r="U350" s="26"/>
      <c r="V350" s="26"/>
      <c r="W350" s="26"/>
      <c r="X350" s="26"/>
      <c r="Y350" s="26"/>
    </row>
    <row r="351" spans="1:25" ht="14.4">
      <c r="A351" s="126">
        <v>1</v>
      </c>
      <c r="B351" s="285" t="s">
        <v>5346</v>
      </c>
      <c r="C351" s="33">
        <v>351</v>
      </c>
      <c r="D351" s="33">
        <v>7</v>
      </c>
      <c r="E351" s="33" t="s">
        <v>388</v>
      </c>
      <c r="F351" s="130" t="str">
        <f>HYPERLINK("http://www.tribunnews.com/australia-plus/2019/06/17/pengakuan-backpacker-di-australia-ditiduri-atau-diperkosa ","sumber")</f>
        <v>sumber</v>
      </c>
      <c r="G351" s="33" t="s">
        <v>1</v>
      </c>
      <c r="H351" s="33">
        <v>3</v>
      </c>
      <c r="I351" s="33">
        <v>2</v>
      </c>
      <c r="J351" s="33">
        <v>1</v>
      </c>
      <c r="K351" s="131" t="s">
        <v>5347</v>
      </c>
      <c r="L351" s="33">
        <v>0</v>
      </c>
      <c r="M351" s="33">
        <v>0</v>
      </c>
      <c r="N351" s="132">
        <v>0</v>
      </c>
      <c r="O351" s="132">
        <v>0</v>
      </c>
      <c r="P351" s="33">
        <v>0</v>
      </c>
      <c r="Q351" s="33" t="s">
        <v>5348</v>
      </c>
      <c r="R351" s="33" t="s">
        <v>664</v>
      </c>
      <c r="S351" s="133"/>
      <c r="T351" s="33">
        <v>0</v>
      </c>
      <c r="U351" s="33">
        <v>0</v>
      </c>
      <c r="V351" s="33">
        <v>1</v>
      </c>
      <c r="W351" s="24"/>
      <c r="X351" s="24"/>
      <c r="Y351" s="24"/>
    </row>
    <row r="352" spans="1:25" ht="14.4">
      <c r="A352" s="117">
        <v>1</v>
      </c>
      <c r="B352" s="294" t="s">
        <v>5349</v>
      </c>
      <c r="C352" s="22">
        <v>352</v>
      </c>
      <c r="D352" s="22">
        <v>1</v>
      </c>
      <c r="E352" s="22" t="s">
        <v>238</v>
      </c>
      <c r="F352" s="121" t="str">
        <f>HYPERLINK("https://news.detik.com/internasional/d-4599771/dituduh-memperkosa-kolumnis-majalah-mode-trump-dia-bukan-tipe-saya ","sumber")</f>
        <v>sumber</v>
      </c>
      <c r="G352" s="22" t="s">
        <v>1</v>
      </c>
      <c r="H352" s="22">
        <v>1</v>
      </c>
      <c r="I352" s="22">
        <v>1</v>
      </c>
      <c r="J352" s="22">
        <v>1</v>
      </c>
      <c r="K352" s="123" t="s">
        <v>5350</v>
      </c>
      <c r="L352" s="22">
        <v>0</v>
      </c>
      <c r="M352" s="22">
        <v>1</v>
      </c>
      <c r="N352" s="125">
        <v>0</v>
      </c>
      <c r="O352" s="125">
        <v>0</v>
      </c>
      <c r="P352" s="22">
        <v>0</v>
      </c>
      <c r="Q352" s="22">
        <v>0</v>
      </c>
      <c r="R352" s="22">
        <v>0</v>
      </c>
      <c r="S352" s="134"/>
      <c r="T352" s="22">
        <v>0</v>
      </c>
      <c r="U352" s="22">
        <v>0</v>
      </c>
      <c r="V352" s="22">
        <v>1</v>
      </c>
      <c r="W352" s="23"/>
      <c r="X352" s="23"/>
      <c r="Y352" s="23"/>
    </row>
    <row r="353" spans="1:25" ht="14.4">
      <c r="A353" s="111">
        <v>2</v>
      </c>
      <c r="B353" s="308" t="s">
        <v>5351</v>
      </c>
      <c r="C353" s="25">
        <v>353</v>
      </c>
      <c r="D353" s="26"/>
      <c r="E353" s="26"/>
      <c r="F353" s="115" t="str">
        <f>HYPERLINK("https://news.okezone.com/read/2019/06/25/18/2070820/berisik-di-kelas-2-murid-tk-dipaksa-tidur-di-halaman-sekolah-saat-siang-hari ","sumber")</f>
        <v>sumber</v>
      </c>
      <c r="G353" s="25" t="s">
        <v>1</v>
      </c>
      <c r="H353" s="26"/>
      <c r="I353" s="26"/>
      <c r="J353" s="26"/>
      <c r="K353" s="124"/>
      <c r="L353" s="26"/>
      <c r="M353" s="26"/>
      <c r="N353" s="26"/>
      <c r="O353" s="26"/>
      <c r="P353" s="26"/>
      <c r="Q353" s="26"/>
      <c r="R353" s="26"/>
      <c r="S353" s="124"/>
      <c r="T353" s="25"/>
      <c r="U353" s="26"/>
      <c r="V353" s="26"/>
      <c r="W353" s="26"/>
      <c r="X353" s="26"/>
      <c r="Y353" s="26"/>
    </row>
    <row r="354" spans="1:25" ht="14.4">
      <c r="A354" s="126">
        <v>1</v>
      </c>
      <c r="B354" s="285" t="s">
        <v>5352</v>
      </c>
      <c r="C354" s="33">
        <v>354</v>
      </c>
      <c r="D354" s="33">
        <v>1</v>
      </c>
      <c r="E354" s="300">
        <v>43805</v>
      </c>
      <c r="F354" s="130" t="str">
        <f>HYPERLINK("https://news.detik.com/berita-jawa-timur/d-4583722/begal-pantat-di-sidoarjo-dimassa-setelah-tertangkap-usai-beraksi ","sumber")</f>
        <v>sumber</v>
      </c>
      <c r="G354" s="33" t="s">
        <v>1</v>
      </c>
      <c r="H354" s="33">
        <v>1</v>
      </c>
      <c r="I354" s="33">
        <v>1</v>
      </c>
      <c r="J354" s="33">
        <v>1</v>
      </c>
      <c r="K354" s="131" t="s">
        <v>5353</v>
      </c>
      <c r="L354" s="33">
        <v>0</v>
      </c>
      <c r="M354" s="33">
        <v>0</v>
      </c>
      <c r="N354" s="132">
        <v>0</v>
      </c>
      <c r="O354" s="132">
        <v>0</v>
      </c>
      <c r="P354" s="33">
        <v>0</v>
      </c>
      <c r="Q354" s="33">
        <v>0</v>
      </c>
      <c r="R354" s="33">
        <v>1</v>
      </c>
      <c r="S354" s="133"/>
      <c r="T354" s="33">
        <v>0</v>
      </c>
      <c r="U354" s="33">
        <v>0</v>
      </c>
      <c r="V354" s="33">
        <v>1</v>
      </c>
      <c r="W354" s="24"/>
      <c r="X354" s="24"/>
      <c r="Y354" s="24"/>
    </row>
    <row r="355" spans="1:25" ht="14.4">
      <c r="A355" s="117">
        <v>1</v>
      </c>
      <c r="B355" s="294" t="s">
        <v>5354</v>
      </c>
      <c r="C355" s="22">
        <v>355</v>
      </c>
      <c r="D355" s="22">
        <v>10</v>
      </c>
      <c r="E355" s="22" t="s">
        <v>584</v>
      </c>
      <c r="F355" s="121" t="str">
        <f>HYPERLINK("https://bola.tempo.co/read/1218811/pria-mirip-lionel-messi-dari-iran-bantah-berita-tiduri-23-wanita ","sumber")</f>
        <v>sumber</v>
      </c>
      <c r="G355" s="22" t="s">
        <v>1</v>
      </c>
      <c r="H355" s="22">
        <v>1</v>
      </c>
      <c r="I355" s="22">
        <v>1</v>
      </c>
      <c r="J355" s="22">
        <v>1</v>
      </c>
      <c r="K355" s="123" t="s">
        <v>5355</v>
      </c>
      <c r="L355" s="22">
        <v>0</v>
      </c>
      <c r="M355" s="22">
        <v>0</v>
      </c>
      <c r="N355" s="125">
        <v>0</v>
      </c>
      <c r="O355" s="125">
        <v>0</v>
      </c>
      <c r="P355" s="22">
        <v>0</v>
      </c>
      <c r="Q355" s="22">
        <v>0</v>
      </c>
      <c r="R355" s="22">
        <v>1</v>
      </c>
      <c r="S355" s="134"/>
      <c r="T355" s="22">
        <v>0</v>
      </c>
      <c r="U355" s="22">
        <v>0</v>
      </c>
      <c r="V355" s="22">
        <v>1</v>
      </c>
      <c r="W355" s="23"/>
      <c r="X355" s="23"/>
      <c r="Y355" s="23"/>
    </row>
    <row r="356" spans="1:25" ht="14.4">
      <c r="A356" s="111">
        <v>2</v>
      </c>
      <c r="B356" s="308" t="s">
        <v>5356</v>
      </c>
      <c r="C356" s="25">
        <v>356</v>
      </c>
      <c r="D356" s="26"/>
      <c r="E356" s="26"/>
      <c r="F356" s="115" t="str">
        <f>HYPERLINK("https://hot.detik.com/celeb/d-4604905/bebas-besok-vanessa-angel-akan-ziarah-makam-ibu-sampai-syuting ","sumber")</f>
        <v>sumber</v>
      </c>
      <c r="G356" s="25" t="s">
        <v>1</v>
      </c>
      <c r="H356" s="26"/>
      <c r="I356" s="26"/>
      <c r="J356" s="26"/>
      <c r="K356" s="124"/>
      <c r="L356" s="26"/>
      <c r="M356" s="26"/>
      <c r="N356" s="26"/>
      <c r="O356" s="26"/>
      <c r="P356" s="26"/>
      <c r="Q356" s="26"/>
      <c r="R356" s="26"/>
      <c r="S356" s="124"/>
      <c r="T356" s="26"/>
      <c r="U356" s="26"/>
      <c r="V356" s="26"/>
      <c r="W356" s="26"/>
      <c r="X356" s="26"/>
      <c r="Y356" s="26"/>
    </row>
    <row r="357" spans="1:25" ht="14.4">
      <c r="A357" s="117">
        <v>1</v>
      </c>
      <c r="B357" s="294" t="s">
        <v>5357</v>
      </c>
      <c r="C357" s="22">
        <v>357</v>
      </c>
      <c r="D357" s="22">
        <v>9</v>
      </c>
      <c r="E357" s="22" t="s">
        <v>809</v>
      </c>
      <c r="F357" s="121" t="str">
        <f>HYPERLINK("https://internasional.republika.co.id/berita/internasional/eropa/ptu26w349/pria-norwegia-dihukum-16-tahun-akibat-lecehkan-ratusan-anak ","sumber")</f>
        <v>sumber</v>
      </c>
      <c r="G357" s="22" t="s">
        <v>1</v>
      </c>
      <c r="H357" s="22">
        <v>1</v>
      </c>
      <c r="I357" s="22">
        <v>1</v>
      </c>
      <c r="J357" s="22">
        <v>1</v>
      </c>
      <c r="K357" s="123"/>
      <c r="L357" s="22">
        <v>-1</v>
      </c>
      <c r="M357" s="22">
        <v>0</v>
      </c>
      <c r="N357" s="125">
        <v>0</v>
      </c>
      <c r="O357" s="125">
        <v>0</v>
      </c>
      <c r="P357" s="22">
        <v>0</v>
      </c>
      <c r="Q357" s="23"/>
      <c r="R357" s="23"/>
      <c r="S357" s="134"/>
      <c r="T357" s="22">
        <v>0</v>
      </c>
      <c r="U357" s="22">
        <v>0</v>
      </c>
      <c r="V357" s="22">
        <v>1</v>
      </c>
      <c r="W357" s="23"/>
      <c r="X357" s="23"/>
      <c r="Y357" s="23"/>
    </row>
    <row r="358" spans="1:25" ht="14.4">
      <c r="A358" s="111">
        <v>2</v>
      </c>
      <c r="B358" s="308" t="s">
        <v>5358</v>
      </c>
      <c r="C358" s="25">
        <v>358</v>
      </c>
      <c r="D358" s="26"/>
      <c r="E358" s="26"/>
      <c r="F358" s="115" t="str">
        <f>HYPERLINK("https://www.suara.com/entertainment/2019/06/30/113306/vanessa-angel-bebas-para-mantan-pacar-ungkap-kebahagiaan ","sumber")</f>
        <v>sumber</v>
      </c>
      <c r="G358" s="25" t="s">
        <v>1</v>
      </c>
      <c r="H358" s="26"/>
      <c r="I358" s="26"/>
      <c r="J358" s="26"/>
      <c r="K358" s="124"/>
      <c r="L358" s="26"/>
      <c r="M358" s="26"/>
      <c r="N358" s="26"/>
      <c r="O358" s="26"/>
      <c r="P358" s="26"/>
      <c r="Q358" s="26"/>
      <c r="R358" s="26"/>
      <c r="S358" s="124"/>
      <c r="T358" s="26"/>
      <c r="U358" s="26"/>
      <c r="V358" s="26"/>
      <c r="W358" s="26"/>
      <c r="X358" s="26"/>
      <c r="Y358" s="26"/>
    </row>
    <row r="359" spans="1:25" ht="14.4">
      <c r="A359" s="117">
        <v>1</v>
      </c>
      <c r="B359" s="294" t="s">
        <v>5359</v>
      </c>
      <c r="C359" s="22">
        <v>359</v>
      </c>
      <c r="D359" s="22">
        <v>6</v>
      </c>
      <c r="E359" s="222">
        <v>43562</v>
      </c>
      <c r="F359" s="121" t="str">
        <f>HYPERLINK("https://regional.kompas.com/read/2019/07/04/16020881/6-fakta-suami-tawarkan-isteri-layanan-threesome-tarif-rp-15-juta-per-jam ","sumber")</f>
        <v>sumber</v>
      </c>
      <c r="G359" s="22" t="s">
        <v>1</v>
      </c>
      <c r="H359" s="22">
        <v>3</v>
      </c>
      <c r="I359" s="22">
        <v>1</v>
      </c>
      <c r="J359" s="22">
        <v>1</v>
      </c>
      <c r="K359" s="123" t="s">
        <v>5360</v>
      </c>
      <c r="L359" s="22">
        <v>0</v>
      </c>
      <c r="M359" s="22">
        <v>1</v>
      </c>
      <c r="N359" s="125">
        <v>0</v>
      </c>
      <c r="O359" s="22">
        <v>1</v>
      </c>
      <c r="P359" s="22">
        <v>0</v>
      </c>
      <c r="Q359" s="22" t="s">
        <v>29</v>
      </c>
      <c r="R359" s="22" t="s">
        <v>30</v>
      </c>
      <c r="S359" s="134"/>
      <c r="T359" s="22">
        <v>0</v>
      </c>
      <c r="U359" s="22">
        <v>0</v>
      </c>
      <c r="V359" s="22">
        <v>1</v>
      </c>
      <c r="W359" s="23"/>
      <c r="X359" s="23"/>
      <c r="Y359" s="23"/>
    </row>
    <row r="360" spans="1:25" ht="14.4">
      <c r="A360" s="117">
        <v>1</v>
      </c>
      <c r="B360" s="294" t="s">
        <v>5361</v>
      </c>
      <c r="C360" s="22">
        <v>360</v>
      </c>
      <c r="D360" s="22">
        <v>8</v>
      </c>
      <c r="E360" s="344">
        <v>43653</v>
      </c>
      <c r="F360" s="121" t="str">
        <f>HYPERLINK("https://banten.suara.com/read/2019/07/07/000000/keluarga-korban-berharap-polisi-segera-tangkap-pelaku-pemerkosaan-anak ","sumber")</f>
        <v>sumber</v>
      </c>
      <c r="G360" s="22" t="s">
        <v>1</v>
      </c>
      <c r="H360" s="22">
        <v>1</v>
      </c>
      <c r="I360" s="22">
        <v>1</v>
      </c>
      <c r="J360" s="22">
        <v>1</v>
      </c>
      <c r="K360" s="123" t="s">
        <v>5362</v>
      </c>
      <c r="L360" s="22">
        <v>0</v>
      </c>
      <c r="M360" s="22">
        <v>1</v>
      </c>
      <c r="N360" s="125">
        <v>0</v>
      </c>
      <c r="O360" s="22">
        <v>1</v>
      </c>
      <c r="P360" s="22">
        <v>0</v>
      </c>
      <c r="Q360" s="22" t="s">
        <v>29</v>
      </c>
      <c r="R360" s="22" t="s">
        <v>748</v>
      </c>
      <c r="S360" s="134"/>
      <c r="T360" s="22">
        <v>0</v>
      </c>
      <c r="U360" s="22">
        <v>0</v>
      </c>
      <c r="V360" s="22">
        <v>1</v>
      </c>
      <c r="W360" s="23"/>
      <c r="X360" s="23"/>
      <c r="Y360" s="23"/>
    </row>
    <row r="361" spans="1:25" ht="14.4">
      <c r="A361" s="117">
        <v>1</v>
      </c>
      <c r="B361" s="294" t="s">
        <v>5363</v>
      </c>
      <c r="C361" s="22">
        <v>361</v>
      </c>
      <c r="D361" s="22">
        <v>10</v>
      </c>
      <c r="E361" s="222">
        <v>43684</v>
      </c>
      <c r="F361" s="121" t="str">
        <f>HYPERLINK("https://nasional.tempo.co/read/1222378/komnas-perempuan-desak-jokowi-segera-beri-amnesti-ke-baiq-nuril ","sumber")</f>
        <v>sumber</v>
      </c>
      <c r="G361" s="22" t="s">
        <v>1</v>
      </c>
      <c r="H361" s="22">
        <v>2</v>
      </c>
      <c r="I361" s="22">
        <v>1</v>
      </c>
      <c r="J361" s="22">
        <v>1</v>
      </c>
      <c r="K361" s="123" t="s">
        <v>5364</v>
      </c>
      <c r="L361" s="22">
        <v>0</v>
      </c>
      <c r="M361" s="22">
        <v>0</v>
      </c>
      <c r="N361" s="125">
        <v>0</v>
      </c>
      <c r="O361" s="125">
        <v>0</v>
      </c>
      <c r="P361" s="22">
        <v>0</v>
      </c>
      <c r="Q361" s="22" t="s">
        <v>68</v>
      </c>
      <c r="R361" s="22" t="s">
        <v>68</v>
      </c>
      <c r="S361" s="134"/>
      <c r="T361" s="22">
        <v>0</v>
      </c>
      <c r="U361" s="22">
        <v>0</v>
      </c>
      <c r="V361" s="22">
        <v>1</v>
      </c>
      <c r="W361" s="23"/>
      <c r="X361" s="23"/>
      <c r="Y361" s="23"/>
    </row>
    <row r="362" spans="1:25" ht="14.4">
      <c r="A362" s="117">
        <v>1</v>
      </c>
      <c r="B362" s="294" t="s">
        <v>5365</v>
      </c>
      <c r="C362" s="22">
        <v>362</v>
      </c>
      <c r="D362" s="22">
        <v>4</v>
      </c>
      <c r="E362" s="22" t="s">
        <v>828</v>
      </c>
      <c r="F362" s="121" t="str">
        <f>HYPERLINK("https://www.liputan6.com/global/read/4012190/pemerintah-malaysia-lindungi-wni-korban-kekerasan-seksual-politikus ","sumber")</f>
        <v>sumber</v>
      </c>
      <c r="G362" s="22" t="s">
        <v>1</v>
      </c>
      <c r="H362" s="22">
        <v>1</v>
      </c>
      <c r="I362" s="22">
        <v>4</v>
      </c>
      <c r="J362" s="22">
        <v>1</v>
      </c>
      <c r="K362" s="123" t="s">
        <v>5366</v>
      </c>
      <c r="L362" s="22">
        <v>0</v>
      </c>
      <c r="M362" s="22">
        <v>0</v>
      </c>
      <c r="N362" s="125">
        <v>0</v>
      </c>
      <c r="O362" s="22">
        <v>0</v>
      </c>
      <c r="P362" s="22">
        <v>0</v>
      </c>
      <c r="Q362" s="22">
        <v>0</v>
      </c>
      <c r="R362" s="22">
        <v>0</v>
      </c>
      <c r="S362" s="134"/>
      <c r="T362" s="22">
        <v>0</v>
      </c>
      <c r="U362" s="22">
        <v>0</v>
      </c>
      <c r="V362" s="22">
        <v>1</v>
      </c>
      <c r="W362" s="23"/>
      <c r="X362" s="23"/>
      <c r="Y362" s="23"/>
    </row>
    <row r="363" spans="1:25" ht="14.4">
      <c r="A363" s="117">
        <v>1</v>
      </c>
      <c r="B363" s="294" t="s">
        <v>5367</v>
      </c>
      <c r="C363" s="22">
        <v>363</v>
      </c>
      <c r="D363" s="22">
        <v>8</v>
      </c>
      <c r="E363" s="22" t="s">
        <v>4214</v>
      </c>
      <c r="F363" s="121" t="str">
        <f>HYPERLINK("https://www.suara.com/entertainment/2019/07/15/112500/nikita-mirzani-tersangka-kasus-kdrt-uya-kuya-anggap-aneh ","sumber")</f>
        <v>sumber</v>
      </c>
      <c r="G363" s="22" t="s">
        <v>1</v>
      </c>
      <c r="H363" s="22">
        <v>1</v>
      </c>
      <c r="I363" s="22">
        <v>1</v>
      </c>
      <c r="J363" s="22">
        <v>1</v>
      </c>
      <c r="K363" s="123" t="s">
        <v>5368</v>
      </c>
      <c r="L363" s="22">
        <v>0</v>
      </c>
      <c r="M363" s="22">
        <v>0</v>
      </c>
      <c r="N363" s="125">
        <v>0</v>
      </c>
      <c r="O363" s="125">
        <v>0</v>
      </c>
      <c r="P363" s="22">
        <v>0</v>
      </c>
      <c r="Q363" s="22">
        <v>0</v>
      </c>
      <c r="R363" s="22">
        <v>-1</v>
      </c>
      <c r="S363" s="134"/>
      <c r="T363" s="22">
        <v>0</v>
      </c>
      <c r="U363" s="22">
        <v>0</v>
      </c>
      <c r="V363" s="22">
        <v>1</v>
      </c>
      <c r="W363" s="23"/>
      <c r="X363" s="23"/>
      <c r="Y363" s="23"/>
    </row>
    <row r="364" spans="1:25" ht="14.4">
      <c r="A364" s="117">
        <v>1</v>
      </c>
      <c r="B364" s="294" t="s">
        <v>5369</v>
      </c>
      <c r="C364" s="22">
        <v>364</v>
      </c>
      <c r="D364" s="22">
        <v>3</v>
      </c>
      <c r="E364" s="22" t="s">
        <v>2411</v>
      </c>
      <c r="F364" s="121" t="str">
        <f>HYPERLINK("https://news.okezone.com/read/2019/07/16/18/2079673/wanita-india-diperkosa-7-polisi-kukunya-dicabut-saat-ditahan ","sumber")</f>
        <v>sumber</v>
      </c>
      <c r="G364" s="22" t="s">
        <v>1</v>
      </c>
      <c r="H364" s="22">
        <v>1</v>
      </c>
      <c r="I364" s="22">
        <v>1</v>
      </c>
      <c r="J364" s="22">
        <v>1</v>
      </c>
      <c r="K364" s="123" t="s">
        <v>5370</v>
      </c>
      <c r="L364" s="22">
        <v>0</v>
      </c>
      <c r="M364" s="22">
        <v>1</v>
      </c>
      <c r="N364" s="125">
        <v>0</v>
      </c>
      <c r="O364" s="22">
        <v>1</v>
      </c>
      <c r="P364" s="22">
        <v>0</v>
      </c>
      <c r="Q364" s="22">
        <v>0</v>
      </c>
      <c r="R364" s="22">
        <v>1</v>
      </c>
      <c r="S364" s="134"/>
      <c r="T364" s="22">
        <v>0</v>
      </c>
      <c r="U364" s="22">
        <v>0</v>
      </c>
      <c r="V364" s="22">
        <v>1</v>
      </c>
      <c r="W364" s="23"/>
      <c r="X364" s="23"/>
      <c r="Y364" s="23"/>
    </row>
    <row r="365" spans="1:25" ht="14.4">
      <c r="A365" s="117">
        <v>1</v>
      </c>
      <c r="B365" s="294" t="s">
        <v>5371</v>
      </c>
      <c r="C365" s="22">
        <v>365</v>
      </c>
      <c r="D365" s="22">
        <v>2</v>
      </c>
      <c r="E365" s="22" t="s">
        <v>261</v>
      </c>
      <c r="F365" s="121" t="str">
        <f>HYPERLINK("https://www.cnnindonesia.com/hiburan/20190718124738-234-413246/yang-hyun-suk-gembok-instagram-usai-jadi-tersangka-prostitusi ","sumber")</f>
        <v>sumber</v>
      </c>
      <c r="G365" s="22" t="s">
        <v>1</v>
      </c>
      <c r="H365" s="22">
        <v>1</v>
      </c>
      <c r="I365" s="22">
        <v>1</v>
      </c>
      <c r="J365" s="22">
        <v>3</v>
      </c>
      <c r="K365" s="123" t="s">
        <v>5372</v>
      </c>
      <c r="L365" s="22">
        <v>0</v>
      </c>
      <c r="M365" s="22">
        <v>0</v>
      </c>
      <c r="N365" s="125">
        <v>0</v>
      </c>
      <c r="O365" s="125">
        <v>0</v>
      </c>
      <c r="P365" s="22">
        <v>0</v>
      </c>
      <c r="Q365" s="22">
        <v>0</v>
      </c>
      <c r="R365" s="22">
        <v>1</v>
      </c>
      <c r="S365" s="134"/>
      <c r="T365" s="22">
        <v>0</v>
      </c>
      <c r="U365" s="22">
        <v>0</v>
      </c>
      <c r="V365" s="22">
        <v>1</v>
      </c>
      <c r="W365" s="23"/>
      <c r="X365" s="23"/>
      <c r="Y365" s="23"/>
    </row>
    <row r="366" spans="1:25" ht="14.4">
      <c r="A366" s="117">
        <v>1</v>
      </c>
      <c r="B366" s="294" t="s">
        <v>5373</v>
      </c>
      <c r="C366" s="22">
        <v>366</v>
      </c>
      <c r="D366" s="22">
        <v>9</v>
      </c>
      <c r="E366" s="22" t="s">
        <v>833</v>
      </c>
      <c r="F366" s="121" t="str">
        <f>HYPERLINK("https://republika.co.id/berita/puz4t5385/disayangkan-grasi-presiden-soal-kekerasan-seksual ","sumber")</f>
        <v>sumber</v>
      </c>
      <c r="G366" s="22" t="s">
        <v>1</v>
      </c>
      <c r="H366" s="22">
        <v>1</v>
      </c>
      <c r="I366" s="22">
        <v>4</v>
      </c>
      <c r="J366" s="22">
        <v>1</v>
      </c>
      <c r="K366" s="123" t="s">
        <v>5374</v>
      </c>
      <c r="L366" s="22">
        <v>0</v>
      </c>
      <c r="M366" s="22">
        <v>0</v>
      </c>
      <c r="N366" s="125">
        <v>0</v>
      </c>
      <c r="O366" s="125">
        <v>0</v>
      </c>
      <c r="P366" s="22">
        <v>0</v>
      </c>
      <c r="Q366" s="22" t="s">
        <v>68</v>
      </c>
      <c r="R366" s="22" t="s">
        <v>68</v>
      </c>
      <c r="S366" s="134"/>
      <c r="T366" s="22">
        <v>0</v>
      </c>
      <c r="U366" s="22">
        <v>0</v>
      </c>
      <c r="V366" s="22">
        <v>1</v>
      </c>
      <c r="W366" s="23"/>
      <c r="X366" s="23"/>
      <c r="Y366" s="23"/>
    </row>
    <row r="367" spans="1:25" ht="14.4">
      <c r="A367" s="117">
        <v>1</v>
      </c>
      <c r="B367" s="294" t="s">
        <v>5375</v>
      </c>
      <c r="C367" s="22">
        <v>367</v>
      </c>
      <c r="D367" s="22">
        <v>7</v>
      </c>
      <c r="E367" s="22" t="s">
        <v>839</v>
      </c>
      <c r="F367" s="121" t="str">
        <f>HYPERLINK("https://www.tribunnews.com/regional/2019/07/25/siswi-smp-diperkosa-kakak-kelas-aksi-pelaku-tepergok-orangtua-korban ","sumber")</f>
        <v>sumber</v>
      </c>
      <c r="G367" s="22" t="s">
        <v>1</v>
      </c>
      <c r="H367" s="22">
        <v>3</v>
      </c>
      <c r="I367" s="22">
        <v>1</v>
      </c>
      <c r="J367" s="22">
        <v>1</v>
      </c>
      <c r="K367" s="123" t="s">
        <v>5376</v>
      </c>
      <c r="L367" s="22">
        <v>0</v>
      </c>
      <c r="M367" s="22">
        <v>1</v>
      </c>
      <c r="N367" s="125">
        <v>0</v>
      </c>
      <c r="O367" s="22">
        <v>1</v>
      </c>
      <c r="P367" s="22">
        <v>0</v>
      </c>
      <c r="Q367" s="22" t="s">
        <v>5377</v>
      </c>
      <c r="R367" s="22" t="s">
        <v>5378</v>
      </c>
      <c r="S367" s="134"/>
      <c r="T367" s="22">
        <v>0</v>
      </c>
      <c r="U367" s="22">
        <v>0</v>
      </c>
      <c r="V367" s="22">
        <v>1</v>
      </c>
      <c r="W367" s="23"/>
      <c r="X367" s="23"/>
      <c r="Y367" s="23"/>
    </row>
    <row r="368" spans="1:25" ht="14.4">
      <c r="A368" s="117">
        <v>1</v>
      </c>
      <c r="B368" s="294" t="s">
        <v>5379</v>
      </c>
      <c r="C368" s="22">
        <v>368</v>
      </c>
      <c r="D368" s="22">
        <v>10</v>
      </c>
      <c r="E368" s="22" t="s">
        <v>2423</v>
      </c>
      <c r="F368" s="121" t="str">
        <f>HYPERLINK("https://dunia.tempo.co/read/1229502/suami-larang-istri-makan-karena-ingin-tubuhnya-langsing ","sumber")</f>
        <v>sumber</v>
      </c>
      <c r="G368" s="22" t="s">
        <v>1</v>
      </c>
      <c r="H368" s="22">
        <v>2</v>
      </c>
      <c r="I368" s="22">
        <v>1</v>
      </c>
      <c r="J368" s="22">
        <v>1</v>
      </c>
      <c r="K368" s="123" t="s">
        <v>5380</v>
      </c>
      <c r="L368" s="22">
        <v>0</v>
      </c>
      <c r="M368" s="22">
        <v>0</v>
      </c>
      <c r="N368" s="125">
        <v>0</v>
      </c>
      <c r="O368" s="125">
        <v>0</v>
      </c>
      <c r="P368" s="22">
        <v>0</v>
      </c>
      <c r="Q368" s="22" t="s">
        <v>87</v>
      </c>
      <c r="R368" s="22" t="s">
        <v>160</v>
      </c>
      <c r="S368" s="134"/>
      <c r="T368" s="22">
        <v>0</v>
      </c>
      <c r="U368" s="22">
        <v>0</v>
      </c>
      <c r="V368" s="22">
        <v>1</v>
      </c>
      <c r="W368" s="23"/>
      <c r="X368" s="23"/>
      <c r="Y368" s="23"/>
    </row>
    <row r="369" spans="1:25" ht="14.4">
      <c r="A369" s="111">
        <v>2</v>
      </c>
      <c r="B369" s="308" t="s">
        <v>5381</v>
      </c>
      <c r="C369" s="25">
        <v>369</v>
      </c>
      <c r="D369" s="26"/>
      <c r="E369" s="26"/>
      <c r="F369" s="115" t="str">
        <f>HYPERLINK("https://gayahidup.republika.co.id/berita/pvuj0v16000/cara-lapor-polisi-bila-diteror-dan-diancam-pinjaman-online ","sumber")</f>
        <v>sumber</v>
      </c>
      <c r="G369" s="25" t="s">
        <v>1</v>
      </c>
      <c r="H369" s="26"/>
      <c r="I369" s="26"/>
      <c r="J369" s="26"/>
      <c r="K369" s="124"/>
      <c r="L369" s="26"/>
      <c r="M369" s="26"/>
      <c r="N369" s="26"/>
      <c r="O369" s="26"/>
      <c r="P369" s="26"/>
      <c r="Q369" s="26"/>
      <c r="R369" s="26"/>
      <c r="S369" s="124"/>
      <c r="T369" s="26"/>
      <c r="U369" s="26"/>
      <c r="V369" s="26"/>
      <c r="W369" s="26"/>
      <c r="X369" s="26"/>
      <c r="Y369" s="26"/>
    </row>
    <row r="370" spans="1:25" ht="14.4">
      <c r="A370" s="117">
        <v>1</v>
      </c>
      <c r="B370" s="294" t="s">
        <v>5382</v>
      </c>
      <c r="C370" s="22">
        <v>370</v>
      </c>
      <c r="D370" s="22">
        <v>9</v>
      </c>
      <c r="E370" s="222">
        <v>43685</v>
      </c>
      <c r="F370" s="121" t="str">
        <f>HYPERLINK("https://nasional.republika.co.id/berita/pvwjsd328/pelaku-kekerasan-seksual-anak-didominasi-orang-terdekat ","sumber")</f>
        <v>sumber</v>
      </c>
      <c r="G370" s="22" t="s">
        <v>1</v>
      </c>
      <c r="H370" s="22">
        <v>2</v>
      </c>
      <c r="I370" s="22">
        <v>5</v>
      </c>
      <c r="J370" s="22">
        <v>1</v>
      </c>
      <c r="K370" s="123" t="s">
        <v>5383</v>
      </c>
      <c r="L370" s="22">
        <v>0</v>
      </c>
      <c r="M370" s="22">
        <v>0</v>
      </c>
      <c r="N370" s="125">
        <v>0</v>
      </c>
      <c r="O370" s="125">
        <v>0</v>
      </c>
      <c r="P370" s="22">
        <v>0</v>
      </c>
      <c r="Q370" s="22" t="s">
        <v>29</v>
      </c>
      <c r="R370" s="22" t="s">
        <v>160</v>
      </c>
      <c r="S370" s="134"/>
      <c r="T370" s="22">
        <v>0</v>
      </c>
      <c r="U370" s="22">
        <v>0</v>
      </c>
      <c r="V370" s="22">
        <v>1</v>
      </c>
      <c r="W370" s="23"/>
      <c r="X370" s="23"/>
      <c r="Y370" s="23"/>
    </row>
    <row r="371" spans="1:25" ht="14.4">
      <c r="A371" s="117">
        <v>1</v>
      </c>
      <c r="B371" s="294" t="s">
        <v>5384</v>
      </c>
      <c r="C371" s="22">
        <v>371</v>
      </c>
      <c r="D371" s="22">
        <v>3</v>
      </c>
      <c r="E371" s="222">
        <v>43746</v>
      </c>
      <c r="F371" s="121" t="str">
        <f>HYPERLINK("https://lifestyle.okezone.com/read/2019/08/10/196/2090165/kisah-inri-korban-body-shaming-yang-sempat-mencoba-bunuh-diri ","sumber")</f>
        <v>sumber</v>
      </c>
      <c r="G371" s="22" t="s">
        <v>1</v>
      </c>
      <c r="H371" s="22">
        <v>3</v>
      </c>
      <c r="I371" s="22">
        <v>2</v>
      </c>
      <c r="J371" s="22">
        <v>1</v>
      </c>
      <c r="K371" s="123" t="s">
        <v>5385</v>
      </c>
      <c r="L371" s="22">
        <v>0</v>
      </c>
      <c r="M371" s="22">
        <v>0</v>
      </c>
      <c r="N371" s="125">
        <v>0</v>
      </c>
      <c r="O371" s="125">
        <v>0</v>
      </c>
      <c r="P371" s="22">
        <v>0</v>
      </c>
      <c r="Q371" s="22">
        <v>2</v>
      </c>
      <c r="R371" s="22">
        <v>1</v>
      </c>
      <c r="S371" s="134"/>
      <c r="T371" s="22">
        <v>0</v>
      </c>
      <c r="U371" s="22">
        <v>0</v>
      </c>
      <c r="V371" s="22">
        <v>1</v>
      </c>
      <c r="W371" s="23"/>
      <c r="X371" s="23"/>
      <c r="Y371" s="23"/>
    </row>
    <row r="372" spans="1:25" ht="14.4">
      <c r="A372" s="117">
        <v>1</v>
      </c>
      <c r="B372" s="294" t="s">
        <v>5386</v>
      </c>
      <c r="C372" s="22">
        <v>372</v>
      </c>
      <c r="D372" s="22">
        <v>7</v>
      </c>
      <c r="E372" s="22" t="s">
        <v>2055</v>
      </c>
      <c r="F372" s="121" t="str">
        <f>HYPERLINK("https://www.tribunnews.com/regional/2019/08/13/driver-ojol-yang-lakukan-pelecehan-pada-penumpang-wanita-pernah-curi-celana-dalam ","sumber")</f>
        <v>sumber</v>
      </c>
      <c r="G372" s="22" t="s">
        <v>1</v>
      </c>
      <c r="H372" s="22">
        <v>3</v>
      </c>
      <c r="I372" s="22">
        <v>1</v>
      </c>
      <c r="J372" s="22">
        <v>1</v>
      </c>
      <c r="K372" s="123" t="s">
        <v>5387</v>
      </c>
      <c r="L372" s="22">
        <v>0</v>
      </c>
      <c r="M372" s="22">
        <v>0</v>
      </c>
      <c r="N372" s="125">
        <v>0</v>
      </c>
      <c r="O372" s="125">
        <v>0</v>
      </c>
      <c r="P372" s="22">
        <v>0</v>
      </c>
      <c r="Q372" s="22" t="s">
        <v>106</v>
      </c>
      <c r="R372" s="22" t="s">
        <v>837</v>
      </c>
      <c r="S372" s="134"/>
      <c r="T372" s="22">
        <v>0</v>
      </c>
      <c r="U372" s="22">
        <v>0</v>
      </c>
      <c r="V372" s="22">
        <v>1</v>
      </c>
      <c r="W372" s="23"/>
      <c r="X372" s="23"/>
      <c r="Y372" s="23"/>
    </row>
    <row r="373" spans="1:25" ht="14.4">
      <c r="A373" s="126">
        <v>1</v>
      </c>
      <c r="B373" s="285" t="s">
        <v>5388</v>
      </c>
      <c r="C373" s="33">
        <v>373</v>
      </c>
      <c r="D373" s="33">
        <v>1</v>
      </c>
      <c r="E373" s="288">
        <v>43716</v>
      </c>
      <c r="F373" s="130" t="str">
        <f>HYPERLINK("https://news.detik.com/berita-jawa-barat/d-4659251/geram-paman-gadis-korban-pemerkosaan-ke-sopir-angkot-hukum-mati ","sumber")</f>
        <v>sumber</v>
      </c>
      <c r="G373" s="33" t="s">
        <v>1</v>
      </c>
      <c r="H373" s="33">
        <v>1</v>
      </c>
      <c r="I373" s="33">
        <v>1</v>
      </c>
      <c r="J373" s="33">
        <v>1</v>
      </c>
      <c r="K373" s="131" t="s">
        <v>5389</v>
      </c>
      <c r="L373" s="33">
        <v>0</v>
      </c>
      <c r="M373" s="33">
        <v>1</v>
      </c>
      <c r="N373" s="132">
        <v>0</v>
      </c>
      <c r="O373" s="33">
        <v>1</v>
      </c>
      <c r="P373" s="33">
        <v>0</v>
      </c>
      <c r="Q373" s="33" t="s">
        <v>29</v>
      </c>
      <c r="R373" s="33" t="s">
        <v>68</v>
      </c>
      <c r="S373" s="133"/>
      <c r="T373" s="33">
        <v>0</v>
      </c>
      <c r="U373" s="33">
        <v>0</v>
      </c>
      <c r="V373" s="33">
        <v>0</v>
      </c>
      <c r="W373" s="24"/>
      <c r="X373" s="24"/>
      <c r="Y373" s="24"/>
    </row>
    <row r="374" spans="1:25" ht="14.4">
      <c r="A374" s="117">
        <v>1</v>
      </c>
      <c r="B374" s="294" t="s">
        <v>5390</v>
      </c>
      <c r="C374" s="22">
        <v>374</v>
      </c>
      <c r="D374" s="22">
        <v>3</v>
      </c>
      <c r="E374" s="22" t="s">
        <v>5058</v>
      </c>
      <c r="F374" s="121" t="str">
        <f>HYPERLINK("https://bola.okezone.com/read/2019/08/21/45/2094577/geram-dengan-kasus-rasisme-neville-ajak-pesepakbola-boikot-media-sosial ","sumber")</f>
        <v>sumber</v>
      </c>
      <c r="G374" s="22" t="s">
        <v>1</v>
      </c>
      <c r="H374" s="22">
        <v>2</v>
      </c>
      <c r="I374" s="22">
        <v>1</v>
      </c>
      <c r="J374" s="22">
        <v>3</v>
      </c>
      <c r="K374" s="123" t="s">
        <v>5391</v>
      </c>
      <c r="L374" s="22">
        <v>0</v>
      </c>
      <c r="M374" s="22">
        <v>0</v>
      </c>
      <c r="N374" s="125">
        <v>0</v>
      </c>
      <c r="O374" s="125">
        <v>0</v>
      </c>
      <c r="P374" s="22">
        <v>0</v>
      </c>
      <c r="Q374" s="22">
        <v>0</v>
      </c>
      <c r="R374" s="22">
        <v>1</v>
      </c>
      <c r="S374" s="134"/>
      <c r="T374" s="22">
        <v>0</v>
      </c>
      <c r="U374" s="22">
        <v>0</v>
      </c>
      <c r="V374" s="22">
        <v>1</v>
      </c>
      <c r="W374" s="23"/>
      <c r="X374" s="23"/>
      <c r="Y374" s="23"/>
    </row>
    <row r="375" spans="1:25" ht="14.4">
      <c r="A375" s="126">
        <v>1</v>
      </c>
      <c r="B375" s="285" t="s">
        <v>5392</v>
      </c>
      <c r="C375" s="33">
        <v>375</v>
      </c>
      <c r="D375" s="33">
        <v>3</v>
      </c>
      <c r="E375" s="33" t="s">
        <v>5393</v>
      </c>
      <c r="F375" s="130" t="str">
        <f>HYPERLINK("https://news.okezone.com/read/2019/08/29/609/2097921/lecehkan-pegawai-oknum-kadis-di-jeneponto-terancam-dipecat ","sumber")</f>
        <v>sumber</v>
      </c>
      <c r="G375" s="33" t="s">
        <v>1</v>
      </c>
      <c r="H375" s="33">
        <v>3</v>
      </c>
      <c r="I375" s="33">
        <v>2</v>
      </c>
      <c r="J375" s="33">
        <v>1</v>
      </c>
      <c r="K375" s="131" t="s">
        <v>5394</v>
      </c>
      <c r="L375" s="33">
        <v>0</v>
      </c>
      <c r="M375" s="33">
        <v>0</v>
      </c>
      <c r="N375" s="132">
        <v>0</v>
      </c>
      <c r="O375" s="132">
        <v>0</v>
      </c>
      <c r="P375" s="33">
        <v>0</v>
      </c>
      <c r="Q375" s="33" t="s">
        <v>29</v>
      </c>
      <c r="R375" s="33" t="s">
        <v>160</v>
      </c>
      <c r="S375" s="133"/>
      <c r="T375" s="33">
        <v>0</v>
      </c>
      <c r="U375" s="33">
        <v>0</v>
      </c>
      <c r="V375" s="33">
        <v>1</v>
      </c>
      <c r="W375" s="24"/>
      <c r="X375" s="24"/>
      <c r="Y375" s="24"/>
    </row>
    <row r="376" spans="1:25" ht="14.4">
      <c r="A376" s="117">
        <v>1</v>
      </c>
      <c r="B376" s="294" t="s">
        <v>5395</v>
      </c>
      <c r="C376" s="22">
        <v>376</v>
      </c>
      <c r="D376" s="22">
        <v>10</v>
      </c>
      <c r="E376" s="22" t="s">
        <v>278</v>
      </c>
      <c r="F376" s="121" t="str">
        <f>HYPERLINK("https://seleb.tempo.co/read/1240189/selain-prostitusi-seungri-dibidik-kasus-kedua ","sumber")</f>
        <v>sumber</v>
      </c>
      <c r="G376" s="22" t="s">
        <v>1</v>
      </c>
      <c r="H376" s="22">
        <v>1</v>
      </c>
      <c r="I376" s="22">
        <v>1</v>
      </c>
      <c r="J376" s="22">
        <v>1</v>
      </c>
      <c r="K376" s="123" t="s">
        <v>5396</v>
      </c>
      <c r="L376" s="22">
        <v>0</v>
      </c>
      <c r="M376" s="22">
        <v>0</v>
      </c>
      <c r="N376" s="125">
        <v>0</v>
      </c>
      <c r="O376" s="125">
        <v>0</v>
      </c>
      <c r="P376" s="22">
        <v>0</v>
      </c>
      <c r="Q376" s="22">
        <v>0</v>
      </c>
      <c r="R376" s="22">
        <v>0</v>
      </c>
      <c r="S376" s="134"/>
      <c r="T376" s="22">
        <v>0</v>
      </c>
      <c r="U376" s="22">
        <v>0</v>
      </c>
      <c r="V376" s="22">
        <v>0</v>
      </c>
      <c r="W376" s="23"/>
      <c r="X376" s="23"/>
      <c r="Y376" s="23"/>
    </row>
    <row r="377" spans="1:25" ht="14.4">
      <c r="A377" s="117">
        <v>1</v>
      </c>
      <c r="B377" s="294" t="s">
        <v>277</v>
      </c>
      <c r="C377" s="22">
        <v>377</v>
      </c>
      <c r="D377" s="22">
        <v>7</v>
      </c>
      <c r="E377" s="22" t="s">
        <v>278</v>
      </c>
      <c r="F377" s="121" t="str">
        <f>HYPERLINK("https://www.tribunnews.com/nasional/2019/08/26/soal-vonis-kebiri-predator-anak-beda-pendapat-menteri-yohana-dan-khofifah-di-masa-lalu-jadi-sorotan ","sumber")</f>
        <v>sumber</v>
      </c>
      <c r="G377" s="22" t="s">
        <v>1</v>
      </c>
      <c r="H377" s="22">
        <v>1</v>
      </c>
      <c r="I377" s="22">
        <v>4</v>
      </c>
      <c r="J377" s="22">
        <v>1</v>
      </c>
      <c r="K377" s="123" t="s">
        <v>5397</v>
      </c>
      <c r="L377" s="22">
        <v>0</v>
      </c>
      <c r="M377" s="22">
        <v>0</v>
      </c>
      <c r="N377" s="125">
        <v>0</v>
      </c>
      <c r="O377" s="125">
        <v>0</v>
      </c>
      <c r="P377" s="22">
        <v>0</v>
      </c>
      <c r="Q377" s="22">
        <v>0</v>
      </c>
      <c r="R377" s="22">
        <v>0</v>
      </c>
      <c r="S377" s="134"/>
      <c r="T377" s="22">
        <v>0</v>
      </c>
      <c r="U377" s="22">
        <v>0</v>
      </c>
      <c r="V377" s="22">
        <v>1</v>
      </c>
      <c r="W377" s="23"/>
      <c r="X377" s="23"/>
      <c r="Y377" s="23"/>
    </row>
    <row r="378" spans="1:25" ht="14.4">
      <c r="A378" s="117">
        <v>1</v>
      </c>
      <c r="B378" s="294" t="s">
        <v>5398</v>
      </c>
      <c r="C378" s="22">
        <v>378</v>
      </c>
      <c r="D378" s="22">
        <v>1</v>
      </c>
      <c r="E378" s="22" t="s">
        <v>2444</v>
      </c>
      <c r="F378" s="121" t="str">
        <f>HYPERLINK("https://news.detik.com/berita/d-4683952/sekda-jeneponto-sulsel-panggil-kadis-yang-dilaporkan-cium-pipi-staf ","sumber")</f>
        <v>sumber</v>
      </c>
      <c r="G378" s="22" t="s">
        <v>1</v>
      </c>
      <c r="H378" s="22">
        <v>1</v>
      </c>
      <c r="I378" s="22">
        <v>1</v>
      </c>
      <c r="J378" s="22">
        <v>1</v>
      </c>
      <c r="K378" s="123" t="s">
        <v>5399</v>
      </c>
      <c r="L378" s="22">
        <v>0</v>
      </c>
      <c r="M378" s="22">
        <v>0</v>
      </c>
      <c r="N378" s="125">
        <v>0</v>
      </c>
      <c r="O378" s="125">
        <v>0</v>
      </c>
      <c r="P378" s="22">
        <v>0</v>
      </c>
      <c r="Q378" s="22" t="s">
        <v>29</v>
      </c>
      <c r="R378" s="22" t="s">
        <v>30</v>
      </c>
      <c r="S378" s="134"/>
      <c r="T378" s="22">
        <v>0</v>
      </c>
      <c r="U378" s="22">
        <v>0</v>
      </c>
      <c r="V378" s="22">
        <v>0</v>
      </c>
      <c r="W378" s="23"/>
      <c r="X378" s="23"/>
      <c r="Y378" s="23"/>
    </row>
    <row r="379" spans="1:25" ht="14.4">
      <c r="A379" s="117">
        <v>1</v>
      </c>
      <c r="B379" s="294" t="s">
        <v>5400</v>
      </c>
      <c r="C379" s="22">
        <v>379</v>
      </c>
      <c r="D379" s="22">
        <v>1</v>
      </c>
      <c r="E379" s="22" t="s">
        <v>286</v>
      </c>
      <c r="F379" s="121" t="str">
        <f>HYPERLINK("https://news.detik.com/berita/d-4686323/bocah-10-tahun-diduga-diperkosa-di-gunung-putri-bogor ","sumber")</f>
        <v>sumber</v>
      </c>
      <c r="G379" s="22" t="s">
        <v>1</v>
      </c>
      <c r="H379" s="22">
        <v>1</v>
      </c>
      <c r="I379" s="22">
        <v>1</v>
      </c>
      <c r="J379" s="22">
        <v>1</v>
      </c>
      <c r="K379" s="123" t="s">
        <v>5401</v>
      </c>
      <c r="L379" s="22">
        <v>0</v>
      </c>
      <c r="M379" s="22">
        <v>-1</v>
      </c>
      <c r="N379" s="125">
        <v>0</v>
      </c>
      <c r="O379" s="22">
        <v>1</v>
      </c>
      <c r="P379" s="22">
        <v>0</v>
      </c>
      <c r="Q379" s="22">
        <v>0</v>
      </c>
      <c r="R379" s="22">
        <v>0</v>
      </c>
      <c r="S379" s="134"/>
      <c r="T379" s="22">
        <v>0</v>
      </c>
      <c r="U379" s="22">
        <v>0</v>
      </c>
      <c r="V379" s="22">
        <v>0</v>
      </c>
      <c r="W379" s="23"/>
      <c r="X379" s="23"/>
      <c r="Y379" s="23"/>
    </row>
    <row r="380" spans="1:25" ht="14.4">
      <c r="A380" s="117">
        <v>1</v>
      </c>
      <c r="B380" s="294" t="s">
        <v>5402</v>
      </c>
      <c r="C380" s="22">
        <v>380</v>
      </c>
      <c r="D380" s="22">
        <v>6</v>
      </c>
      <c r="E380" s="22" t="s">
        <v>2630</v>
      </c>
      <c r="F380" s="121" t="str">
        <f>HYPERLINK("https://nasional.kompas.com/read/2019/08/30/14562471/komnas-perempuan-ruu-pks-sudah-banyak-dipolitisasi-saatnya-dpr-serius ","sumber")</f>
        <v>sumber</v>
      </c>
      <c r="G380" s="22" t="s">
        <v>1</v>
      </c>
      <c r="H380" s="22">
        <v>1</v>
      </c>
      <c r="I380" s="22">
        <v>4</v>
      </c>
      <c r="J380" s="22">
        <v>1</v>
      </c>
      <c r="K380" s="123" t="s">
        <v>5403</v>
      </c>
      <c r="L380" s="22">
        <v>0</v>
      </c>
      <c r="M380" s="22">
        <v>0</v>
      </c>
      <c r="N380" s="125">
        <v>0</v>
      </c>
      <c r="O380" s="125">
        <v>0</v>
      </c>
      <c r="P380" s="22">
        <v>0</v>
      </c>
      <c r="Q380" s="22">
        <v>1</v>
      </c>
      <c r="R380" s="22">
        <v>1</v>
      </c>
      <c r="S380" s="134"/>
      <c r="T380" s="22">
        <v>0</v>
      </c>
      <c r="U380" s="22">
        <v>0</v>
      </c>
      <c r="V380" s="22">
        <v>1</v>
      </c>
      <c r="W380" s="23"/>
      <c r="X380" s="23"/>
      <c r="Y380" s="23"/>
    </row>
    <row r="381" spans="1:25" ht="14.4">
      <c r="A381" s="117">
        <v>1</v>
      </c>
      <c r="B381" s="294" t="s">
        <v>2629</v>
      </c>
      <c r="C381" s="22">
        <v>381</v>
      </c>
      <c r="D381" s="22">
        <v>4</v>
      </c>
      <c r="E381" s="22" t="s">
        <v>2630</v>
      </c>
      <c r="F381" s="121" t="str">
        <f>HYPERLINK("https://www.liputan6.com/bola/read/4050607/ancam-tembak-mantan-pacar-bintang-nba-berurusan-dengan-polisi ","sumber")</f>
        <v>sumber</v>
      </c>
      <c r="G381" s="22" t="s">
        <v>1</v>
      </c>
      <c r="H381" s="22">
        <v>1</v>
      </c>
      <c r="I381" s="22">
        <v>1</v>
      </c>
      <c r="J381" s="22">
        <v>1</v>
      </c>
      <c r="K381" s="295" t="s">
        <v>5404</v>
      </c>
      <c r="L381" s="22">
        <v>0</v>
      </c>
      <c r="M381" s="22">
        <v>0</v>
      </c>
      <c r="N381" s="125">
        <v>0</v>
      </c>
      <c r="O381" s="125">
        <v>0</v>
      </c>
      <c r="P381" s="22">
        <v>0</v>
      </c>
      <c r="Q381" s="22">
        <v>0</v>
      </c>
      <c r="R381" s="22">
        <v>1</v>
      </c>
      <c r="S381" s="134"/>
      <c r="T381" s="22">
        <v>0</v>
      </c>
      <c r="U381" s="22">
        <v>0</v>
      </c>
      <c r="V381" s="22">
        <v>0</v>
      </c>
      <c r="W381" s="23"/>
      <c r="X381" s="23"/>
      <c r="Y381" s="23"/>
    </row>
    <row r="382" spans="1:25" ht="14.4">
      <c r="A382" s="117">
        <v>1</v>
      </c>
      <c r="B382" s="294" t="s">
        <v>5405</v>
      </c>
      <c r="C382" s="22">
        <v>382</v>
      </c>
      <c r="D382" s="22">
        <v>4</v>
      </c>
      <c r="E382" s="222">
        <v>43505</v>
      </c>
      <c r="F382" s="121" t="str">
        <f>HYPERLINK("https://www.liputan6.com/showbiz/read/4052900/dilabrak-nikita-mirzani-elza-syarief-merasa-dilecehkan ","sumber")</f>
        <v>sumber</v>
      </c>
      <c r="G382" s="22" t="s">
        <v>1</v>
      </c>
      <c r="H382" s="22">
        <v>1</v>
      </c>
      <c r="I382" s="22">
        <v>1</v>
      </c>
      <c r="J382" s="22">
        <v>1</v>
      </c>
      <c r="K382" s="123" t="s">
        <v>5406</v>
      </c>
      <c r="L382" s="22">
        <v>0</v>
      </c>
      <c r="M382" s="22">
        <v>0</v>
      </c>
      <c r="N382" s="125">
        <v>0</v>
      </c>
      <c r="O382" s="125">
        <v>0</v>
      </c>
      <c r="P382" s="22">
        <v>0</v>
      </c>
      <c r="Q382" s="22">
        <v>2</v>
      </c>
      <c r="R382" s="22">
        <v>1</v>
      </c>
      <c r="S382" s="134"/>
      <c r="T382" s="22">
        <v>0</v>
      </c>
      <c r="U382" s="22">
        <v>0</v>
      </c>
      <c r="V382" s="22">
        <v>0</v>
      </c>
      <c r="W382" s="23"/>
      <c r="X382" s="23"/>
      <c r="Y382" s="23"/>
    </row>
    <row r="383" spans="1:25" ht="14.4">
      <c r="A383" s="111">
        <v>2</v>
      </c>
      <c r="B383" s="308" t="s">
        <v>3793</v>
      </c>
      <c r="C383" s="25">
        <v>383</v>
      </c>
      <c r="D383" s="26"/>
      <c r="E383" s="26"/>
      <c r="F383" s="115" t="str">
        <f>HYPERLINK("https://celebrity.okezone.com/read/2019/09/03/33/2099954/hot-gosip-livi-zheng-dihujat-netizen-hingga-sopir-jessica-iskandar-diteror-kuntilanak ","sumber")</f>
        <v>sumber</v>
      </c>
      <c r="G383" s="25" t="s">
        <v>1</v>
      </c>
      <c r="H383" s="26"/>
      <c r="I383" s="26"/>
      <c r="J383" s="26"/>
      <c r="K383" s="124"/>
      <c r="L383" s="26"/>
      <c r="M383" s="26"/>
      <c r="N383" s="26"/>
      <c r="O383" s="26"/>
      <c r="P383" s="26"/>
      <c r="Q383" s="26"/>
      <c r="R383" s="26"/>
      <c r="S383" s="124"/>
      <c r="T383" s="26"/>
      <c r="U383" s="26"/>
      <c r="V383" s="26"/>
      <c r="W383" s="26"/>
      <c r="X383" s="26"/>
      <c r="Y383" s="26"/>
    </row>
    <row r="384" spans="1:25" ht="14.4">
      <c r="A384" s="117">
        <v>1</v>
      </c>
      <c r="B384" s="294" t="s">
        <v>5407</v>
      </c>
      <c r="C384" s="22">
        <v>384</v>
      </c>
      <c r="D384" s="22">
        <v>7</v>
      </c>
      <c r="E384" s="222">
        <v>43533</v>
      </c>
      <c r="F384" s="121" t="str">
        <f>HYPERLINK("https://www.tribunnews.com/nasional/2019/09/03/tangani-human-trafficking-dan-predator-seks-anak-lpsk-gaet-grab-dan-kpai ","sumber")</f>
        <v>sumber</v>
      </c>
      <c r="G384" s="22" t="s">
        <v>1</v>
      </c>
      <c r="H384" s="22">
        <v>1</v>
      </c>
      <c r="I384" s="22">
        <v>3</v>
      </c>
      <c r="J384" s="22">
        <v>1</v>
      </c>
      <c r="K384" s="123" t="s">
        <v>5408</v>
      </c>
      <c r="L384" s="22">
        <v>0</v>
      </c>
      <c r="M384" s="22">
        <v>0</v>
      </c>
      <c r="N384" s="125">
        <v>0</v>
      </c>
      <c r="O384" s="125">
        <v>0</v>
      </c>
      <c r="P384" s="22">
        <v>0</v>
      </c>
      <c r="Q384" s="22" t="s">
        <v>29</v>
      </c>
      <c r="R384" s="22" t="s">
        <v>160</v>
      </c>
      <c r="S384" s="134"/>
      <c r="T384" s="22">
        <v>0</v>
      </c>
      <c r="U384" s="22">
        <v>0</v>
      </c>
      <c r="V384" s="22">
        <v>1</v>
      </c>
      <c r="W384" s="23"/>
      <c r="X384" s="23"/>
      <c r="Y384" s="23"/>
    </row>
    <row r="385" spans="1:25" ht="14.4">
      <c r="A385" s="117">
        <v>1</v>
      </c>
      <c r="B385" s="294" t="s">
        <v>2640</v>
      </c>
      <c r="C385" s="22">
        <v>385</v>
      </c>
      <c r="D385" s="22">
        <v>4</v>
      </c>
      <c r="E385" s="222">
        <v>43564</v>
      </c>
      <c r="F385" s="121" t="str">
        <f>HYPERLINK("https://www.liputan6.com/news/read/4054299/prostitusi-online-yang-sediakan-jasa-threesome-di-serang-terkuak ","sumber")</f>
        <v>sumber</v>
      </c>
      <c r="G385" s="22" t="s">
        <v>1</v>
      </c>
      <c r="H385" s="22">
        <v>1</v>
      </c>
      <c r="I385" s="22">
        <v>1</v>
      </c>
      <c r="J385" s="22">
        <v>3</v>
      </c>
      <c r="K385" s="123" t="s">
        <v>5409</v>
      </c>
      <c r="L385" s="22">
        <v>0</v>
      </c>
      <c r="M385" s="22">
        <v>0</v>
      </c>
      <c r="N385" s="125">
        <v>0</v>
      </c>
      <c r="O385" s="125">
        <v>0</v>
      </c>
      <c r="P385" s="22">
        <v>0</v>
      </c>
      <c r="Q385" s="22">
        <v>0</v>
      </c>
      <c r="R385" s="22">
        <v>0</v>
      </c>
      <c r="S385" s="134"/>
      <c r="T385" s="22">
        <v>0</v>
      </c>
      <c r="U385" s="22">
        <v>0</v>
      </c>
      <c r="V385" s="22">
        <v>1</v>
      </c>
      <c r="W385" s="23"/>
      <c r="X385" s="23"/>
      <c r="Y385" s="23"/>
    </row>
    <row r="386" spans="1:25" ht="14.4">
      <c r="A386" s="111">
        <v>2</v>
      </c>
      <c r="B386" s="308" t="s">
        <v>5410</v>
      </c>
      <c r="C386" s="25">
        <v>386</v>
      </c>
      <c r="D386" s="26"/>
      <c r="E386" s="26"/>
      <c r="F386" s="115" t="str">
        <f>HYPERLINK("https://tirto.id/preview-when-the-camellia-blooms-ep-7-8-yong-shik-jaga-dong-baek-eiMk ","sumber")</f>
        <v>sumber</v>
      </c>
      <c r="G386" s="25" t="s">
        <v>1</v>
      </c>
      <c r="H386" s="26"/>
      <c r="I386" s="26"/>
      <c r="J386" s="26"/>
      <c r="K386" s="124"/>
      <c r="L386" s="26"/>
      <c r="M386" s="26"/>
      <c r="N386" s="26"/>
      <c r="O386" s="26"/>
      <c r="P386" s="26"/>
      <c r="Q386" s="26"/>
      <c r="R386" s="26"/>
      <c r="S386" s="124"/>
      <c r="T386" s="26"/>
      <c r="U386" s="26"/>
      <c r="V386" s="26"/>
      <c r="W386" s="26"/>
      <c r="X386" s="26"/>
      <c r="Y386" s="26"/>
    </row>
    <row r="387" spans="1:25" ht="14.4">
      <c r="A387" s="111">
        <v>2</v>
      </c>
      <c r="B387" s="308" t="s">
        <v>5411</v>
      </c>
      <c r="C387" s="25">
        <v>387</v>
      </c>
      <c r="D387" s="26"/>
      <c r="E387" s="26"/>
      <c r="F387" s="115" t="str">
        <f>HYPERLINK("https://www.suara.com/wawancara/2019/09/27/225330/bivitri-susanti-pembahasan-rkuhp-harus-terbuka-dan-libatkan-banyak-pihak ","sumber")</f>
        <v>sumber</v>
      </c>
      <c r="G387" s="25" t="s">
        <v>1</v>
      </c>
      <c r="H387" s="26"/>
      <c r="I387" s="26"/>
      <c r="J387" s="26"/>
      <c r="K387" s="124"/>
      <c r="L387" s="26"/>
      <c r="M387" s="26"/>
      <c r="N387" s="26"/>
      <c r="O387" s="26"/>
      <c r="P387" s="26"/>
      <c r="Q387" s="26"/>
      <c r="R387" s="26"/>
      <c r="S387" s="124"/>
      <c r="T387" s="26"/>
      <c r="U387" s="26"/>
      <c r="V387" s="26"/>
      <c r="W387" s="26"/>
      <c r="X387" s="26"/>
      <c r="Y387" s="26"/>
    </row>
    <row r="388" spans="1:25" ht="14.4">
      <c r="A388" s="111">
        <v>2</v>
      </c>
      <c r="B388" s="308" t="s">
        <v>5412</v>
      </c>
      <c r="C388" s="25">
        <v>388</v>
      </c>
      <c r="D388" s="26"/>
      <c r="E388" s="26"/>
      <c r="F388" s="115" t="str">
        <f>HYPERLINK("https://www.liputan6.com/news/read/4073900/disebut-bodoh-oleh-menkumham-yasonna-laoly-ini-jawaban-menohok-dian-sastro ","sumber")</f>
        <v>sumber</v>
      </c>
      <c r="G388" s="25" t="s">
        <v>1</v>
      </c>
      <c r="H388" s="26"/>
      <c r="I388" s="26"/>
      <c r="J388" s="26"/>
      <c r="K388" s="124"/>
      <c r="L388" s="26"/>
      <c r="M388" s="26"/>
      <c r="N388" s="26"/>
      <c r="O388" s="26"/>
      <c r="P388" s="26"/>
      <c r="Q388" s="26"/>
      <c r="R388" s="26"/>
      <c r="S388" s="124"/>
      <c r="T388" s="26"/>
      <c r="U388" s="26"/>
      <c r="V388" s="26"/>
      <c r="W388" s="26"/>
      <c r="X388" s="26"/>
      <c r="Y388" s="26"/>
    </row>
    <row r="389" spans="1:25" ht="14.4">
      <c r="A389" s="111">
        <v>2</v>
      </c>
      <c r="B389" s="308" t="s">
        <v>5413</v>
      </c>
      <c r="C389" s="25">
        <v>389</v>
      </c>
      <c r="D389" s="26"/>
      <c r="E389" s="26"/>
      <c r="F389" s="115" t="str">
        <f>HYPERLINK("https://celebrity.okezone.com/read/2019/09/28/33/2110500/vanessa-angel-liburan-bareng-mantan-pacar-di-bali ","sumber")</f>
        <v>sumber</v>
      </c>
      <c r="G389" s="25" t="s">
        <v>1</v>
      </c>
      <c r="H389" s="26"/>
      <c r="I389" s="26"/>
      <c r="J389" s="26"/>
      <c r="K389" s="124"/>
      <c r="L389" s="26"/>
      <c r="M389" s="26"/>
      <c r="N389" s="26"/>
      <c r="O389" s="26"/>
      <c r="P389" s="26"/>
      <c r="Q389" s="26"/>
      <c r="R389" s="26"/>
      <c r="S389" s="124"/>
      <c r="T389" s="26"/>
      <c r="U389" s="26"/>
      <c r="V389" s="26"/>
      <c r="W389" s="26"/>
      <c r="X389" s="26"/>
      <c r="Y389" s="26"/>
    </row>
    <row r="390" spans="1:25" ht="14.4">
      <c r="A390" s="111">
        <v>2</v>
      </c>
      <c r="B390" s="308" t="s">
        <v>5414</v>
      </c>
      <c r="C390" s="25">
        <v>390</v>
      </c>
      <c r="D390" s="26"/>
      <c r="E390" s="26"/>
      <c r="F390" s="115" t="str">
        <f>HYPERLINK("https://nasional.republika.co.id/berita/pyj50f335/mahasiwa-ingin-dialog-dengan-jokowi-dilakukan-secara-terbuka ","sumber")</f>
        <v>sumber</v>
      </c>
      <c r="G390" s="25" t="s">
        <v>1</v>
      </c>
      <c r="H390" s="26"/>
      <c r="I390" s="26"/>
      <c r="J390" s="26"/>
      <c r="K390" s="124"/>
      <c r="L390" s="26"/>
      <c r="M390" s="26"/>
      <c r="N390" s="26"/>
      <c r="O390" s="26"/>
      <c r="P390" s="26"/>
      <c r="Q390" s="26"/>
      <c r="R390" s="26"/>
      <c r="S390" s="124"/>
      <c r="T390" s="26"/>
      <c r="U390" s="26"/>
      <c r="V390" s="26"/>
      <c r="W390" s="26"/>
      <c r="X390" s="26"/>
      <c r="Y390" s="26"/>
    </row>
    <row r="391" spans="1:25" ht="14.4">
      <c r="A391" s="117">
        <v>1</v>
      </c>
      <c r="B391" s="294" t="s">
        <v>1765</v>
      </c>
      <c r="C391" s="22">
        <v>391</v>
      </c>
      <c r="D391" s="22">
        <v>8</v>
      </c>
      <c r="E391" s="22" t="s">
        <v>649</v>
      </c>
      <c r="F391" s="121" t="str">
        <f>HYPERLINK("https://jatim.suara.com/read/2019/09/28/185913/aksi-ibnu-colek-payudara-mahasiswi-mbak-boleh-minta-nomor-teleponnya ","sumber")</f>
        <v>sumber</v>
      </c>
      <c r="G391" s="22" t="s">
        <v>1</v>
      </c>
      <c r="H391" s="22">
        <v>1</v>
      </c>
      <c r="I391" s="22">
        <v>1</v>
      </c>
      <c r="J391" s="22">
        <v>1</v>
      </c>
      <c r="K391" s="123" t="s">
        <v>5415</v>
      </c>
      <c r="L391" s="22">
        <v>0</v>
      </c>
      <c r="M391" s="22">
        <v>1</v>
      </c>
      <c r="N391" s="125">
        <v>0</v>
      </c>
      <c r="O391" s="125">
        <v>0</v>
      </c>
      <c r="P391" s="22">
        <v>-1</v>
      </c>
      <c r="Q391" s="22" t="s">
        <v>29</v>
      </c>
      <c r="R391" s="22" t="s">
        <v>30</v>
      </c>
      <c r="S391" s="134"/>
      <c r="T391" s="22">
        <v>0</v>
      </c>
      <c r="U391" s="22">
        <v>0</v>
      </c>
      <c r="V391" s="22">
        <v>1</v>
      </c>
      <c r="W391" s="23"/>
      <c r="X391" s="23"/>
      <c r="Y391" s="23"/>
    </row>
    <row r="392" spans="1:25" ht="14.4">
      <c r="A392" s="117">
        <v>1</v>
      </c>
      <c r="B392" s="294" t="s">
        <v>5416</v>
      </c>
      <c r="C392" s="22">
        <v>392</v>
      </c>
      <c r="D392" s="22">
        <v>7</v>
      </c>
      <c r="E392" s="22" t="s">
        <v>649</v>
      </c>
      <c r="F392" s="121" t="str">
        <f>HYPERLINK("https://www.tribunnews.com/regional/2019/09/28/wanita-di-sukabumi-rutin-berhubungan-intim-dengan-kedua-anaknya-karena-sang-suami-tak-sangggup-lagi ","sumber")</f>
        <v>sumber</v>
      </c>
      <c r="G392" s="22" t="s">
        <v>1</v>
      </c>
      <c r="H392" s="22">
        <v>3</v>
      </c>
      <c r="I392" s="22">
        <v>1</v>
      </c>
      <c r="J392" s="22">
        <v>1</v>
      </c>
      <c r="K392" s="123" t="s">
        <v>5417</v>
      </c>
      <c r="L392" s="22">
        <v>0</v>
      </c>
      <c r="M392" s="22">
        <v>1</v>
      </c>
      <c r="N392" s="125">
        <v>0</v>
      </c>
      <c r="O392" s="22">
        <v>-1</v>
      </c>
      <c r="P392" s="22">
        <v>0</v>
      </c>
      <c r="Q392" s="22" t="s">
        <v>5377</v>
      </c>
      <c r="R392" s="22" t="s">
        <v>5418</v>
      </c>
      <c r="S392" s="134"/>
      <c r="T392" s="22">
        <v>0</v>
      </c>
      <c r="U392" s="22">
        <v>0</v>
      </c>
      <c r="V392" s="22">
        <v>1</v>
      </c>
      <c r="W392" s="23"/>
      <c r="X392" s="23"/>
      <c r="Y392" s="23"/>
    </row>
    <row r="393" spans="1:25" ht="14.4">
      <c r="A393" s="111">
        <v>2</v>
      </c>
      <c r="B393" s="308" t="s">
        <v>5419</v>
      </c>
      <c r="C393" s="25">
        <v>393</v>
      </c>
      <c r="D393" s="26"/>
      <c r="E393" s="26"/>
      <c r="F393" s="115" t="str">
        <f>HYPERLINK("https://www.liputan6.com/global/read/4074157/29-9-2006-sanksi-murid-berujung-penembakan-tragis-kepala-sekolah-as ","sumber")</f>
        <v>sumber</v>
      </c>
      <c r="G393" s="25" t="s">
        <v>1</v>
      </c>
      <c r="H393" s="26"/>
      <c r="I393" s="26"/>
      <c r="J393" s="26"/>
      <c r="K393" s="124"/>
      <c r="L393" s="26"/>
      <c r="M393" s="26"/>
      <c r="N393" s="26"/>
      <c r="O393" s="26"/>
      <c r="P393" s="26"/>
      <c r="Q393" s="26"/>
      <c r="R393" s="26"/>
      <c r="S393" s="124"/>
      <c r="T393" s="26"/>
      <c r="U393" s="26"/>
      <c r="V393" s="26"/>
      <c r="W393" s="26"/>
      <c r="X393" s="26"/>
      <c r="Y393" s="26"/>
    </row>
    <row r="394" spans="1:25" ht="13.2">
      <c r="A394" s="345">
        <v>1</v>
      </c>
      <c r="B394" s="346" t="s">
        <v>5420</v>
      </c>
      <c r="C394" s="57">
        <v>394</v>
      </c>
      <c r="D394" s="57">
        <v>1</v>
      </c>
      <c r="E394" s="306">
        <v>43565</v>
      </c>
      <c r="F394" s="247" t="str">
        <f>HYPERLINK("https://news.detik.com/internasional/d-4734082/ulama-besar-syiah-serukan-pemerintah-irak-perhatikan-tuntutan-demonstran ","sumber")</f>
        <v>sumber</v>
      </c>
      <c r="G394" s="57" t="s">
        <v>1</v>
      </c>
      <c r="H394" s="347">
        <v>156</v>
      </c>
      <c r="I394" s="57">
        <v>4</v>
      </c>
      <c r="J394" s="57">
        <v>4</v>
      </c>
      <c r="K394" s="150" t="s">
        <v>5421</v>
      </c>
      <c r="L394" s="57">
        <v>0</v>
      </c>
      <c r="M394" s="57">
        <v>0</v>
      </c>
      <c r="N394" s="307">
        <v>0</v>
      </c>
      <c r="O394" s="307">
        <v>0</v>
      </c>
      <c r="P394" s="57">
        <v>0</v>
      </c>
      <c r="Q394" s="57">
        <v>0</v>
      </c>
      <c r="R394" s="57">
        <v>1</v>
      </c>
      <c r="S394" s="309"/>
      <c r="T394" s="57">
        <v>0</v>
      </c>
      <c r="U394" s="57">
        <v>0</v>
      </c>
      <c r="V394" s="57">
        <v>1</v>
      </c>
      <c r="W394" s="41"/>
      <c r="X394" s="41"/>
      <c r="Y394" s="41"/>
    </row>
    <row r="395" spans="1:25" ht="13.2">
      <c r="A395" s="179">
        <v>2</v>
      </c>
      <c r="B395" s="348" t="s">
        <v>5422</v>
      </c>
      <c r="C395" s="25">
        <v>395</v>
      </c>
      <c r="D395" s="25">
        <v>10</v>
      </c>
      <c r="E395" s="234">
        <v>43565</v>
      </c>
      <c r="F395" s="115" t="str">
        <f>HYPERLINK("https://tekno.tempo.co/read/1255682/kepala-bppt-beri-kuliah-ai-dan-big-data-di-unsyiah-aceh ","sumber")</f>
        <v>sumber</v>
      </c>
      <c r="G395" s="25" t="s">
        <v>1</v>
      </c>
      <c r="H395" s="349">
        <v>360</v>
      </c>
      <c r="I395" s="26"/>
      <c r="J395" s="26"/>
      <c r="K395" s="124"/>
      <c r="L395" s="26"/>
      <c r="M395" s="26"/>
      <c r="N395" s="26"/>
      <c r="O395" s="26"/>
      <c r="P395" s="26"/>
      <c r="Q395" s="26"/>
      <c r="R395" s="26"/>
      <c r="S395" s="124"/>
      <c r="T395" s="26"/>
      <c r="U395" s="26"/>
      <c r="V395" s="26"/>
      <c r="W395" s="26"/>
      <c r="X395" s="26"/>
      <c r="Y395" s="26"/>
    </row>
    <row r="396" spans="1:25" ht="13.2">
      <c r="A396" s="350">
        <v>1</v>
      </c>
      <c r="B396" s="346" t="s">
        <v>2662</v>
      </c>
      <c r="C396" s="57">
        <v>396</v>
      </c>
      <c r="D396" s="57">
        <v>8</v>
      </c>
      <c r="E396" s="57" t="s">
        <v>2664</v>
      </c>
      <c r="F396" s="247" t="str">
        <f>HYPERLINK("https://jogja.suara.com/read/2019/11/13/205748/polda-diy-jelaskan-polemik-ritual-piodalan-peringati-wafatnya-ki-mangir ","sumber")</f>
        <v>sumber</v>
      </c>
      <c r="G396" s="57" t="s">
        <v>1</v>
      </c>
      <c r="H396" s="347">
        <v>220</v>
      </c>
      <c r="I396" s="57">
        <v>1</v>
      </c>
      <c r="J396" s="57">
        <v>4</v>
      </c>
      <c r="K396" s="150" t="s">
        <v>2665</v>
      </c>
      <c r="L396" s="57">
        <v>0</v>
      </c>
      <c r="M396" s="147">
        <v>0</v>
      </c>
      <c r="N396" s="307">
        <v>0</v>
      </c>
      <c r="O396" s="307">
        <v>0</v>
      </c>
      <c r="P396" s="57">
        <v>0</v>
      </c>
      <c r="Q396" s="57">
        <v>0</v>
      </c>
      <c r="R396" s="57">
        <v>1</v>
      </c>
      <c r="S396" s="309"/>
      <c r="T396" s="57">
        <v>0</v>
      </c>
      <c r="U396" s="57">
        <v>0</v>
      </c>
      <c r="V396" s="57">
        <v>1</v>
      </c>
      <c r="W396" s="41"/>
      <c r="X396" s="41"/>
      <c r="Y396" s="41"/>
    </row>
    <row r="397" spans="1:25" ht="13.2">
      <c r="A397" s="290">
        <v>1</v>
      </c>
      <c r="B397" s="351" t="s">
        <v>5423</v>
      </c>
      <c r="C397" s="33">
        <v>397</v>
      </c>
      <c r="D397" s="33">
        <v>8</v>
      </c>
      <c r="E397" s="33" t="s">
        <v>5424</v>
      </c>
      <c r="F397" s="130" t="str">
        <f>HYPERLINK("https://jogja.suara.com/read/2019/11/14/163152/disbud-diy-sebut-komunitas-padma-buana-di-mangir-lor-belum-masuk-dalam-mlki","sumber")</f>
        <v>sumber</v>
      </c>
      <c r="G397" s="33" t="s">
        <v>1</v>
      </c>
      <c r="H397" s="352">
        <v>495</v>
      </c>
      <c r="I397" s="33">
        <v>1</v>
      </c>
      <c r="J397" s="33">
        <v>4</v>
      </c>
      <c r="K397" s="131" t="s">
        <v>5425</v>
      </c>
      <c r="L397" s="33">
        <v>0</v>
      </c>
      <c r="M397" s="33">
        <v>0</v>
      </c>
      <c r="N397" s="132">
        <v>0</v>
      </c>
      <c r="O397" s="132">
        <v>0</v>
      </c>
      <c r="P397" s="33">
        <v>0</v>
      </c>
      <c r="Q397" s="33">
        <v>0</v>
      </c>
      <c r="R397" s="33">
        <v>-1</v>
      </c>
      <c r="S397" s="133"/>
      <c r="T397" s="33">
        <v>0</v>
      </c>
      <c r="U397" s="33">
        <v>0</v>
      </c>
      <c r="V397" s="33">
        <v>1</v>
      </c>
      <c r="W397" s="24"/>
      <c r="X397" s="24"/>
      <c r="Y397" s="24"/>
    </row>
    <row r="398" spans="1:25" ht="13.2">
      <c r="A398" s="350">
        <v>1</v>
      </c>
      <c r="B398" s="346" t="s">
        <v>5426</v>
      </c>
      <c r="C398" s="57">
        <v>398</v>
      </c>
      <c r="D398" s="57">
        <v>1</v>
      </c>
      <c r="E398" s="57" t="s">
        <v>904</v>
      </c>
      <c r="F398" s="247" t="str">
        <f>HYPERLINK("https://news.detik.com/kolom/d-4790044/intoleransi-mayoritanisme-dan-keberagamaan-intersubjektif ","sumber")</f>
        <v>sumber</v>
      </c>
      <c r="G398" s="57" t="s">
        <v>1</v>
      </c>
      <c r="H398" s="347">
        <v>983</v>
      </c>
      <c r="I398" s="57">
        <v>3</v>
      </c>
      <c r="J398" s="57">
        <v>4</v>
      </c>
      <c r="K398" s="150" t="s">
        <v>5427</v>
      </c>
      <c r="L398" s="57">
        <v>0</v>
      </c>
      <c r="M398" s="57">
        <v>0</v>
      </c>
      <c r="N398" s="307">
        <v>0</v>
      </c>
      <c r="O398" s="307">
        <v>0</v>
      </c>
      <c r="P398" s="57">
        <v>0</v>
      </c>
      <c r="Q398" s="57">
        <v>0</v>
      </c>
      <c r="R398" s="57">
        <v>1</v>
      </c>
      <c r="S398" s="309"/>
      <c r="T398" s="57">
        <v>0</v>
      </c>
      <c r="U398" s="57">
        <v>0</v>
      </c>
      <c r="V398" s="57">
        <v>1</v>
      </c>
      <c r="W398" s="41"/>
      <c r="X398" s="41"/>
      <c r="Y398" s="41"/>
    </row>
    <row r="399" spans="1:25" ht="13.2">
      <c r="A399" s="179">
        <v>2</v>
      </c>
      <c r="B399" s="348" t="s">
        <v>5428</v>
      </c>
      <c r="C399" s="25">
        <v>399</v>
      </c>
      <c r="D399" s="25">
        <v>3</v>
      </c>
      <c r="E399" s="25" t="s">
        <v>904</v>
      </c>
      <c r="F399" s="115" t="str">
        <f>HYPERLINK("https://lifestyle.okezone.com/read/2019/11/19/557/2131813/gita-gutawa-sebar-virus-kejarmimpi-cimb-niaga-ke-mahasiswa-aceh ","sumber")</f>
        <v>sumber</v>
      </c>
      <c r="G399" s="25" t="s">
        <v>1</v>
      </c>
      <c r="H399" s="349">
        <v>407</v>
      </c>
      <c r="I399" s="26"/>
      <c r="J399" s="26"/>
      <c r="K399" s="124"/>
      <c r="L399" s="26"/>
      <c r="M399" s="26"/>
      <c r="N399" s="26"/>
      <c r="O399" s="26"/>
      <c r="P399" s="26"/>
      <c r="Q399" s="26"/>
      <c r="R399" s="26"/>
      <c r="S399" s="124"/>
      <c r="T399" s="26"/>
      <c r="U399" s="26"/>
      <c r="V399" s="26"/>
      <c r="W399" s="26"/>
      <c r="X399" s="26"/>
      <c r="Y399" s="26"/>
    </row>
    <row r="400" spans="1:25" ht="13.2">
      <c r="A400" s="179">
        <v>2</v>
      </c>
      <c r="B400" s="348" t="s">
        <v>5429</v>
      </c>
      <c r="C400" s="25">
        <v>400</v>
      </c>
      <c r="D400" s="25">
        <v>9</v>
      </c>
      <c r="E400" s="25" t="s">
        <v>904</v>
      </c>
      <c r="F400" s="115" t="str">
        <f>HYPERLINK("https://internasional.republika.co.id/berita/q17690415/hadapi-pendemo-garda-revolusi-siapkan-tindakan-tegas ","sumber")</f>
        <v>sumber</v>
      </c>
      <c r="G400" s="25" t="s">
        <v>1</v>
      </c>
      <c r="H400" s="349">
        <v>301</v>
      </c>
      <c r="I400" s="26"/>
      <c r="J400" s="26"/>
      <c r="K400" s="124"/>
      <c r="L400" s="26"/>
      <c r="M400" s="26"/>
      <c r="N400" s="26"/>
      <c r="O400" s="26"/>
      <c r="P400" s="26"/>
      <c r="Q400" s="26"/>
      <c r="R400" s="26"/>
      <c r="S400" s="124"/>
      <c r="T400" s="26"/>
      <c r="U400" s="26"/>
      <c r="V400" s="26"/>
      <c r="W400" s="26"/>
      <c r="X400" s="26"/>
      <c r="Y400" s="26"/>
    </row>
    <row r="401" spans="1:25" ht="13.2">
      <c r="A401" s="179">
        <v>2</v>
      </c>
      <c r="B401" s="348" t="s">
        <v>5430</v>
      </c>
      <c r="C401" s="25">
        <v>401</v>
      </c>
      <c r="D401" s="25">
        <v>10</v>
      </c>
      <c r="E401" s="25" t="s">
        <v>850</v>
      </c>
      <c r="F401" s="115" t="str">
        <f>HYPERLINK("https://tekno.tempo.co/read/1274259/penilaian-kinerja-perguruan-tinggi-menristek-47-klaster-mandiri ","sumber")</f>
        <v>sumber</v>
      </c>
      <c r="G401" s="25" t="s">
        <v>1</v>
      </c>
      <c r="H401" s="349">
        <v>442</v>
      </c>
      <c r="I401" s="26"/>
      <c r="J401" s="26"/>
      <c r="K401" s="124"/>
      <c r="L401" s="26"/>
      <c r="M401" s="26"/>
      <c r="N401" s="26"/>
      <c r="O401" s="26"/>
      <c r="P401" s="26"/>
      <c r="Q401" s="26"/>
      <c r="R401" s="26"/>
      <c r="S401" s="124"/>
      <c r="T401" s="26"/>
      <c r="U401" s="26"/>
      <c r="V401" s="26"/>
      <c r="W401" s="26"/>
      <c r="X401" s="26"/>
      <c r="Y401" s="26"/>
    </row>
    <row r="402" spans="1:25" ht="13.2">
      <c r="A402" s="350">
        <v>1</v>
      </c>
      <c r="B402" s="346" t="s">
        <v>5431</v>
      </c>
      <c r="C402" s="57">
        <v>402</v>
      </c>
      <c r="D402" s="57">
        <v>9</v>
      </c>
      <c r="E402" s="57" t="s">
        <v>912</v>
      </c>
      <c r="F402" s="247" t="str">
        <f>HYPERLINK("https://republika.co.id/berita/q1b7ow282/ketika-konstitusi-lebanon-kesempitan ","sumber")</f>
        <v>sumber</v>
      </c>
      <c r="G402" s="57" t="s">
        <v>1</v>
      </c>
      <c r="H402" s="347">
        <v>576</v>
      </c>
      <c r="I402" s="57">
        <v>1</v>
      </c>
      <c r="J402" s="57">
        <v>4</v>
      </c>
      <c r="K402" s="150" t="s">
        <v>5432</v>
      </c>
      <c r="L402" s="57">
        <v>0</v>
      </c>
      <c r="M402" s="57">
        <v>0</v>
      </c>
      <c r="N402" s="307">
        <v>0</v>
      </c>
      <c r="O402" s="307">
        <v>0</v>
      </c>
      <c r="P402" s="57">
        <v>0</v>
      </c>
      <c r="Q402" s="57">
        <v>0</v>
      </c>
      <c r="R402" s="57">
        <v>1</v>
      </c>
      <c r="S402" s="309"/>
      <c r="T402" s="57">
        <v>0</v>
      </c>
      <c r="U402" s="57">
        <v>0</v>
      </c>
      <c r="V402" s="57">
        <v>1</v>
      </c>
      <c r="W402" s="41"/>
      <c r="X402" s="41"/>
      <c r="Y402" s="41"/>
    </row>
    <row r="403" spans="1:25" ht="13.2">
      <c r="A403" s="353">
        <v>1</v>
      </c>
      <c r="B403" s="354" t="s">
        <v>5433</v>
      </c>
      <c r="C403" s="57">
        <v>403</v>
      </c>
      <c r="D403" s="355">
        <v>1</v>
      </c>
      <c r="E403" s="355" t="s">
        <v>918</v>
      </c>
      <c r="F403" s="356" t="str">
        <f>HYPERLINK("https://news.detik.com/abc-australia/d-4795364/kritik-dari-profesor-di-australia-masyarakat-indonesia-susah-terima-perbedaan ","sumber")</f>
        <v>sumber</v>
      </c>
      <c r="G403" s="355" t="s">
        <v>1</v>
      </c>
      <c r="H403" s="357">
        <v>765</v>
      </c>
      <c r="I403" s="355">
        <v>3</v>
      </c>
      <c r="J403" s="355">
        <v>4</v>
      </c>
      <c r="K403" s="358" t="s">
        <v>5434</v>
      </c>
      <c r="L403" s="355">
        <v>0</v>
      </c>
      <c r="M403" s="355">
        <v>0</v>
      </c>
      <c r="N403" s="359">
        <v>0</v>
      </c>
      <c r="O403" s="359">
        <v>0</v>
      </c>
      <c r="P403" s="355">
        <v>0</v>
      </c>
      <c r="Q403" s="355" t="s">
        <v>29</v>
      </c>
      <c r="R403" s="355" t="s">
        <v>160</v>
      </c>
      <c r="S403" s="360"/>
      <c r="T403" s="355">
        <v>0</v>
      </c>
      <c r="U403" s="355">
        <v>0</v>
      </c>
      <c r="V403" s="355">
        <v>1</v>
      </c>
      <c r="W403" s="361"/>
      <c r="X403" s="361"/>
      <c r="Y403" s="361"/>
    </row>
    <row r="404" spans="1:25" ht="13.2">
      <c r="A404" s="179">
        <v>2</v>
      </c>
      <c r="B404" s="348" t="s">
        <v>5435</v>
      </c>
      <c r="C404" s="25">
        <v>404</v>
      </c>
      <c r="D404" s="26"/>
      <c r="E404" s="25" t="s">
        <v>928</v>
      </c>
      <c r="F404" s="115" t="str">
        <f>HYPERLINK("https://nasional.republika.co.id/berita/q1j3fq414/eks-mahasiswa-jadi-tersangka-pencurian-di-dua-kampus-aceh ","sumber")</f>
        <v>sumber</v>
      </c>
      <c r="G404" s="25" t="s">
        <v>1</v>
      </c>
      <c r="H404" s="349">
        <v>225</v>
      </c>
      <c r="I404" s="26"/>
      <c r="J404" s="26"/>
      <c r="K404" s="124"/>
      <c r="L404" s="26"/>
      <c r="M404" s="26"/>
      <c r="N404" s="26"/>
      <c r="O404" s="26"/>
      <c r="P404" s="26"/>
      <c r="Q404" s="26"/>
      <c r="R404" s="26"/>
      <c r="S404" s="124"/>
      <c r="T404" s="26"/>
      <c r="U404" s="26"/>
      <c r="V404" s="26"/>
      <c r="W404" s="26"/>
      <c r="X404" s="26"/>
      <c r="Y404" s="26"/>
    </row>
    <row r="405" spans="1:25" ht="13.2">
      <c r="A405" s="362">
        <v>1</v>
      </c>
      <c r="B405" s="351" t="s">
        <v>3816</v>
      </c>
      <c r="C405" s="33">
        <v>405</v>
      </c>
      <c r="D405" s="33">
        <v>1</v>
      </c>
      <c r="E405" s="33" t="s">
        <v>861</v>
      </c>
      <c r="F405" s="130" t="str">
        <f>HYPERLINK("https://www.tribunnews.com/internasional/2019/12/25/peringkat-kebebasan-beragama-terendah-pakistan-malah-kecam-as","sumber")</f>
        <v>sumber</v>
      </c>
      <c r="G405" s="33" t="s">
        <v>1</v>
      </c>
      <c r="H405" s="352">
        <v>175</v>
      </c>
      <c r="I405" s="33">
        <v>3</v>
      </c>
      <c r="J405" s="33">
        <v>4</v>
      </c>
      <c r="K405" s="131" t="s">
        <v>5436</v>
      </c>
      <c r="L405" s="33">
        <v>0</v>
      </c>
      <c r="M405" s="33">
        <v>0</v>
      </c>
      <c r="N405" s="132">
        <v>0</v>
      </c>
      <c r="O405" s="132">
        <v>0</v>
      </c>
      <c r="P405" s="33">
        <v>0</v>
      </c>
      <c r="Q405" s="33">
        <v>0</v>
      </c>
      <c r="R405" s="33">
        <v>0</v>
      </c>
      <c r="S405" s="133"/>
      <c r="T405" s="33">
        <v>0</v>
      </c>
      <c r="U405" s="33">
        <v>0</v>
      </c>
      <c r="V405" s="33">
        <v>1</v>
      </c>
      <c r="W405" s="24"/>
      <c r="X405" s="24"/>
      <c r="Y405" s="24"/>
    </row>
    <row r="406" spans="1:25" ht="13.2">
      <c r="A406" s="179">
        <v>2</v>
      </c>
      <c r="B406" s="348" t="s">
        <v>5437</v>
      </c>
      <c r="C406" s="25">
        <v>406</v>
      </c>
      <c r="D406" s="26"/>
      <c r="E406" s="25" t="s">
        <v>1044</v>
      </c>
      <c r="F406" s="115" t="str">
        <f>HYPERLINK("https://www.suara.com/news/2019/12/25/182118/besok-bmkg-pantau-gerhana-matahari-cincin-di-gedung-tsunami-aceh ","sumber")</f>
        <v>sumber</v>
      </c>
      <c r="G406" s="25" t="s">
        <v>1</v>
      </c>
      <c r="H406" s="349">
        <v>396</v>
      </c>
      <c r="I406" s="26"/>
      <c r="J406" s="26"/>
      <c r="K406" s="124"/>
      <c r="L406" s="26"/>
      <c r="M406" s="26"/>
      <c r="N406" s="26"/>
      <c r="O406" s="26"/>
      <c r="P406" s="26"/>
      <c r="Q406" s="26"/>
      <c r="R406" s="26"/>
      <c r="S406" s="124"/>
      <c r="T406" s="26"/>
      <c r="U406" s="26"/>
      <c r="V406" s="26"/>
      <c r="W406" s="26"/>
      <c r="X406" s="26"/>
      <c r="Y406" s="26"/>
    </row>
    <row r="407" spans="1:25" ht="13.2">
      <c r="A407" s="353">
        <v>1</v>
      </c>
      <c r="B407" s="354" t="s">
        <v>5438</v>
      </c>
      <c r="C407" s="57">
        <v>407</v>
      </c>
      <c r="D407" s="355">
        <v>8</v>
      </c>
      <c r="E407" s="355" t="s">
        <v>5439</v>
      </c>
      <c r="F407" s="356" t="str">
        <f>HYPERLINK("https://www.suara.com/news/2019/12/26/200624/maruf-jika-rumah-ibadah-telah-penuhi-syarat-tak-boleh-ada-penolakan ","sumber")</f>
        <v>sumber</v>
      </c>
      <c r="G407" s="355" t="s">
        <v>1</v>
      </c>
      <c r="H407" s="357">
        <v>317</v>
      </c>
      <c r="I407" s="355">
        <v>4</v>
      </c>
      <c r="J407" s="355">
        <v>4</v>
      </c>
      <c r="K407" s="358" t="s">
        <v>5440</v>
      </c>
      <c r="L407" s="147">
        <v>0</v>
      </c>
      <c r="M407" s="355">
        <v>0</v>
      </c>
      <c r="N407" s="359">
        <v>0</v>
      </c>
      <c r="O407" s="359">
        <v>0</v>
      </c>
      <c r="P407" s="355">
        <v>0</v>
      </c>
      <c r="Q407" s="355">
        <v>0</v>
      </c>
      <c r="R407" s="355">
        <v>1</v>
      </c>
      <c r="S407" s="360"/>
      <c r="T407" s="355">
        <v>0</v>
      </c>
      <c r="U407" s="355">
        <v>0</v>
      </c>
      <c r="V407" s="355">
        <v>1</v>
      </c>
      <c r="W407" s="361"/>
      <c r="X407" s="361"/>
      <c r="Y407" s="361"/>
    </row>
    <row r="408" spans="1:25" ht="13.2">
      <c r="A408" s="350">
        <v>1</v>
      </c>
      <c r="B408" s="346" t="s">
        <v>5441</v>
      </c>
      <c r="C408" s="57">
        <v>408</v>
      </c>
      <c r="D408" s="57">
        <v>4</v>
      </c>
      <c r="E408" s="57" t="s">
        <v>941</v>
      </c>
      <c r="F408" s="247" t="str">
        <f>HYPERLINK("https://www.liputan6.com/news/read/4144042/haul-gus-dur-hasilkan-10-rekomendasi-berikut-isinya ","sumber")</f>
        <v>sumber</v>
      </c>
      <c r="G408" s="57" t="s">
        <v>1</v>
      </c>
      <c r="H408" s="347">
        <v>450</v>
      </c>
      <c r="I408" s="57">
        <v>3</v>
      </c>
      <c r="J408" s="57">
        <v>4</v>
      </c>
      <c r="K408" s="150" t="s">
        <v>5442</v>
      </c>
      <c r="L408" s="57">
        <v>0</v>
      </c>
      <c r="M408" s="57">
        <v>0</v>
      </c>
      <c r="N408" s="307">
        <v>0</v>
      </c>
      <c r="O408" s="307">
        <v>0</v>
      </c>
      <c r="P408" s="57">
        <v>0</v>
      </c>
      <c r="Q408" s="57">
        <v>0</v>
      </c>
      <c r="R408" s="57">
        <v>0</v>
      </c>
      <c r="S408" s="309"/>
      <c r="T408" s="57">
        <v>0</v>
      </c>
      <c r="U408" s="57">
        <v>0</v>
      </c>
      <c r="V408" s="57">
        <v>1</v>
      </c>
      <c r="W408" s="41"/>
      <c r="X408" s="41"/>
      <c r="Y408" s="41"/>
    </row>
    <row r="409" spans="1:25" ht="13.2">
      <c r="A409" s="353">
        <v>1</v>
      </c>
      <c r="B409" s="354" t="s">
        <v>1781</v>
      </c>
      <c r="C409" s="57">
        <v>409</v>
      </c>
      <c r="D409" s="355">
        <v>10</v>
      </c>
      <c r="E409" s="355" t="s">
        <v>987</v>
      </c>
      <c r="F409" s="356" t="str">
        <f>HYPERLINK("https://dunia.tempo.co/read/1289152/amerika-serang-milisi-iran-di-irak-suriah-pakai-rudal-presisi ","sumber")</f>
        <v>sumber</v>
      </c>
      <c r="G409" s="355" t="s">
        <v>1</v>
      </c>
      <c r="H409" s="357">
        <v>278</v>
      </c>
      <c r="I409" s="355">
        <v>1</v>
      </c>
      <c r="J409" s="355">
        <v>4</v>
      </c>
      <c r="K409" s="354" t="s">
        <v>5443</v>
      </c>
      <c r="L409" s="57">
        <v>0</v>
      </c>
      <c r="M409" s="355">
        <v>0</v>
      </c>
      <c r="N409" s="359">
        <v>0</v>
      </c>
      <c r="O409" s="359">
        <v>0</v>
      </c>
      <c r="P409" s="355">
        <v>0</v>
      </c>
      <c r="Q409" s="355">
        <v>0</v>
      </c>
      <c r="R409" s="355">
        <v>0</v>
      </c>
      <c r="S409" s="360"/>
      <c r="T409" s="355">
        <v>0</v>
      </c>
      <c r="U409" s="355">
        <v>0</v>
      </c>
      <c r="V409" s="355">
        <v>1</v>
      </c>
      <c r="W409" s="361"/>
      <c r="X409" s="361"/>
      <c r="Y409" s="361"/>
    </row>
    <row r="410" spans="1:25" ht="13.2">
      <c r="A410" s="350">
        <v>1</v>
      </c>
      <c r="B410" s="346" t="s">
        <v>5444</v>
      </c>
      <c r="C410" s="57">
        <v>410</v>
      </c>
      <c r="D410" s="57">
        <v>8</v>
      </c>
      <c r="E410" s="57" t="s">
        <v>1056</v>
      </c>
      <c r="F410" s="247" t="str">
        <f>HYPERLINK("https://www.suara.com/news/2019/12/31/082122/mengembalikan-hak-konstitusi-warga-kristiani-melalui-ucapan-selamat-natal ","sumber")</f>
        <v>sumber</v>
      </c>
      <c r="G410" s="57" t="s">
        <v>1</v>
      </c>
      <c r="H410" s="347">
        <v>1515</v>
      </c>
      <c r="I410" s="57">
        <v>3</v>
      </c>
      <c r="J410" s="57">
        <v>4</v>
      </c>
      <c r="K410" s="150" t="s">
        <v>5445</v>
      </c>
      <c r="L410" s="57">
        <v>0</v>
      </c>
      <c r="M410" s="57">
        <v>0</v>
      </c>
      <c r="N410" s="307">
        <v>0</v>
      </c>
      <c r="O410" s="307">
        <v>0</v>
      </c>
      <c r="P410" s="57">
        <v>0</v>
      </c>
      <c r="Q410" s="57" t="s">
        <v>4866</v>
      </c>
      <c r="R410" s="57" t="s">
        <v>360</v>
      </c>
      <c r="S410" s="309"/>
      <c r="T410" s="57">
        <v>0</v>
      </c>
      <c r="U410" s="57">
        <v>0</v>
      </c>
      <c r="V410" s="57">
        <v>1</v>
      </c>
      <c r="W410" s="41"/>
      <c r="X410" s="41"/>
      <c r="Y410" s="41"/>
    </row>
    <row r="411" spans="1:25" ht="13.2">
      <c r="A411" s="353">
        <v>1</v>
      </c>
      <c r="B411" s="354" t="s">
        <v>5446</v>
      </c>
      <c r="C411" s="57">
        <v>411</v>
      </c>
      <c r="D411" s="355">
        <v>2</v>
      </c>
      <c r="E411" s="363">
        <v>43534</v>
      </c>
      <c r="F411" s="356" t="str">
        <f>HYPERLINK("https://www.cnnindonesia.com/hiburan/20191003163937-220-436469/gong-yoo-menangis-usai-baca-naskah-kim-ji-young-born-1982 ","sumber")</f>
        <v>sumber</v>
      </c>
      <c r="G411" s="355" t="s">
        <v>1</v>
      </c>
      <c r="H411" s="357">
        <v>378</v>
      </c>
      <c r="I411" s="355">
        <v>2</v>
      </c>
      <c r="J411" s="355">
        <v>1</v>
      </c>
      <c r="K411" s="358"/>
      <c r="L411" s="355">
        <v>0</v>
      </c>
      <c r="M411" s="355">
        <v>0</v>
      </c>
      <c r="N411" s="359">
        <v>0</v>
      </c>
      <c r="O411" s="359">
        <v>0</v>
      </c>
      <c r="P411" s="355">
        <v>0</v>
      </c>
      <c r="Q411" s="355"/>
      <c r="R411" s="355"/>
      <c r="S411" s="360"/>
      <c r="T411" s="355">
        <v>0</v>
      </c>
      <c r="U411" s="355">
        <v>0</v>
      </c>
      <c r="V411" s="355">
        <v>1</v>
      </c>
      <c r="W411" s="361"/>
      <c r="X411" s="361"/>
      <c r="Y411" s="361"/>
    </row>
    <row r="412" spans="1:25" ht="13.2">
      <c r="A412" s="350">
        <v>1</v>
      </c>
      <c r="B412" s="346" t="s">
        <v>5447</v>
      </c>
      <c r="C412" s="57">
        <v>412</v>
      </c>
      <c r="D412" s="57">
        <v>1</v>
      </c>
      <c r="E412" s="306">
        <v>43565</v>
      </c>
      <c r="F412" s="247" t="str">
        <f>HYPERLINK("https://hot.detik.com/movie/d-4733367/seputar-the-eye-film-horor-yang-dibintangi-jessica-alba ","sumber")</f>
        <v>sumber</v>
      </c>
      <c r="G412" s="57" t="s">
        <v>1</v>
      </c>
      <c r="H412" s="347">
        <v>397</v>
      </c>
      <c r="I412" s="57">
        <v>2</v>
      </c>
      <c r="J412" s="57">
        <v>3</v>
      </c>
      <c r="K412" s="150"/>
      <c r="L412" s="57">
        <v>0</v>
      </c>
      <c r="M412" s="57">
        <v>0</v>
      </c>
      <c r="N412" s="307">
        <v>0</v>
      </c>
      <c r="O412" s="307">
        <v>0</v>
      </c>
      <c r="P412" s="57">
        <v>0</v>
      </c>
      <c r="Q412" s="57"/>
      <c r="R412" s="57"/>
      <c r="S412" s="309"/>
      <c r="T412" s="57">
        <v>0</v>
      </c>
      <c r="U412" s="57">
        <v>0</v>
      </c>
      <c r="V412" s="57">
        <v>1</v>
      </c>
      <c r="W412" s="41"/>
      <c r="X412" s="41"/>
      <c r="Y412" s="41"/>
    </row>
    <row r="413" spans="1:25" ht="13.2">
      <c r="A413" s="362">
        <v>1</v>
      </c>
      <c r="B413" s="351" t="s">
        <v>5448</v>
      </c>
      <c r="C413" s="33">
        <v>413</v>
      </c>
      <c r="D413" s="33">
        <v>4</v>
      </c>
      <c r="E413" s="288">
        <v>43565</v>
      </c>
      <c r="F413" s="130" t="str">
        <f>HYPERLINK("https://www.liputan6.com/health/read/4078473/dulu-orang-dengan-gangguan-jiwa-di-desa-gitik-banyuwangi-dipasung","sumber")</f>
        <v>sumber</v>
      </c>
      <c r="G413" s="33" t="s">
        <v>1</v>
      </c>
      <c r="H413" s="352">
        <v>244</v>
      </c>
      <c r="I413" s="33">
        <v>2</v>
      </c>
      <c r="J413" s="33">
        <v>2</v>
      </c>
      <c r="K413" s="131" t="s">
        <v>5449</v>
      </c>
      <c r="L413" s="33">
        <v>0</v>
      </c>
      <c r="M413" s="33">
        <v>0</v>
      </c>
      <c r="N413" s="132">
        <v>0</v>
      </c>
      <c r="O413" s="132">
        <v>0</v>
      </c>
      <c r="P413" s="33">
        <v>0</v>
      </c>
      <c r="Q413" s="33">
        <v>0</v>
      </c>
      <c r="R413" s="33">
        <v>1</v>
      </c>
      <c r="S413" s="133"/>
      <c r="T413" s="33">
        <v>0</v>
      </c>
      <c r="U413" s="33">
        <v>0</v>
      </c>
      <c r="V413" s="33">
        <v>1</v>
      </c>
      <c r="W413" s="24"/>
      <c r="X413" s="24"/>
      <c r="Y413" s="24"/>
    </row>
    <row r="414" spans="1:25" ht="13.2">
      <c r="A414" s="350">
        <v>1</v>
      </c>
      <c r="B414" s="346" t="s">
        <v>5450</v>
      </c>
      <c r="C414" s="57">
        <v>414</v>
      </c>
      <c r="D414" s="57">
        <v>3</v>
      </c>
      <c r="E414" s="306">
        <v>43565</v>
      </c>
      <c r="F414" s="247" t="str">
        <f>HYPERLINK("https://nasional.okezone.com/read/2019/10/04/337/2112898/mengenal-politik-gagasan-yang-digadang-jadi-akhir-era-pencitraan ","sumber")</f>
        <v>sumber</v>
      </c>
      <c r="G414" s="57" t="s">
        <v>1</v>
      </c>
      <c r="H414" s="347">
        <v>497</v>
      </c>
      <c r="I414" s="57">
        <v>2</v>
      </c>
      <c r="J414" s="57">
        <v>2</v>
      </c>
      <c r="K414" s="150" t="s">
        <v>5451</v>
      </c>
      <c r="L414" s="57">
        <v>0</v>
      </c>
      <c r="M414" s="57">
        <v>0</v>
      </c>
      <c r="N414" s="307">
        <v>0</v>
      </c>
      <c r="O414" s="307">
        <v>0</v>
      </c>
      <c r="P414" s="57">
        <v>0</v>
      </c>
      <c r="Q414" s="57" t="s">
        <v>29</v>
      </c>
      <c r="R414" s="57" t="s">
        <v>160</v>
      </c>
      <c r="S414" s="309"/>
      <c r="T414" s="57">
        <v>0</v>
      </c>
      <c r="U414" s="57">
        <v>0</v>
      </c>
      <c r="V414" s="57">
        <v>1</v>
      </c>
      <c r="W414" s="41"/>
      <c r="X414" s="41"/>
      <c r="Y414" s="41"/>
    </row>
    <row r="415" spans="1:25" ht="16.5" customHeight="1">
      <c r="A415" s="179">
        <v>2</v>
      </c>
      <c r="B415" s="348" t="s">
        <v>5452</v>
      </c>
      <c r="C415" s="25">
        <v>415</v>
      </c>
      <c r="D415" s="26"/>
      <c r="E415" s="234">
        <v>43595</v>
      </c>
      <c r="F415" s="115" t="str">
        <f>HYPERLINK("https://tirto.id/kondisi-surya-anta-dan-lima-mahasiswa-papua-di-tahanan-mako-brimob-ejfA ","sumber")</f>
        <v>sumber</v>
      </c>
      <c r="G415" s="25" t="s">
        <v>1</v>
      </c>
      <c r="H415" s="349">
        <v>551</v>
      </c>
      <c r="I415" s="26"/>
      <c r="J415" s="26"/>
      <c r="K415" s="124"/>
      <c r="L415" s="26"/>
      <c r="M415" s="26"/>
      <c r="N415" s="26"/>
      <c r="O415" s="26"/>
      <c r="P415" s="26"/>
      <c r="Q415" s="26"/>
      <c r="R415" s="26"/>
      <c r="S415" s="124"/>
      <c r="T415" s="26"/>
      <c r="U415" s="26"/>
      <c r="V415" s="26"/>
      <c r="W415" s="26"/>
      <c r="X415" s="26"/>
      <c r="Y415" s="26"/>
    </row>
    <row r="416" spans="1:25" ht="13.2">
      <c r="A416" s="179">
        <v>2</v>
      </c>
      <c r="B416" s="348" t="s">
        <v>5453</v>
      </c>
      <c r="C416" s="25">
        <v>416</v>
      </c>
      <c r="D416" s="26"/>
      <c r="E416" s="234">
        <v>43626</v>
      </c>
      <c r="F416" s="115" t="str">
        <f>HYPERLINK("https://lifestyle.okezone.com/read/2019/10/06/196/2113439/detik-detik-mahasiswi-jatuh-cinta-kepada-dosennya-sendiri ","sumber")</f>
        <v>sumber</v>
      </c>
      <c r="G416" s="25" t="s">
        <v>1</v>
      </c>
      <c r="H416" s="349">
        <v>437</v>
      </c>
      <c r="I416" s="26"/>
      <c r="J416" s="26"/>
      <c r="K416" s="124"/>
      <c r="L416" s="26"/>
      <c r="M416" s="26"/>
      <c r="N416" s="26"/>
      <c r="O416" s="26"/>
      <c r="P416" s="26"/>
      <c r="Q416" s="26"/>
      <c r="R416" s="26"/>
      <c r="S416" s="124"/>
      <c r="T416" s="26"/>
      <c r="U416" s="26"/>
      <c r="V416" s="26"/>
      <c r="W416" s="26"/>
      <c r="X416" s="26"/>
      <c r="Y416" s="26"/>
    </row>
    <row r="417" spans="1:25" ht="13.2">
      <c r="A417" s="362">
        <v>1</v>
      </c>
      <c r="B417" s="351" t="s">
        <v>1795</v>
      </c>
      <c r="C417" s="33">
        <v>417</v>
      </c>
      <c r="D417" s="33">
        <v>10</v>
      </c>
      <c r="E417" s="288">
        <v>43626</v>
      </c>
      <c r="F417" s="130" t="str">
        <f>HYPERLINK("https://difabel.tempo.co/read/1256428/google-tambah-fitur-aksesibilitas-untuk-difabel-gerak-terbatas","sumber")</f>
        <v>sumber</v>
      </c>
      <c r="G417" s="33" t="s">
        <v>1</v>
      </c>
      <c r="H417" s="352">
        <v>220</v>
      </c>
      <c r="I417" s="33">
        <v>4</v>
      </c>
      <c r="J417" s="33">
        <v>2</v>
      </c>
      <c r="K417" s="131" t="s">
        <v>5454</v>
      </c>
      <c r="L417" s="33">
        <v>0</v>
      </c>
      <c r="M417" s="33">
        <v>0</v>
      </c>
      <c r="N417" s="132">
        <v>0</v>
      </c>
      <c r="O417" s="132">
        <v>0</v>
      </c>
      <c r="P417" s="33">
        <v>0</v>
      </c>
      <c r="Q417" s="33">
        <v>0</v>
      </c>
      <c r="R417" s="33">
        <v>1</v>
      </c>
      <c r="S417" s="133"/>
      <c r="T417" s="33">
        <v>0</v>
      </c>
      <c r="U417" s="33">
        <v>0</v>
      </c>
      <c r="V417" s="33">
        <v>1</v>
      </c>
      <c r="W417" s="24"/>
      <c r="X417" s="24"/>
      <c r="Y417" s="24"/>
    </row>
    <row r="418" spans="1:25" ht="13.2">
      <c r="A418" s="350">
        <v>1</v>
      </c>
      <c r="B418" s="346" t="s">
        <v>5455</v>
      </c>
      <c r="C418" s="57">
        <v>418</v>
      </c>
      <c r="D418" s="57">
        <v>6</v>
      </c>
      <c r="E418" s="306">
        <v>43656</v>
      </c>
      <c r="F418" s="247" t="str">
        <f>HYPERLINK("https://money.kompas.com/read/2019/10/07/063400426/bpjs-kesehatan-tanggung-perawatan-penyakit-kejiwaan ","sumber")</f>
        <v>sumber</v>
      </c>
      <c r="G418" s="57" t="s">
        <v>1</v>
      </c>
      <c r="H418" s="347">
        <v>364</v>
      </c>
      <c r="I418" s="57">
        <v>4</v>
      </c>
      <c r="J418" s="57">
        <v>2</v>
      </c>
      <c r="K418" s="150" t="s">
        <v>5456</v>
      </c>
      <c r="L418" s="57">
        <v>0</v>
      </c>
      <c r="M418" s="57">
        <v>0</v>
      </c>
      <c r="N418" s="307">
        <v>0</v>
      </c>
      <c r="O418" s="307">
        <v>0</v>
      </c>
      <c r="P418" s="57">
        <v>0</v>
      </c>
      <c r="Q418" s="57">
        <v>0</v>
      </c>
      <c r="R418" s="57">
        <v>-1</v>
      </c>
      <c r="S418" s="150" t="s">
        <v>5457</v>
      </c>
      <c r="T418" s="57">
        <v>1</v>
      </c>
      <c r="U418" s="57">
        <v>-1</v>
      </c>
      <c r="V418" s="57">
        <v>1</v>
      </c>
      <c r="W418" s="41"/>
      <c r="X418" s="41"/>
      <c r="Y418" s="41"/>
    </row>
    <row r="419" spans="1:25" ht="13.2">
      <c r="A419" s="353">
        <v>1</v>
      </c>
      <c r="B419" s="354" t="s">
        <v>5458</v>
      </c>
      <c r="C419" s="57">
        <v>419</v>
      </c>
      <c r="D419" s="355">
        <v>6</v>
      </c>
      <c r="E419" s="363">
        <v>43718</v>
      </c>
      <c r="F419" s="356" t="str">
        <f>HYPERLINK("https://regional.kompas.com/read/2019/10/09/07400471/modus-cari-jangkrik-seorang-kakek-2-kali-perkosa-siswi-sd ","sumber")</f>
        <v>sumber</v>
      </c>
      <c r="G419" s="355" t="s">
        <v>1</v>
      </c>
      <c r="H419" s="357">
        <v>128</v>
      </c>
      <c r="I419" s="355">
        <v>1</v>
      </c>
      <c r="J419" s="355">
        <v>1</v>
      </c>
      <c r="K419" s="358" t="s">
        <v>5459</v>
      </c>
      <c r="L419" s="355">
        <v>0</v>
      </c>
      <c r="M419" s="355">
        <v>1</v>
      </c>
      <c r="N419" s="359">
        <v>0</v>
      </c>
      <c r="O419" s="355">
        <v>1</v>
      </c>
      <c r="P419" s="355">
        <v>0</v>
      </c>
      <c r="Q419" s="355">
        <v>0</v>
      </c>
      <c r="R419" s="355">
        <v>0</v>
      </c>
      <c r="S419" s="360"/>
      <c r="T419" s="355">
        <v>0</v>
      </c>
      <c r="U419" s="355">
        <v>0</v>
      </c>
      <c r="V419" s="355">
        <v>1</v>
      </c>
      <c r="W419" s="361"/>
      <c r="X419" s="361"/>
      <c r="Y419" s="361"/>
    </row>
    <row r="420" spans="1:25" ht="13.2">
      <c r="A420" s="364">
        <v>2</v>
      </c>
      <c r="B420" s="365" t="s">
        <v>5460</v>
      </c>
      <c r="C420" s="366">
        <v>420</v>
      </c>
      <c r="D420" s="366">
        <v>4</v>
      </c>
      <c r="E420" s="367">
        <v>43718</v>
      </c>
      <c r="F420" s="368" t="str">
        <f>HYPERLINK("https://www.liputan6.com/bisnis/read/4082276/menteri-susi-aneh-penenggelaman-kapal-disebut-bikin-investor-kabur ","sumber")</f>
        <v>sumber</v>
      </c>
      <c r="G420" s="366" t="s">
        <v>1</v>
      </c>
      <c r="H420" s="369">
        <v>560</v>
      </c>
      <c r="I420" s="370"/>
      <c r="J420" s="370"/>
      <c r="K420" s="371"/>
      <c r="L420" s="370"/>
      <c r="M420" s="370"/>
      <c r="N420" s="370"/>
      <c r="O420" s="370"/>
      <c r="P420" s="370"/>
      <c r="Q420" s="370"/>
      <c r="R420" s="370"/>
      <c r="S420" s="371"/>
      <c r="T420" s="370"/>
      <c r="U420" s="370"/>
      <c r="V420" s="370"/>
      <c r="W420" s="370"/>
      <c r="X420" s="370"/>
      <c r="Y420" s="370"/>
    </row>
    <row r="421" spans="1:25" ht="13.2">
      <c r="A421" s="353">
        <v>1</v>
      </c>
      <c r="B421" s="354" t="s">
        <v>896</v>
      </c>
      <c r="C421" s="57">
        <v>421</v>
      </c>
      <c r="D421" s="355">
        <v>9</v>
      </c>
      <c r="E421" s="363">
        <v>43718</v>
      </c>
      <c r="F421" s="356" t="str">
        <f>HYPERLINK("https://nasional.republika.co.id/berita/pz2b5r409/81-persen-kasus-kebutaan-di-indonesia-terjadi-akibat-katarak ","sumber")</f>
        <v>sumber</v>
      </c>
      <c r="G421" s="355" t="s">
        <v>1</v>
      </c>
      <c r="H421" s="357">
        <v>333</v>
      </c>
      <c r="I421" s="355">
        <v>3</v>
      </c>
      <c r="J421" s="355">
        <v>2</v>
      </c>
      <c r="K421" s="358" t="s">
        <v>5461</v>
      </c>
      <c r="L421" s="355">
        <v>0</v>
      </c>
      <c r="M421" s="355">
        <v>0</v>
      </c>
      <c r="N421" s="359">
        <v>0</v>
      </c>
      <c r="O421" s="359">
        <v>0</v>
      </c>
      <c r="P421" s="355">
        <v>0</v>
      </c>
      <c r="Q421" s="355">
        <v>0</v>
      </c>
      <c r="R421" s="355">
        <v>1</v>
      </c>
      <c r="S421" s="360"/>
      <c r="T421" s="355">
        <v>0</v>
      </c>
      <c r="U421" s="355">
        <v>0</v>
      </c>
      <c r="V421" s="355">
        <v>1</v>
      </c>
      <c r="W421" s="361"/>
      <c r="X421" s="361"/>
      <c r="Y421" s="361"/>
    </row>
    <row r="422" spans="1:25" ht="13.2">
      <c r="A422" s="362">
        <v>1</v>
      </c>
      <c r="B422" s="351" t="s">
        <v>5462</v>
      </c>
      <c r="C422" s="33">
        <v>422</v>
      </c>
      <c r="D422" s="33">
        <v>10</v>
      </c>
      <c r="E422" s="288">
        <v>43718</v>
      </c>
      <c r="F422" s="130" t="str">
        <f>HYPERLINK("https://cantik.tempo.co/read/1257649/ibu-hamil-depresi-berisiko-lahirkan-anak-dengan-gangguan-kejiwaan","sumber")</f>
        <v>sumber</v>
      </c>
      <c r="G422" s="33" t="s">
        <v>1</v>
      </c>
      <c r="H422" s="352">
        <v>392</v>
      </c>
      <c r="I422" s="33">
        <v>2</v>
      </c>
      <c r="J422" s="33">
        <v>2</v>
      </c>
      <c r="K422" s="131" t="s">
        <v>5463</v>
      </c>
      <c r="L422" s="33">
        <v>0</v>
      </c>
      <c r="M422" s="33">
        <v>0</v>
      </c>
      <c r="N422" s="132">
        <v>0</v>
      </c>
      <c r="O422" s="132">
        <v>0</v>
      </c>
      <c r="P422" s="33">
        <v>0</v>
      </c>
      <c r="Q422" s="33">
        <v>0</v>
      </c>
      <c r="R422" s="33">
        <v>1</v>
      </c>
      <c r="S422" s="131" t="s">
        <v>4106</v>
      </c>
      <c r="T422" s="33">
        <v>1</v>
      </c>
      <c r="U422" s="33">
        <v>-1</v>
      </c>
      <c r="V422" s="33">
        <v>1</v>
      </c>
      <c r="W422" s="24"/>
      <c r="X422" s="24"/>
      <c r="Y422" s="24"/>
    </row>
    <row r="423" spans="1:25" ht="13.2">
      <c r="A423" s="179">
        <v>2</v>
      </c>
      <c r="B423" s="348" t="s">
        <v>5464</v>
      </c>
      <c r="C423" s="25">
        <v>423</v>
      </c>
      <c r="D423" s="26"/>
      <c r="E423" s="297">
        <v>43748</v>
      </c>
      <c r="F423" s="115" t="str">
        <f>HYPERLINK("https://tirto.id/sinopsis-sin-film-mawar-de-jongh-bryan-domani-tayang-10-oktober-ejvb ","sumber")</f>
        <v>sumber</v>
      </c>
      <c r="G423" s="25" t="s">
        <v>1</v>
      </c>
      <c r="H423" s="349">
        <v>317</v>
      </c>
      <c r="I423" s="26"/>
      <c r="J423" s="26"/>
      <c r="K423" s="124"/>
      <c r="L423" s="26"/>
      <c r="M423" s="26"/>
      <c r="N423" s="26"/>
      <c r="O423" s="26"/>
      <c r="P423" s="26"/>
      <c r="Q423" s="26"/>
      <c r="R423" s="26"/>
      <c r="S423" s="124"/>
      <c r="T423" s="26"/>
      <c r="U423" s="26"/>
      <c r="V423" s="26"/>
      <c r="W423" s="26"/>
      <c r="X423" s="26"/>
      <c r="Y423" s="26"/>
    </row>
    <row r="424" spans="1:25" ht="13.2">
      <c r="A424" s="350">
        <v>1</v>
      </c>
      <c r="B424" s="346" t="s">
        <v>5465</v>
      </c>
      <c r="C424" s="57">
        <v>424</v>
      </c>
      <c r="D424" s="57">
        <v>1</v>
      </c>
      <c r="E424" s="57" t="s">
        <v>904</v>
      </c>
      <c r="F424" s="247" t="str">
        <f>HYPERLINK("https://news.detik.com/berita/d-4790761/polisi-tindaklanjuti-kasus-merkuri-di-sumut-yang-buat-12-anak-lahir-cacat ","sumber")</f>
        <v>sumber</v>
      </c>
      <c r="G424" s="57" t="s">
        <v>1</v>
      </c>
      <c r="H424" s="347">
        <v>169</v>
      </c>
      <c r="I424" s="57">
        <v>1</v>
      </c>
      <c r="J424" s="57">
        <v>2</v>
      </c>
      <c r="K424" s="150" t="s">
        <v>5466</v>
      </c>
      <c r="L424" s="57">
        <v>0</v>
      </c>
      <c r="M424" s="57">
        <v>0</v>
      </c>
      <c r="N424" s="307">
        <v>0</v>
      </c>
      <c r="O424" s="307">
        <v>0</v>
      </c>
      <c r="P424" s="57">
        <v>0</v>
      </c>
      <c r="Q424" s="57">
        <v>0</v>
      </c>
      <c r="R424" s="57">
        <v>1</v>
      </c>
      <c r="S424" s="150" t="s">
        <v>1178</v>
      </c>
      <c r="T424" s="57">
        <v>1</v>
      </c>
      <c r="U424" s="57">
        <v>0</v>
      </c>
      <c r="V424" s="57">
        <v>1</v>
      </c>
      <c r="W424" s="41"/>
      <c r="X424" s="41"/>
      <c r="Y424" s="41"/>
    </row>
    <row r="425" spans="1:25" ht="13.2">
      <c r="A425" s="350">
        <v>1</v>
      </c>
      <c r="B425" s="346" t="s">
        <v>5467</v>
      </c>
      <c r="C425" s="57">
        <v>425</v>
      </c>
      <c r="D425" s="57">
        <v>4</v>
      </c>
      <c r="E425" s="57" t="s">
        <v>850</v>
      </c>
      <c r="F425" s="247" t="str">
        <f>HYPERLINK("https://www.liputan6.com/bisnis/read/4115223/menhub-budi-karya-targetkan-mrt-hi-ancol-rampung-2024 ","sumber")</f>
        <v>sumber</v>
      </c>
      <c r="G425" s="57" t="s">
        <v>1</v>
      </c>
      <c r="H425" s="347">
        <v>1240</v>
      </c>
      <c r="I425" s="57">
        <v>4</v>
      </c>
      <c r="J425" s="57">
        <v>2</v>
      </c>
      <c r="K425" s="150" t="s">
        <v>5468</v>
      </c>
      <c r="L425" s="57">
        <v>0</v>
      </c>
      <c r="M425" s="57">
        <v>0</v>
      </c>
      <c r="N425" s="307">
        <v>0</v>
      </c>
      <c r="O425" s="307">
        <v>0</v>
      </c>
      <c r="P425" s="57">
        <v>0</v>
      </c>
      <c r="Q425" s="57" t="s">
        <v>29</v>
      </c>
      <c r="R425" s="57" t="s">
        <v>182</v>
      </c>
      <c r="S425" s="309"/>
      <c r="T425" s="57">
        <v>0</v>
      </c>
      <c r="U425" s="57">
        <v>0</v>
      </c>
      <c r="V425" s="57">
        <v>1</v>
      </c>
      <c r="W425" s="41"/>
      <c r="X425" s="41"/>
      <c r="Y425" s="41"/>
    </row>
    <row r="426" spans="1:25" ht="13.2">
      <c r="A426" s="350">
        <v>1</v>
      </c>
      <c r="B426" s="346" t="s">
        <v>5469</v>
      </c>
      <c r="C426" s="57">
        <v>426</v>
      </c>
      <c r="D426" s="57">
        <v>6</v>
      </c>
      <c r="E426" s="57" t="s">
        <v>912</v>
      </c>
      <c r="F426" s="247" t="str">
        <f>HYPERLINK("https://lifestyle.kompas.com/read/2019/11/21/123720920/jeli-menemukan-dan-mengembangkan-bakat-anak-autisme ","sumber")</f>
        <v>sumber</v>
      </c>
      <c r="G426" s="57" t="s">
        <v>1</v>
      </c>
      <c r="H426" s="347">
        <v>238</v>
      </c>
      <c r="I426" s="57">
        <v>2</v>
      </c>
      <c r="J426" s="57">
        <v>2</v>
      </c>
      <c r="K426" s="150" t="s">
        <v>5470</v>
      </c>
      <c r="L426" s="57">
        <v>0</v>
      </c>
      <c r="M426" s="57">
        <v>0</v>
      </c>
      <c r="N426" s="307">
        <v>0</v>
      </c>
      <c r="O426" s="307">
        <v>0</v>
      </c>
      <c r="P426" s="57">
        <v>0</v>
      </c>
      <c r="Q426" s="57">
        <v>0</v>
      </c>
      <c r="R426" s="57">
        <v>1</v>
      </c>
      <c r="S426" s="309"/>
      <c r="T426" s="57">
        <v>0</v>
      </c>
      <c r="U426" s="57">
        <v>0</v>
      </c>
      <c r="V426" s="57">
        <v>1</v>
      </c>
      <c r="W426" s="41"/>
      <c r="X426" s="41"/>
      <c r="Y426" s="41"/>
    </row>
    <row r="427" spans="1:25" ht="13.2">
      <c r="A427" s="179">
        <v>2</v>
      </c>
      <c r="B427" s="348" t="s">
        <v>5471</v>
      </c>
      <c r="C427" s="25">
        <v>427</v>
      </c>
      <c r="D427" s="26"/>
      <c r="E427" s="25" t="s">
        <v>912</v>
      </c>
      <c r="F427" s="115" t="str">
        <f>HYPERLINK("https://hot.liputan6.com/read/4116129/kumpulan-gambar-kata-kata-lucu-gokil-yang-bikin-ketawa-ngakak ","sumber")</f>
        <v>sumber</v>
      </c>
      <c r="G427" s="25" t="s">
        <v>1</v>
      </c>
      <c r="H427" s="349">
        <v>669</v>
      </c>
      <c r="I427" s="26"/>
      <c r="J427" s="26"/>
      <c r="K427" s="124"/>
      <c r="L427" s="26"/>
      <c r="M427" s="26"/>
      <c r="N427" s="26"/>
      <c r="O427" s="26"/>
      <c r="P427" s="26"/>
      <c r="Q427" s="26"/>
      <c r="R427" s="26"/>
      <c r="S427" s="124"/>
      <c r="T427" s="26"/>
      <c r="U427" s="26"/>
      <c r="V427" s="26"/>
      <c r="W427" s="26"/>
      <c r="X427" s="26"/>
      <c r="Y427" s="26"/>
    </row>
    <row r="428" spans="1:25" ht="13.2">
      <c r="A428" s="350">
        <v>1</v>
      </c>
      <c r="B428" s="346" t="s">
        <v>5472</v>
      </c>
      <c r="C428" s="57">
        <v>428</v>
      </c>
      <c r="D428" s="57">
        <v>10</v>
      </c>
      <c r="E428" s="57" t="s">
        <v>912</v>
      </c>
      <c r="F428" s="247" t="str">
        <f>HYPERLINK("https://nasional.tempo.co/read/1275066/jokowi-tunjuk-insan-tuli-angkie-yudistia-jadi-juru-bicara ","sumber")</f>
        <v>sumber</v>
      </c>
      <c r="G428" s="57" t="s">
        <v>1</v>
      </c>
      <c r="H428" s="347">
        <v>289</v>
      </c>
      <c r="I428" s="57">
        <v>4</v>
      </c>
      <c r="J428" s="57">
        <v>2</v>
      </c>
      <c r="K428" s="150" t="s">
        <v>5473</v>
      </c>
      <c r="L428" s="57">
        <v>0</v>
      </c>
      <c r="M428" s="57">
        <v>0</v>
      </c>
      <c r="N428" s="307">
        <v>0</v>
      </c>
      <c r="O428" s="307">
        <v>0</v>
      </c>
      <c r="P428" s="57">
        <v>0</v>
      </c>
      <c r="Q428" s="57" t="s">
        <v>87</v>
      </c>
      <c r="R428" s="57" t="s">
        <v>160</v>
      </c>
      <c r="S428" s="309"/>
      <c r="T428" s="57">
        <v>0</v>
      </c>
      <c r="U428" s="57">
        <v>0</v>
      </c>
      <c r="V428" s="57">
        <v>1</v>
      </c>
      <c r="W428" s="41"/>
      <c r="X428" s="41"/>
      <c r="Y428" s="41"/>
    </row>
    <row r="429" spans="1:25" ht="13.2">
      <c r="A429" s="362">
        <v>1</v>
      </c>
      <c r="B429" s="351" t="s">
        <v>5474</v>
      </c>
      <c r="C429" s="33">
        <v>429</v>
      </c>
      <c r="D429" s="33">
        <v>5</v>
      </c>
      <c r="E429" s="33" t="s">
        <v>912</v>
      </c>
      <c r="F429" s="130" t="str">
        <f>HYPERLINK("https://tirto.id/menpanrb-buka-formasi-cpns-khusus-difabel-el34","sumber")</f>
        <v>sumber</v>
      </c>
      <c r="G429" s="33" t="s">
        <v>1</v>
      </c>
      <c r="H429" s="352">
        <v>685</v>
      </c>
      <c r="I429" s="33">
        <v>4</v>
      </c>
      <c r="J429" s="33">
        <v>2</v>
      </c>
      <c r="K429" s="131" t="s">
        <v>5475</v>
      </c>
      <c r="L429" s="33">
        <v>0</v>
      </c>
      <c r="M429" s="33">
        <v>0</v>
      </c>
      <c r="N429" s="132">
        <v>0</v>
      </c>
      <c r="O429" s="132">
        <v>0</v>
      </c>
      <c r="P429" s="33">
        <v>0</v>
      </c>
      <c r="Q429" s="33">
        <v>0</v>
      </c>
      <c r="R429" s="33">
        <v>1</v>
      </c>
      <c r="S429" s="133"/>
      <c r="T429" s="33">
        <v>0</v>
      </c>
      <c r="U429" s="33">
        <v>0</v>
      </c>
      <c r="V429" s="33">
        <v>1</v>
      </c>
      <c r="W429" s="24"/>
      <c r="X429" s="24"/>
      <c r="Y429" s="24"/>
    </row>
    <row r="430" spans="1:25" ht="13.2">
      <c r="A430" s="350">
        <v>1</v>
      </c>
      <c r="B430" s="346" t="s">
        <v>5476</v>
      </c>
      <c r="C430" s="57">
        <v>430</v>
      </c>
      <c r="D430" s="57">
        <v>9</v>
      </c>
      <c r="E430" s="57" t="s">
        <v>852</v>
      </c>
      <c r="F430" s="247" t="str">
        <f>HYPERLINK("https://bola.republika.co.id/berita/q1bv4o438/karisma-evi-penyandang-difabel-yang-ukir-prestasi-dunia ","sumber")</f>
        <v>sumber</v>
      </c>
      <c r="G430" s="57" t="s">
        <v>1</v>
      </c>
      <c r="H430" s="347">
        <v>548</v>
      </c>
      <c r="I430" s="57">
        <v>2</v>
      </c>
      <c r="J430" s="57">
        <v>2</v>
      </c>
      <c r="K430" s="150" t="s">
        <v>5477</v>
      </c>
      <c r="L430" s="57">
        <v>0</v>
      </c>
      <c r="M430" s="57">
        <v>0</v>
      </c>
      <c r="N430" s="307">
        <v>0</v>
      </c>
      <c r="O430" s="307">
        <v>0</v>
      </c>
      <c r="P430" s="57">
        <v>0</v>
      </c>
      <c r="Q430" s="57">
        <v>2</v>
      </c>
      <c r="R430" s="57">
        <v>1</v>
      </c>
      <c r="S430" s="309"/>
      <c r="T430" s="57">
        <v>0</v>
      </c>
      <c r="U430" s="57">
        <v>0</v>
      </c>
      <c r="V430" s="57">
        <v>1</v>
      </c>
      <c r="W430" s="41"/>
      <c r="X430" s="41"/>
      <c r="Y430" s="41"/>
    </row>
    <row r="431" spans="1:25" ht="13.2">
      <c r="A431" s="179">
        <v>2</v>
      </c>
      <c r="B431" s="348" t="s">
        <v>5478</v>
      </c>
      <c r="C431" s="25">
        <v>431</v>
      </c>
      <c r="D431" s="26"/>
      <c r="E431" s="25" t="s">
        <v>852</v>
      </c>
      <c r="F431" s="115" t="str">
        <f>HYPERLINK("https://dunia.tempo.co/read/1275400/murid-sma-di-amerika-lakukan-penembakan-dengan-senjata-rakitan ","sumber")</f>
        <v>sumber</v>
      </c>
      <c r="G431" s="25" t="s">
        <v>1</v>
      </c>
      <c r="H431" s="349">
        <v>302</v>
      </c>
      <c r="I431" s="26"/>
      <c r="J431" s="26"/>
      <c r="K431" s="124"/>
      <c r="L431" s="26"/>
      <c r="M431" s="26"/>
      <c r="N431" s="26"/>
      <c r="O431" s="26"/>
      <c r="P431" s="26"/>
      <c r="Q431" s="26"/>
      <c r="R431" s="26"/>
      <c r="S431" s="124"/>
      <c r="T431" s="26"/>
      <c r="U431" s="26"/>
      <c r="V431" s="26"/>
      <c r="W431" s="26"/>
      <c r="X431" s="26"/>
      <c r="Y431" s="26"/>
    </row>
    <row r="432" spans="1:25" ht="13.2">
      <c r="A432" s="179">
        <v>2</v>
      </c>
      <c r="B432" s="348" t="s">
        <v>4687</v>
      </c>
      <c r="C432" s="25">
        <v>432</v>
      </c>
      <c r="D432" s="26"/>
      <c r="E432" s="25" t="s">
        <v>918</v>
      </c>
      <c r="F432" s="115" t="str">
        <f>HYPERLINK("https://www.liputan6.com/global/read/4117145/bahan-makanan-warga-jawa-timur-tercemar-limbah-plastik-australia-jadi-sorotan ","sumber")</f>
        <v>sumber</v>
      </c>
      <c r="G432" s="25" t="s">
        <v>1</v>
      </c>
      <c r="H432" s="349">
        <v>808</v>
      </c>
      <c r="I432" s="26"/>
      <c r="J432" s="26"/>
      <c r="K432" s="124"/>
      <c r="L432" s="26"/>
      <c r="M432" s="26"/>
      <c r="N432" s="26"/>
      <c r="O432" s="26"/>
      <c r="P432" s="26"/>
      <c r="Q432" s="26"/>
      <c r="R432" s="26"/>
      <c r="S432" s="124"/>
      <c r="T432" s="26"/>
      <c r="U432" s="26"/>
      <c r="V432" s="26"/>
      <c r="W432" s="26"/>
      <c r="X432" s="26"/>
      <c r="Y432" s="26"/>
    </row>
    <row r="433" spans="1:25" ht="13.2">
      <c r="A433" s="362">
        <v>1</v>
      </c>
      <c r="B433" s="351" t="s">
        <v>5479</v>
      </c>
      <c r="C433" s="33">
        <v>433</v>
      </c>
      <c r="D433" s="33">
        <v>7</v>
      </c>
      <c r="E433" s="33" t="s">
        <v>918</v>
      </c>
      <c r="F433" s="130" t="str">
        <f>HYPERLINK("https://www.tribunnews.com/internasional/2019/11/23/911-sempat-abaikan-perempuan-yang-pesan-pizza-akhirnya-selamatkan-ibu-yang-jadi-korban-kdrt","sumber")</f>
        <v>sumber</v>
      </c>
      <c r="G433" s="33" t="s">
        <v>1</v>
      </c>
      <c r="H433" s="352">
        <v>189</v>
      </c>
      <c r="I433" s="33">
        <v>2</v>
      </c>
      <c r="J433" s="33">
        <v>1</v>
      </c>
      <c r="K433" s="131"/>
      <c r="L433" s="33">
        <v>0</v>
      </c>
      <c r="M433" s="33">
        <v>0</v>
      </c>
      <c r="N433" s="132">
        <v>0</v>
      </c>
      <c r="O433" s="132">
        <v>0</v>
      </c>
      <c r="P433" s="33">
        <v>0</v>
      </c>
      <c r="Q433" s="33"/>
      <c r="R433" s="33"/>
      <c r="S433" s="133"/>
      <c r="T433" s="33">
        <v>0</v>
      </c>
      <c r="U433" s="33">
        <v>0</v>
      </c>
      <c r="V433" s="33">
        <v>1</v>
      </c>
      <c r="W433" s="24"/>
      <c r="X433" s="24"/>
      <c r="Y433" s="24"/>
    </row>
    <row r="434" spans="1:25" ht="13.2">
      <c r="A434" s="179">
        <v>2</v>
      </c>
      <c r="B434" s="348" t="s">
        <v>5480</v>
      </c>
      <c r="C434" s="25">
        <v>434</v>
      </c>
      <c r="D434" s="26"/>
      <c r="E434" s="25" t="s">
        <v>926</v>
      </c>
      <c r="F434" s="115" t="str">
        <f>HYPERLINK("https://khazanah.republika.co.id/berita/q1gtab313/menjadi-imam-shalat-apa-kriterianya ","sumber")</f>
        <v>sumber</v>
      </c>
      <c r="G434" s="25" t="s">
        <v>1</v>
      </c>
      <c r="H434" s="349">
        <v>721</v>
      </c>
      <c r="I434" s="26"/>
      <c r="J434" s="26"/>
      <c r="K434" s="124"/>
      <c r="L434" s="26"/>
      <c r="M434" s="26"/>
      <c r="N434" s="26"/>
      <c r="O434" s="26"/>
      <c r="P434" s="26"/>
      <c r="Q434" s="26"/>
      <c r="R434" s="26"/>
      <c r="S434" s="124"/>
      <c r="T434" s="26"/>
      <c r="U434" s="26"/>
      <c r="V434" s="26"/>
      <c r="W434" s="26"/>
      <c r="X434" s="26"/>
      <c r="Y434" s="26"/>
    </row>
    <row r="435" spans="1:25" ht="13.2">
      <c r="A435" s="179">
        <v>2</v>
      </c>
      <c r="B435" s="348" t="s">
        <v>5481</v>
      </c>
      <c r="C435" s="25">
        <v>435</v>
      </c>
      <c r="D435" s="26"/>
      <c r="E435" s="25" t="s">
        <v>926</v>
      </c>
      <c r="F435" s="115" t="str">
        <f>HYPERLINK("https://tirto.id/apakah-vagabond-ada-season-2-usai-episode-16-raih-rating-tinggi-emeG ","sumber")</f>
        <v>sumber</v>
      </c>
      <c r="G435" s="25" t="s">
        <v>1</v>
      </c>
      <c r="H435" s="349">
        <v>485</v>
      </c>
      <c r="I435" s="26"/>
      <c r="J435" s="26"/>
      <c r="K435" s="124"/>
      <c r="L435" s="26"/>
      <c r="M435" s="26"/>
      <c r="N435" s="26"/>
      <c r="O435" s="26"/>
      <c r="P435" s="26"/>
      <c r="Q435" s="26"/>
      <c r="R435" s="26"/>
      <c r="S435" s="124"/>
      <c r="T435" s="26"/>
      <c r="U435" s="26"/>
      <c r="V435" s="26"/>
      <c r="W435" s="26"/>
      <c r="X435" s="26"/>
      <c r="Y435" s="26"/>
    </row>
    <row r="436" spans="1:25" ht="13.2">
      <c r="A436" s="179">
        <v>2</v>
      </c>
      <c r="B436" s="348" t="s">
        <v>5482</v>
      </c>
      <c r="C436" s="25">
        <v>436</v>
      </c>
      <c r="D436" s="26"/>
      <c r="E436" s="297">
        <v>43811</v>
      </c>
      <c r="F436" s="115" t="str">
        <f>HYPERLINK("https://www.cnnindonesia.com/olahraga/20191212195653-142-456501/ronaldo-bentak-fan-penyusup-di-liga-champions ","sumber")</f>
        <v>sumber</v>
      </c>
      <c r="G436" s="25" t="s">
        <v>1</v>
      </c>
      <c r="H436" s="349">
        <v>249</v>
      </c>
      <c r="I436" s="26"/>
      <c r="J436" s="26"/>
      <c r="K436" s="124"/>
      <c r="L436" s="26"/>
      <c r="M436" s="26"/>
      <c r="N436" s="26"/>
      <c r="O436" s="26"/>
      <c r="P436" s="26"/>
      <c r="Q436" s="26"/>
      <c r="R436" s="26"/>
      <c r="S436" s="124"/>
      <c r="T436" s="26"/>
      <c r="U436" s="26"/>
      <c r="V436" s="26"/>
      <c r="W436" s="26"/>
      <c r="X436" s="26"/>
      <c r="Y436" s="26"/>
    </row>
    <row r="437" spans="1:25" ht="13.2">
      <c r="A437" s="353">
        <v>1</v>
      </c>
      <c r="B437" s="354" t="s">
        <v>5483</v>
      </c>
      <c r="C437" s="57">
        <v>437</v>
      </c>
      <c r="D437" s="355">
        <v>8</v>
      </c>
      <c r="E437" s="355" t="s">
        <v>4742</v>
      </c>
      <c r="F437" s="356" t="str">
        <f>HYPERLINK("https://www.suara.com/lifestyle/2019/12/13/142610/menolak-dikasihani-penjual-makanan-berkursi-roda-saya-bukan-pengemis ","sumber")</f>
        <v>sumber</v>
      </c>
      <c r="G437" s="355" t="s">
        <v>1</v>
      </c>
      <c r="H437" s="357">
        <v>171</v>
      </c>
      <c r="I437" s="355">
        <v>2</v>
      </c>
      <c r="J437" s="355">
        <v>2</v>
      </c>
      <c r="K437" s="358"/>
      <c r="L437" s="355">
        <v>0</v>
      </c>
      <c r="M437" s="355">
        <v>0</v>
      </c>
      <c r="N437" s="359">
        <v>0</v>
      </c>
      <c r="O437" s="359">
        <v>0</v>
      </c>
      <c r="P437" s="355">
        <v>0</v>
      </c>
      <c r="Q437" s="355"/>
      <c r="R437" s="355"/>
      <c r="S437" s="360"/>
      <c r="T437" s="355">
        <v>0</v>
      </c>
      <c r="U437" s="355">
        <v>0</v>
      </c>
      <c r="V437" s="355">
        <v>0</v>
      </c>
      <c r="W437" s="361"/>
      <c r="X437" s="361"/>
      <c r="Y437" s="361"/>
    </row>
    <row r="438" spans="1:25" ht="13.2">
      <c r="A438" s="362">
        <v>1</v>
      </c>
      <c r="B438" s="351" t="s">
        <v>5484</v>
      </c>
      <c r="C438" s="33">
        <v>438</v>
      </c>
      <c r="D438" s="33">
        <v>4</v>
      </c>
      <c r="E438" s="33" t="s">
        <v>938</v>
      </c>
      <c r="F438" s="130" t="str">
        <f>HYPERLINK("https://www.liputan6.com/health/read/4138750/penyandang-autisme-memiliki-kesehatan-yang-rentan","sumber")</f>
        <v>sumber</v>
      </c>
      <c r="G438" s="33" t="s">
        <v>1</v>
      </c>
      <c r="H438" s="352">
        <v>868</v>
      </c>
      <c r="I438" s="33">
        <v>2</v>
      </c>
      <c r="J438" s="33">
        <v>2</v>
      </c>
      <c r="K438" s="131" t="s">
        <v>5485</v>
      </c>
      <c r="L438" s="33">
        <v>0</v>
      </c>
      <c r="M438" s="33">
        <v>0</v>
      </c>
      <c r="N438" s="132">
        <v>0</v>
      </c>
      <c r="O438" s="132">
        <v>0</v>
      </c>
      <c r="P438" s="33">
        <v>0</v>
      </c>
      <c r="Q438" s="33">
        <v>0</v>
      </c>
      <c r="R438" s="33">
        <v>0</v>
      </c>
      <c r="S438" s="133"/>
      <c r="T438" s="33">
        <v>0</v>
      </c>
      <c r="U438" s="33">
        <v>0</v>
      </c>
      <c r="V438" s="33">
        <v>0</v>
      </c>
      <c r="W438" s="24"/>
      <c r="X438" s="24"/>
      <c r="Y438" s="24"/>
    </row>
    <row r="439" spans="1:25" ht="13.2">
      <c r="A439" s="353">
        <v>1</v>
      </c>
      <c r="B439" s="354" t="s">
        <v>3867</v>
      </c>
      <c r="C439" s="57">
        <v>439</v>
      </c>
      <c r="D439" s="355">
        <v>1</v>
      </c>
      <c r="E439" s="355" t="s">
        <v>4746</v>
      </c>
      <c r="F439" s="356" t="str">
        <f>HYPERLINK("https://hot.detik.com/art/d-4824356/seniman-perempuan-irak-bangkit-bikin-mural-di-tembok-baghdad ","sumber")</f>
        <v>sumber</v>
      </c>
      <c r="G439" s="355" t="s">
        <v>1</v>
      </c>
      <c r="H439" s="357">
        <v>1883</v>
      </c>
      <c r="I439" s="355">
        <v>2</v>
      </c>
      <c r="J439" s="355">
        <v>1</v>
      </c>
      <c r="K439" s="358"/>
      <c r="L439" s="355">
        <v>0</v>
      </c>
      <c r="M439" s="355">
        <v>0</v>
      </c>
      <c r="N439" s="359">
        <v>0</v>
      </c>
      <c r="O439" s="359">
        <v>0</v>
      </c>
      <c r="P439" s="355">
        <v>0</v>
      </c>
      <c r="Q439" s="355"/>
      <c r="R439" s="355"/>
      <c r="S439" s="360"/>
      <c r="T439" s="355">
        <v>0</v>
      </c>
      <c r="U439" s="355">
        <v>0</v>
      </c>
      <c r="V439" s="355">
        <v>1</v>
      </c>
      <c r="W439" s="361"/>
      <c r="X439" s="361"/>
      <c r="Y439" s="361"/>
    </row>
    <row r="440" spans="1:25" ht="13.2">
      <c r="A440" s="362">
        <v>1</v>
      </c>
      <c r="B440" s="351" t="s">
        <v>5486</v>
      </c>
      <c r="C440" s="33">
        <v>440</v>
      </c>
      <c r="D440" s="33">
        <v>1</v>
      </c>
      <c r="E440" s="33" t="s">
        <v>875</v>
      </c>
      <c r="F440" s="130" t="str">
        <f>HYPERLINK("https://sport.detik.com/sport-lain/d-4826645/bonus-dari-pemkab-batal-cair-8-atlet-difabel-cianjur-pindah-daerah","sumber")</f>
        <v>sumber</v>
      </c>
      <c r="G440" s="33" t="s">
        <v>1</v>
      </c>
      <c r="H440" s="352">
        <v>225</v>
      </c>
      <c r="I440" s="33">
        <v>2</v>
      </c>
      <c r="J440" s="33">
        <v>2</v>
      </c>
      <c r="K440" s="131" t="s">
        <v>5487</v>
      </c>
      <c r="L440" s="33">
        <v>0</v>
      </c>
      <c r="M440" s="33">
        <v>0</v>
      </c>
      <c r="N440" s="132">
        <v>0</v>
      </c>
      <c r="O440" s="132">
        <v>0</v>
      </c>
      <c r="P440" s="33">
        <v>0</v>
      </c>
      <c r="Q440" s="33">
        <v>0</v>
      </c>
      <c r="R440" s="33">
        <v>1</v>
      </c>
      <c r="S440" s="133"/>
      <c r="T440" s="33">
        <v>0</v>
      </c>
      <c r="U440" s="33">
        <v>0</v>
      </c>
      <c r="V440" s="33">
        <v>1</v>
      </c>
      <c r="W440" s="24"/>
      <c r="X440" s="24"/>
      <c r="Y440" s="24"/>
    </row>
    <row r="441" spans="1:25" ht="13.2">
      <c r="A441" s="362">
        <v>1</v>
      </c>
      <c r="B441" s="351" t="s">
        <v>5488</v>
      </c>
      <c r="C441" s="33">
        <v>441</v>
      </c>
      <c r="D441" s="33">
        <v>9</v>
      </c>
      <c r="E441" s="33" t="s">
        <v>861</v>
      </c>
      <c r="F441" s="130" t="str">
        <f>HYPERLINK("https://republika.co.id/berita/q329lh366/wanita-dengan-gangguan-jiwa-ditemukan-tenggelam","sumber")</f>
        <v>sumber</v>
      </c>
      <c r="G441" s="33" t="s">
        <v>1</v>
      </c>
      <c r="H441" s="352">
        <v>162</v>
      </c>
      <c r="I441" s="33">
        <v>2</v>
      </c>
      <c r="J441" s="33">
        <v>2</v>
      </c>
      <c r="K441" s="131" t="s">
        <v>5489</v>
      </c>
      <c r="L441" s="33">
        <v>0</v>
      </c>
      <c r="M441" s="33">
        <v>0</v>
      </c>
      <c r="N441" s="132">
        <v>0</v>
      </c>
      <c r="O441" s="132">
        <v>0</v>
      </c>
      <c r="P441" s="33">
        <v>0</v>
      </c>
      <c r="Q441" s="33" t="s">
        <v>29</v>
      </c>
      <c r="R441" s="33" t="s">
        <v>653</v>
      </c>
      <c r="S441" s="131" t="s">
        <v>5490</v>
      </c>
      <c r="T441" s="33">
        <v>2</v>
      </c>
      <c r="U441" s="33">
        <v>-1</v>
      </c>
      <c r="V441" s="33">
        <v>0</v>
      </c>
      <c r="W441" s="24"/>
      <c r="X441" s="24"/>
      <c r="Y441" s="24"/>
    </row>
    <row r="442" spans="1:25" ht="13.2">
      <c r="A442" s="350">
        <v>1</v>
      </c>
      <c r="B442" s="346" t="s">
        <v>5491</v>
      </c>
      <c r="C442" s="57">
        <v>442</v>
      </c>
      <c r="D442" s="57">
        <v>2</v>
      </c>
      <c r="E442" s="57" t="s">
        <v>864</v>
      </c>
      <c r="F442" s="247" t="str">
        <f>HYPERLINK("https://www.cnnindonesia.com/gaya-hidup/20191218144122-277-458053/miss-universe-2019-sempat-tak-pede-saat-tampil ","sumber")</f>
        <v>sumber</v>
      </c>
      <c r="G442" s="57" t="s">
        <v>1</v>
      </c>
      <c r="H442" s="347">
        <v>392</v>
      </c>
      <c r="I442" s="57">
        <v>2</v>
      </c>
      <c r="J442" s="57">
        <v>2</v>
      </c>
      <c r="K442" s="150" t="s">
        <v>5492</v>
      </c>
      <c r="L442" s="57">
        <v>0</v>
      </c>
      <c r="M442" s="57">
        <v>0</v>
      </c>
      <c r="N442" s="307">
        <v>0</v>
      </c>
      <c r="O442" s="307">
        <v>0</v>
      </c>
      <c r="P442" s="57">
        <v>0</v>
      </c>
      <c r="Q442" s="57">
        <v>2</v>
      </c>
      <c r="R442" s="57">
        <v>1</v>
      </c>
      <c r="S442" s="150" t="s">
        <v>5490</v>
      </c>
      <c r="T442" s="57">
        <v>2</v>
      </c>
      <c r="U442" s="57">
        <v>-1</v>
      </c>
      <c r="V442" s="57">
        <v>0</v>
      </c>
      <c r="W442" s="41"/>
      <c r="X442" s="41"/>
      <c r="Y442" s="41"/>
    </row>
    <row r="443" spans="1:25" ht="13.2">
      <c r="A443" s="353">
        <v>1</v>
      </c>
      <c r="B443" s="354" t="s">
        <v>2724</v>
      </c>
      <c r="C443" s="57">
        <v>443</v>
      </c>
      <c r="D443" s="355">
        <v>9</v>
      </c>
      <c r="E443" s="355" t="s">
        <v>864</v>
      </c>
      <c r="F443" s="356" t="str">
        <f>HYPERLINK("https://nasional.republika.co.id/berita/q2taox409/perusak-quran-jadi-tersangka-didiagnosis-idap-skizofrenia ","sumber")</f>
        <v>sumber</v>
      </c>
      <c r="G443" s="355" t="s">
        <v>1</v>
      </c>
      <c r="H443" s="357">
        <v>9</v>
      </c>
      <c r="I443" s="355">
        <v>1</v>
      </c>
      <c r="J443" s="355">
        <v>2</v>
      </c>
      <c r="K443" s="358" t="s">
        <v>5493</v>
      </c>
      <c r="L443" s="355">
        <v>0</v>
      </c>
      <c r="M443" s="355">
        <v>0</v>
      </c>
      <c r="N443" s="359">
        <v>0</v>
      </c>
      <c r="O443" s="359">
        <v>0</v>
      </c>
      <c r="P443" s="355">
        <v>0</v>
      </c>
      <c r="Q443" s="355" t="s">
        <v>21</v>
      </c>
      <c r="R443" s="355" t="s">
        <v>2195</v>
      </c>
      <c r="S443" s="358" t="s">
        <v>5490</v>
      </c>
      <c r="T443" s="355">
        <v>2</v>
      </c>
      <c r="U443" s="355">
        <v>0</v>
      </c>
      <c r="V443" s="355">
        <v>0</v>
      </c>
      <c r="W443" s="361"/>
      <c r="X443" s="361"/>
      <c r="Y443" s="361"/>
    </row>
    <row r="444" spans="1:25" ht="14.4">
      <c r="A444" s="211">
        <v>1</v>
      </c>
      <c r="B444" s="46" t="s">
        <v>5494</v>
      </c>
      <c r="C444" s="33">
        <v>444</v>
      </c>
      <c r="D444" s="33">
        <v>2</v>
      </c>
      <c r="E444" s="33" t="s">
        <v>867</v>
      </c>
      <c r="F444" s="130" t="str">
        <f>HYPERLINK("https://www.cnnindonesia.com/olahraga/20191220181755-178-458793/filipina-tunda-asean-para-games-menjadi-maret-2020 ","sumber")</f>
        <v>sumber</v>
      </c>
      <c r="G444" s="33" t="s">
        <v>1</v>
      </c>
      <c r="H444" s="352">
        <v>355</v>
      </c>
      <c r="I444" s="33">
        <v>3</v>
      </c>
      <c r="J444" s="33">
        <v>2</v>
      </c>
      <c r="K444" s="131" t="s">
        <v>5495</v>
      </c>
      <c r="L444" s="33">
        <v>0</v>
      </c>
      <c r="M444" s="33">
        <v>0</v>
      </c>
      <c r="N444" s="33">
        <v>0</v>
      </c>
      <c r="O444" s="33">
        <v>0</v>
      </c>
      <c r="P444" s="33">
        <v>0</v>
      </c>
      <c r="Q444" s="33" t="s">
        <v>29</v>
      </c>
      <c r="R444" s="33" t="s">
        <v>29</v>
      </c>
      <c r="S444" s="133"/>
      <c r="T444" s="33">
        <v>0</v>
      </c>
      <c r="U444" s="33">
        <v>0</v>
      </c>
      <c r="V444" s="33">
        <v>0</v>
      </c>
      <c r="W444" s="24"/>
      <c r="X444" s="24"/>
      <c r="Y444" s="24"/>
    </row>
    <row r="445" spans="1:25" ht="13.2">
      <c r="A445" s="179">
        <v>2</v>
      </c>
      <c r="B445" s="348" t="s">
        <v>5496</v>
      </c>
      <c r="C445" s="25">
        <v>445</v>
      </c>
      <c r="D445" s="26"/>
      <c r="E445" s="25" t="s">
        <v>870</v>
      </c>
      <c r="F445" s="115" t="str">
        <f>HYPERLINK("https://www.liputan6.com/showbiz/read/4139743/maudy-ayunda-deg-degan-disuruh-menyanyi-di-meet-and-greet-habibie-amp-ainun-3 ","sumber")</f>
        <v>sumber</v>
      </c>
      <c r="G445" s="25" t="s">
        <v>1</v>
      </c>
      <c r="H445" s="349">
        <v>284</v>
      </c>
      <c r="I445" s="26"/>
      <c r="J445" s="26"/>
      <c r="K445" s="124"/>
      <c r="L445" s="26"/>
      <c r="M445" s="26"/>
      <c r="N445" s="26"/>
      <c r="O445" s="26"/>
      <c r="P445" s="26"/>
      <c r="Q445" s="26"/>
      <c r="R445" s="26"/>
      <c r="S445" s="124"/>
      <c r="T445" s="26"/>
      <c r="U445" s="26"/>
      <c r="V445" s="26"/>
      <c r="W445" s="26"/>
      <c r="X445" s="26"/>
      <c r="Y445" s="26"/>
    </row>
    <row r="446" spans="1:25" ht="13.2">
      <c r="A446" s="362">
        <v>1</v>
      </c>
      <c r="B446" s="351" t="s">
        <v>5497</v>
      </c>
      <c r="C446" s="33">
        <v>446</v>
      </c>
      <c r="D446" s="33">
        <v>8</v>
      </c>
      <c r="E446" s="33" t="s">
        <v>5439</v>
      </c>
      <c r="F446" s="130" t="str">
        <f>HYPERLINK("https://www.suara.com/yoursay/2019/12/19/151548/kurangnya-kesadaran-masyarakat-terhadap-fasilitas-disabilitas","sumber")</f>
        <v>sumber</v>
      </c>
      <c r="G446" s="33" t="s">
        <v>1</v>
      </c>
      <c r="H446" s="352">
        <v>661</v>
      </c>
      <c r="I446" s="33">
        <v>4</v>
      </c>
      <c r="J446" s="33">
        <v>2</v>
      </c>
      <c r="K446" s="131" t="s">
        <v>5498</v>
      </c>
      <c r="L446" s="33">
        <v>0</v>
      </c>
      <c r="M446" s="33">
        <v>0</v>
      </c>
      <c r="N446" s="132">
        <v>0</v>
      </c>
      <c r="O446" s="132">
        <v>0</v>
      </c>
      <c r="P446" s="33">
        <v>0</v>
      </c>
      <c r="Q446" s="33">
        <v>0</v>
      </c>
      <c r="R446" s="33">
        <v>1</v>
      </c>
      <c r="S446" s="133"/>
      <c r="T446" s="33">
        <v>0</v>
      </c>
      <c r="U446" s="33">
        <v>0</v>
      </c>
      <c r="V446" s="33">
        <v>1</v>
      </c>
      <c r="W446" s="24"/>
      <c r="X446" s="24"/>
      <c r="Y446" s="24"/>
    </row>
    <row r="447" spans="1:25" ht="13.2">
      <c r="A447" s="353">
        <v>1</v>
      </c>
      <c r="B447" s="354" t="s">
        <v>5499</v>
      </c>
      <c r="C447" s="57">
        <v>447</v>
      </c>
      <c r="D447" s="355">
        <v>1</v>
      </c>
      <c r="E447" s="363">
        <v>43534</v>
      </c>
      <c r="F447" s="356" t="str">
        <f>HYPERLINK("https://hot.detik.com/celeb/d-4732064/seram-dua-hari-usai-bunuh-diri-aktris-ini-berkicau-di-twitter ","sumber")</f>
        <v>sumber</v>
      </c>
      <c r="G447" s="355" t="s">
        <v>1</v>
      </c>
      <c r="H447" s="357">
        <v>1551</v>
      </c>
      <c r="I447" s="355">
        <v>2</v>
      </c>
      <c r="J447" s="355">
        <v>1</v>
      </c>
      <c r="K447" s="358" t="s">
        <v>5500</v>
      </c>
      <c r="L447" s="355">
        <v>0</v>
      </c>
      <c r="M447" s="355">
        <v>0</v>
      </c>
      <c r="N447" s="359">
        <v>0</v>
      </c>
      <c r="O447" s="359">
        <v>0</v>
      </c>
      <c r="P447" s="355">
        <v>0</v>
      </c>
      <c r="Q447" s="355">
        <v>0</v>
      </c>
      <c r="R447" s="355">
        <v>0</v>
      </c>
      <c r="S447" s="360"/>
      <c r="T447" s="355">
        <v>0</v>
      </c>
      <c r="U447" s="355">
        <v>0</v>
      </c>
      <c r="V447" s="355">
        <v>1</v>
      </c>
      <c r="W447" s="361"/>
      <c r="X447" s="361"/>
      <c r="Y447" s="361"/>
    </row>
    <row r="448" spans="1:25" ht="13.2">
      <c r="A448" s="179">
        <v>2</v>
      </c>
      <c r="B448" s="348" t="s">
        <v>1850</v>
      </c>
      <c r="C448" s="25">
        <v>448</v>
      </c>
      <c r="D448" s="26"/>
      <c r="E448" s="234">
        <v>43534</v>
      </c>
      <c r="F448" s="115" t="str">
        <f>HYPERLINK("https://www.liputan6.com/showbiz/read/4077715/sebelum-joaquin-phoenix-joker-diperankan-3-aktor-kaliber-oscar-ini ","sumber")</f>
        <v>sumber</v>
      </c>
      <c r="G448" s="25" t="s">
        <v>1</v>
      </c>
      <c r="H448" s="349">
        <v>418</v>
      </c>
      <c r="I448" s="26"/>
      <c r="J448" s="26"/>
      <c r="K448" s="124"/>
      <c r="L448" s="26"/>
      <c r="M448" s="26"/>
      <c r="N448" s="26"/>
      <c r="O448" s="26"/>
      <c r="P448" s="26"/>
      <c r="Q448" s="26"/>
      <c r="R448" s="26"/>
      <c r="S448" s="124"/>
      <c r="T448" s="26"/>
      <c r="U448" s="26"/>
      <c r="V448" s="26"/>
      <c r="W448" s="26"/>
      <c r="X448" s="26"/>
      <c r="Y448" s="26"/>
    </row>
    <row r="449" spans="1:25" ht="13.2">
      <c r="A449" s="362">
        <v>1</v>
      </c>
      <c r="B449" s="351" t="s">
        <v>5501</v>
      </c>
      <c r="C449" s="33">
        <v>449</v>
      </c>
      <c r="D449" s="33">
        <v>3</v>
      </c>
      <c r="E449" s="288">
        <v>43534</v>
      </c>
      <c r="F449" s="130" t="str">
        <f>HYPERLINK("https://news.okezone.com/read/2019/10/03/340/2112194/bocah-6-tahun-tewas-dianiaya-pacar-sesama-jenis-tantenya-di-samarinda","sumber")</f>
        <v>sumber</v>
      </c>
      <c r="G449" s="33" t="s">
        <v>1</v>
      </c>
      <c r="H449" s="352">
        <v>368</v>
      </c>
      <c r="I449" s="33">
        <v>1</v>
      </c>
      <c r="J449" s="33">
        <v>3</v>
      </c>
      <c r="K449" s="131" t="s">
        <v>5502</v>
      </c>
      <c r="L449" s="33">
        <v>0</v>
      </c>
      <c r="M449" s="33">
        <v>0</v>
      </c>
      <c r="N449" s="132">
        <v>0</v>
      </c>
      <c r="O449" s="132">
        <v>0</v>
      </c>
      <c r="P449" s="33">
        <v>0</v>
      </c>
      <c r="Q449" s="33" t="s">
        <v>178</v>
      </c>
      <c r="R449" s="33" t="s">
        <v>30</v>
      </c>
      <c r="S449" s="133"/>
      <c r="T449" s="33">
        <v>0</v>
      </c>
      <c r="U449" s="33">
        <v>0</v>
      </c>
      <c r="V449" s="33">
        <v>0</v>
      </c>
      <c r="W449" s="24"/>
      <c r="X449" s="24"/>
      <c r="Y449" s="24"/>
    </row>
    <row r="450" spans="1:25" ht="13.2">
      <c r="A450" s="350">
        <v>1</v>
      </c>
      <c r="B450" s="346" t="s">
        <v>5503</v>
      </c>
      <c r="C450" s="57">
        <v>450</v>
      </c>
      <c r="D450" s="57">
        <v>5</v>
      </c>
      <c r="E450" s="306">
        <v>43534</v>
      </c>
      <c r="F450" s="247" t="str">
        <f>HYPERLINK("https://tirto.id/sidang-gugatan-suara-usu-okky-madasari-cerpen-bukan-pornografi-ejaa ","sumber")</f>
        <v>sumber</v>
      </c>
      <c r="G450" s="57" t="s">
        <v>1</v>
      </c>
      <c r="H450" s="347">
        <v>556</v>
      </c>
      <c r="I450" s="57">
        <v>4</v>
      </c>
      <c r="J450" s="57">
        <v>1</v>
      </c>
      <c r="K450" s="150" t="s">
        <v>5504</v>
      </c>
      <c r="L450" s="57">
        <v>0</v>
      </c>
      <c r="M450" s="57">
        <v>0</v>
      </c>
      <c r="N450" s="307">
        <v>0</v>
      </c>
      <c r="O450" s="307">
        <v>0</v>
      </c>
      <c r="P450" s="57">
        <v>0</v>
      </c>
      <c r="Q450" s="57">
        <v>0</v>
      </c>
      <c r="R450" s="57">
        <v>1</v>
      </c>
      <c r="S450" s="309"/>
      <c r="T450" s="57">
        <v>0</v>
      </c>
      <c r="U450" s="57">
        <v>0</v>
      </c>
      <c r="V450" s="57">
        <v>1</v>
      </c>
      <c r="W450" s="41"/>
      <c r="X450" s="41"/>
      <c r="Y450" s="41"/>
    </row>
    <row r="451" spans="1:25" ht="13.2">
      <c r="A451" s="353">
        <v>1</v>
      </c>
      <c r="B451" s="354" t="s">
        <v>5505</v>
      </c>
      <c r="C451" s="57">
        <v>451</v>
      </c>
      <c r="D451" s="355">
        <v>1</v>
      </c>
      <c r="E451" s="363">
        <v>43595</v>
      </c>
      <c r="F451" s="356" t="str">
        <f>HYPERLINK("https://hot.detik.com/celeb/d-4734442/nyangka-nggak-tessy-bekas-anggota-tni-lo ","sumber")</f>
        <v>sumber</v>
      </c>
      <c r="G451" s="355" t="s">
        <v>1</v>
      </c>
      <c r="H451" s="357">
        <v>316</v>
      </c>
      <c r="I451" s="355">
        <v>2</v>
      </c>
      <c r="J451" s="355">
        <v>3</v>
      </c>
      <c r="K451" s="358"/>
      <c r="L451" s="355">
        <v>-1</v>
      </c>
      <c r="M451" s="355">
        <v>0</v>
      </c>
      <c r="N451" s="359">
        <v>0</v>
      </c>
      <c r="O451" s="359">
        <v>0</v>
      </c>
      <c r="P451" s="355">
        <v>0</v>
      </c>
      <c r="Q451" s="355"/>
      <c r="R451" s="355"/>
      <c r="S451" s="358" t="s">
        <v>1533</v>
      </c>
      <c r="T451" s="355">
        <v>1</v>
      </c>
      <c r="U451" s="355">
        <v>-1</v>
      </c>
      <c r="V451" s="355">
        <v>0</v>
      </c>
      <c r="W451" s="361"/>
      <c r="X451" s="361"/>
      <c r="Y451" s="361"/>
    </row>
    <row r="452" spans="1:25" ht="13.2">
      <c r="A452" s="350">
        <v>1</v>
      </c>
      <c r="B452" s="346" t="s">
        <v>5506</v>
      </c>
      <c r="C452" s="57">
        <v>452</v>
      </c>
      <c r="D452" s="57">
        <v>4</v>
      </c>
      <c r="E452" s="306">
        <v>43656</v>
      </c>
      <c r="F452" s="247" t="str">
        <f>HYPERLINK("https://www.liputan6.com/global/read/4080304/ruu-bayi-tabung-untuk-lesbian-di-prancis-menuai-demonstrasi-ribuan-orang ","sumber")</f>
        <v>sumber</v>
      </c>
      <c r="G452" s="57" t="s">
        <v>1</v>
      </c>
      <c r="H452" s="347">
        <v>431</v>
      </c>
      <c r="I452" s="57">
        <v>4</v>
      </c>
      <c r="J452" s="57">
        <v>3</v>
      </c>
      <c r="K452" s="150"/>
      <c r="L452" s="57">
        <v>0</v>
      </c>
      <c r="M452" s="57">
        <v>0</v>
      </c>
      <c r="N452" s="307">
        <v>0</v>
      </c>
      <c r="O452" s="307">
        <v>0</v>
      </c>
      <c r="P452" s="57">
        <v>0</v>
      </c>
      <c r="Q452" s="57"/>
      <c r="R452" s="57"/>
      <c r="S452" s="309"/>
      <c r="T452" s="57">
        <v>0</v>
      </c>
      <c r="U452" s="57">
        <v>0</v>
      </c>
      <c r="V452" s="57">
        <v>1</v>
      </c>
      <c r="W452" s="41"/>
      <c r="X452" s="41"/>
      <c r="Y452" s="41"/>
    </row>
    <row r="453" spans="1:25" ht="13.2">
      <c r="A453" s="353">
        <v>1</v>
      </c>
      <c r="B453" s="354" t="s">
        <v>5507</v>
      </c>
      <c r="C453" s="57">
        <v>453</v>
      </c>
      <c r="D453" s="355">
        <v>4</v>
      </c>
      <c r="E453" s="363">
        <v>43687</v>
      </c>
      <c r="F453" s="356" t="str">
        <f>HYPERLINK("https://www.liputan6.com/global/read/4081296/video-demonstrasi-menolak-ruu-bayi-tabung-di-paris ","sumber")</f>
        <v>sumber</v>
      </c>
      <c r="G453" s="355" t="s">
        <v>1</v>
      </c>
      <c r="H453" s="357">
        <v>25</v>
      </c>
      <c r="I453" s="355">
        <v>4</v>
      </c>
      <c r="J453" s="355">
        <v>3</v>
      </c>
      <c r="K453" s="358"/>
      <c r="L453" s="355">
        <v>0</v>
      </c>
      <c r="M453" s="355">
        <v>0</v>
      </c>
      <c r="N453" s="359">
        <v>0</v>
      </c>
      <c r="O453" s="359">
        <v>0</v>
      </c>
      <c r="P453" s="355">
        <v>0</v>
      </c>
      <c r="Q453" s="355"/>
      <c r="R453" s="355"/>
      <c r="S453" s="360"/>
      <c r="T453" s="355">
        <v>0</v>
      </c>
      <c r="U453" s="355">
        <v>0</v>
      </c>
      <c r="V453" s="355">
        <v>1</v>
      </c>
      <c r="W453" s="361"/>
      <c r="X453" s="361"/>
      <c r="Y453" s="361"/>
    </row>
    <row r="454" spans="1:25" ht="13.2">
      <c r="A454" s="350">
        <v>1</v>
      </c>
      <c r="B454" s="346" t="s">
        <v>944</v>
      </c>
      <c r="C454" s="57">
        <v>454</v>
      </c>
      <c r="D454" s="57">
        <v>3</v>
      </c>
      <c r="E454" s="306">
        <v>43687</v>
      </c>
      <c r="F454" s="247" t="str">
        <f>HYPERLINK("https://news.okezone.com/read/2019/10/08/18/2114456/akui-habisi-93-korbannya-samuel-little-jadi-pembunuh-paling-produktif-di-as ","sumber")</f>
        <v>sumber</v>
      </c>
      <c r="G454" s="57" t="s">
        <v>1</v>
      </c>
      <c r="H454" s="347">
        <v>486</v>
      </c>
      <c r="I454" s="57">
        <v>2</v>
      </c>
      <c r="J454" s="57">
        <v>1</v>
      </c>
      <c r="K454" s="150" t="s">
        <v>5508</v>
      </c>
      <c r="L454" s="57">
        <v>0</v>
      </c>
      <c r="M454" s="57">
        <v>0</v>
      </c>
      <c r="N454" s="307">
        <v>0</v>
      </c>
      <c r="O454" s="307">
        <v>0</v>
      </c>
      <c r="P454" s="57">
        <v>0</v>
      </c>
      <c r="Q454" s="57">
        <v>0</v>
      </c>
      <c r="R454" s="57">
        <v>-1</v>
      </c>
      <c r="S454" s="309"/>
      <c r="T454" s="57">
        <v>0</v>
      </c>
      <c r="U454" s="57">
        <v>0</v>
      </c>
      <c r="V454" s="57">
        <v>0</v>
      </c>
      <c r="W454" s="41"/>
      <c r="X454" s="41"/>
      <c r="Y454" s="41"/>
    </row>
    <row r="455" spans="1:25" ht="13.2">
      <c r="A455" s="353">
        <v>1</v>
      </c>
      <c r="B455" s="354" t="s">
        <v>5509</v>
      </c>
      <c r="C455" s="57">
        <v>455</v>
      </c>
      <c r="D455" s="355">
        <v>8</v>
      </c>
      <c r="E455" s="363">
        <v>43718</v>
      </c>
      <c r="F455" s="356" t="str">
        <f>HYPERLINK("https://www.suara.com/lifestyle/2019/10/09/114324/tunjuk-model-ukuran-plus-victorias-secret-justru-tuai-kontroversi ","sumber")</f>
        <v>sumber</v>
      </c>
      <c r="G455" s="355" t="s">
        <v>1</v>
      </c>
      <c r="H455" s="357">
        <v>330</v>
      </c>
      <c r="I455" s="355">
        <v>1</v>
      </c>
      <c r="J455" s="355">
        <v>1</v>
      </c>
      <c r="K455" s="358"/>
      <c r="L455" s="355">
        <v>0</v>
      </c>
      <c r="M455" s="355">
        <v>0</v>
      </c>
      <c r="N455" s="359">
        <v>0</v>
      </c>
      <c r="O455" s="359">
        <v>0</v>
      </c>
      <c r="P455" s="355">
        <v>0</v>
      </c>
      <c r="Q455" s="355"/>
      <c r="R455" s="355"/>
      <c r="S455" s="360"/>
      <c r="T455" s="355">
        <v>0</v>
      </c>
      <c r="U455" s="355">
        <v>0</v>
      </c>
      <c r="V455" s="355">
        <v>0</v>
      </c>
      <c r="W455" s="361"/>
      <c r="X455" s="361"/>
      <c r="Y455" s="361"/>
    </row>
    <row r="456" spans="1:25" ht="13.2">
      <c r="A456" s="350">
        <v>1</v>
      </c>
      <c r="B456" s="346" t="s">
        <v>5510</v>
      </c>
      <c r="C456" s="57">
        <v>456</v>
      </c>
      <c r="D456" s="57">
        <v>7</v>
      </c>
      <c r="E456" s="306">
        <v>43718</v>
      </c>
      <c r="F456" s="247" t="str">
        <f>HYPERLINK("https://www.tribunnews.com/regional/2019/10/09/pengakuan-mengejutkan-ladyboy-cipanas-saat-disewa-wna-timur-tengah-di-vila ","sumber")</f>
        <v>sumber</v>
      </c>
      <c r="G456" s="57" t="s">
        <v>1</v>
      </c>
      <c r="H456" s="347">
        <v>185</v>
      </c>
      <c r="I456" s="57">
        <v>2</v>
      </c>
      <c r="J456" s="57">
        <v>3</v>
      </c>
      <c r="K456" s="150" t="s">
        <v>5511</v>
      </c>
      <c r="L456" s="57">
        <v>0</v>
      </c>
      <c r="M456" s="57">
        <v>0</v>
      </c>
      <c r="N456" s="307">
        <v>0</v>
      </c>
      <c r="O456" s="307">
        <v>0</v>
      </c>
      <c r="P456" s="57">
        <v>0</v>
      </c>
      <c r="Q456" s="57" t="s">
        <v>178</v>
      </c>
      <c r="R456" s="57" t="s">
        <v>53</v>
      </c>
      <c r="S456" s="309"/>
      <c r="T456" s="57">
        <v>0</v>
      </c>
      <c r="U456" s="57">
        <v>0</v>
      </c>
      <c r="V456" s="57">
        <v>0</v>
      </c>
      <c r="W456" s="41"/>
      <c r="X456" s="41"/>
      <c r="Y456" s="41"/>
    </row>
    <row r="457" spans="1:25" ht="13.2">
      <c r="A457" s="353">
        <v>1</v>
      </c>
      <c r="B457" s="354" t="s">
        <v>2271</v>
      </c>
      <c r="C457" s="57">
        <v>457</v>
      </c>
      <c r="D457" s="355">
        <v>8</v>
      </c>
      <c r="E457" s="355" t="s">
        <v>5512</v>
      </c>
      <c r="F457" s="356" t="str">
        <f>HYPERLINK("https://www.suara.com/news/2019/11/16/133507/bunuh-putranya-ayah-lebih-baik-mati-daripada-punya-anak-gay ","sumber")</f>
        <v>sumber</v>
      </c>
      <c r="G457" s="355" t="s">
        <v>1</v>
      </c>
      <c r="H457" s="357">
        <v>226</v>
      </c>
      <c r="I457" s="355">
        <v>1</v>
      </c>
      <c r="J457" s="355">
        <v>3</v>
      </c>
      <c r="K457" s="358" t="s">
        <v>5513</v>
      </c>
      <c r="L457" s="355">
        <v>0</v>
      </c>
      <c r="M457" s="355">
        <v>0</v>
      </c>
      <c r="N457" s="359">
        <v>0</v>
      </c>
      <c r="O457" s="359">
        <v>0</v>
      </c>
      <c r="P457" s="355">
        <v>0</v>
      </c>
      <c r="Q457" s="355" t="s">
        <v>29</v>
      </c>
      <c r="R457" s="355" t="s">
        <v>182</v>
      </c>
      <c r="S457" s="360"/>
      <c r="T457" s="355">
        <v>0</v>
      </c>
      <c r="U457" s="355">
        <v>0</v>
      </c>
      <c r="V457" s="355">
        <v>0</v>
      </c>
      <c r="W457" s="361"/>
      <c r="X457" s="361"/>
      <c r="Y457" s="361"/>
    </row>
    <row r="458" spans="1:25" ht="13.2">
      <c r="A458" s="350">
        <v>1</v>
      </c>
      <c r="B458" s="346" t="s">
        <v>5514</v>
      </c>
      <c r="C458" s="57">
        <v>458</v>
      </c>
      <c r="D458" s="57">
        <v>9</v>
      </c>
      <c r="E458" s="57" t="s">
        <v>900</v>
      </c>
      <c r="F458" s="247" t="str">
        <f>HYPERLINK("https://senggang.republika.co.id/berita/q15tzs414/diterpa-isu-lgbt-emfrozen-iiem-jawab-aneka-misteri-tentang-elsa ","sumber")</f>
        <v>sumber</v>
      </c>
      <c r="G458" s="57" t="s">
        <v>1</v>
      </c>
      <c r="H458" s="347">
        <v>312</v>
      </c>
      <c r="I458" s="57">
        <v>3</v>
      </c>
      <c r="J458" s="57">
        <v>3</v>
      </c>
      <c r="K458" s="150"/>
      <c r="L458" s="57">
        <v>0</v>
      </c>
      <c r="M458" s="57">
        <v>0</v>
      </c>
      <c r="N458" s="307">
        <v>0</v>
      </c>
      <c r="O458" s="307">
        <v>0</v>
      </c>
      <c r="P458" s="57">
        <v>0</v>
      </c>
      <c r="Q458" s="57"/>
      <c r="R458" s="57"/>
      <c r="S458" s="309"/>
      <c r="T458" s="57">
        <v>0</v>
      </c>
      <c r="U458" s="57">
        <v>0</v>
      </c>
      <c r="V458" s="57">
        <v>0</v>
      </c>
      <c r="W458" s="41"/>
      <c r="X458" s="41"/>
      <c r="Y458" s="41"/>
    </row>
    <row r="459" spans="1:25" ht="13.2">
      <c r="A459" s="362">
        <v>1</v>
      </c>
      <c r="B459" s="351" t="s">
        <v>5515</v>
      </c>
      <c r="C459" s="33">
        <v>459</v>
      </c>
      <c r="D459" s="33">
        <v>6</v>
      </c>
      <c r="E459" s="33" t="s">
        <v>912</v>
      </c>
      <c r="F459" s="130" t="str">
        <f>HYPERLINK("https://www.kompas.com/hype/read/2019/11/21/173140566/kata-mondo-gascaro-soal-kontroversi-film-kucumbu-tubuh-indahku","sumber")</f>
        <v>sumber</v>
      </c>
      <c r="G459" s="33" t="s">
        <v>1</v>
      </c>
      <c r="H459" s="352">
        <v>320</v>
      </c>
      <c r="I459" s="33">
        <v>1</v>
      </c>
      <c r="J459" s="33">
        <v>3</v>
      </c>
      <c r="K459" s="131" t="s">
        <v>5516</v>
      </c>
      <c r="L459" s="33">
        <v>0</v>
      </c>
      <c r="M459" s="33">
        <v>0</v>
      </c>
      <c r="N459" s="132">
        <v>0</v>
      </c>
      <c r="O459" s="132">
        <v>0</v>
      </c>
      <c r="P459" s="33">
        <v>0</v>
      </c>
      <c r="Q459" s="33">
        <v>0</v>
      </c>
      <c r="R459" s="33">
        <v>1</v>
      </c>
      <c r="S459" s="133"/>
      <c r="T459" s="33">
        <v>0</v>
      </c>
      <c r="U459" s="33">
        <v>0</v>
      </c>
      <c r="V459" s="33">
        <v>1</v>
      </c>
      <c r="W459" s="24"/>
      <c r="X459" s="24"/>
      <c r="Y459" s="24"/>
    </row>
    <row r="460" spans="1:25" ht="13.2">
      <c r="A460" s="350">
        <v>1</v>
      </c>
      <c r="B460" s="346" t="s">
        <v>5517</v>
      </c>
      <c r="C460" s="57">
        <v>460</v>
      </c>
      <c r="D460" s="57">
        <v>9</v>
      </c>
      <c r="E460" s="57" t="s">
        <v>912</v>
      </c>
      <c r="F460" s="247" t="str">
        <f>HYPERLINK("https://bola.republika.co.id/berita/q1b2j3438/presiden-fifa-yakin-piala-dunia-di-qatar-bebas-diskriminasi ","sumber")</f>
        <v>sumber</v>
      </c>
      <c r="G460" s="57" t="s">
        <v>1</v>
      </c>
      <c r="H460" s="347">
        <v>317</v>
      </c>
      <c r="I460" s="57">
        <v>4</v>
      </c>
      <c r="J460" s="57">
        <v>3</v>
      </c>
      <c r="K460" s="150" t="s">
        <v>5518</v>
      </c>
      <c r="L460" s="57">
        <v>0</v>
      </c>
      <c r="M460" s="57">
        <v>0</v>
      </c>
      <c r="N460" s="307">
        <v>0</v>
      </c>
      <c r="O460" s="307">
        <v>0</v>
      </c>
      <c r="P460" s="57">
        <v>0</v>
      </c>
      <c r="Q460" s="57">
        <v>0</v>
      </c>
      <c r="R460" s="57">
        <v>1</v>
      </c>
      <c r="S460" s="309"/>
      <c r="T460" s="57">
        <v>0</v>
      </c>
      <c r="U460" s="57">
        <v>0</v>
      </c>
      <c r="V460" s="57">
        <v>1</v>
      </c>
      <c r="W460" s="41"/>
      <c r="X460" s="41"/>
      <c r="Y460" s="41"/>
    </row>
    <row r="461" spans="1:25" ht="13.2">
      <c r="A461" s="353">
        <v>1</v>
      </c>
      <c r="B461" s="354" t="s">
        <v>5519</v>
      </c>
      <c r="C461" s="57">
        <v>461</v>
      </c>
      <c r="D461" s="355">
        <v>2</v>
      </c>
      <c r="E461" s="355" t="s">
        <v>852</v>
      </c>
      <c r="F461" s="356" t="str">
        <f>HYPERLINK("https://www.cnnindonesia.com/hiburan/20191121163949-234-450385/billie-eilish-remaja-cuek-yang-raih-sukses-gemilang ","sumber")</f>
        <v>sumber</v>
      </c>
      <c r="G461" s="355" t="s">
        <v>1</v>
      </c>
      <c r="H461" s="357">
        <v>617</v>
      </c>
      <c r="I461" s="355">
        <v>2</v>
      </c>
      <c r="J461" s="355">
        <v>2</v>
      </c>
      <c r="K461" s="358"/>
      <c r="L461" s="355">
        <v>0</v>
      </c>
      <c r="M461" s="355">
        <v>0</v>
      </c>
      <c r="N461" s="359">
        <v>0</v>
      </c>
      <c r="O461" s="359">
        <v>0</v>
      </c>
      <c r="P461" s="355">
        <v>0</v>
      </c>
      <c r="Q461" s="355"/>
      <c r="R461" s="355"/>
      <c r="S461" s="358" t="s">
        <v>5520</v>
      </c>
      <c r="T461" s="355">
        <v>1</v>
      </c>
      <c r="U461" s="355">
        <v>-1</v>
      </c>
      <c r="V461" s="355">
        <v>0</v>
      </c>
      <c r="W461" s="361"/>
      <c r="X461" s="361"/>
      <c r="Y461" s="361"/>
    </row>
    <row r="462" spans="1:25" ht="13.2">
      <c r="A462" s="350">
        <v>1</v>
      </c>
      <c r="B462" s="346" t="s">
        <v>2277</v>
      </c>
      <c r="C462" s="57">
        <v>462</v>
      </c>
      <c r="D462" s="57">
        <v>6</v>
      </c>
      <c r="E462" s="57" t="s">
        <v>918</v>
      </c>
      <c r="F462" s="247" t="str">
        <f>HYPERLINK("https://nasional.kompas.com/read/2019/11/23/19214001/lgbt-dilarang-ikut-tes-cpns-pdi-p-jangan-mengotak-ngotakkan-perbedaan ","sumber")</f>
        <v>sumber</v>
      </c>
      <c r="G462" s="57" t="s">
        <v>1</v>
      </c>
      <c r="H462" s="347">
        <v>225</v>
      </c>
      <c r="I462" s="57">
        <v>4</v>
      </c>
      <c r="J462" s="57">
        <v>3</v>
      </c>
      <c r="K462" s="150" t="s">
        <v>5521</v>
      </c>
      <c r="L462" s="57">
        <v>0</v>
      </c>
      <c r="M462" s="57">
        <v>0</v>
      </c>
      <c r="N462" s="307">
        <v>0</v>
      </c>
      <c r="O462" s="307">
        <v>0</v>
      </c>
      <c r="P462" s="57">
        <v>0</v>
      </c>
      <c r="Q462" s="57" t="s">
        <v>29</v>
      </c>
      <c r="R462" s="57" t="s">
        <v>748</v>
      </c>
      <c r="S462" s="309"/>
      <c r="T462" s="57">
        <v>0</v>
      </c>
      <c r="U462" s="57">
        <v>0</v>
      </c>
      <c r="V462" s="57">
        <v>1</v>
      </c>
      <c r="W462" s="41"/>
      <c r="X462" s="41"/>
      <c r="Y462" s="41"/>
    </row>
    <row r="463" spans="1:25" ht="13.2">
      <c r="A463" s="353">
        <v>1</v>
      </c>
      <c r="B463" s="354" t="s">
        <v>5522</v>
      </c>
      <c r="C463" s="57">
        <v>463</v>
      </c>
      <c r="D463" s="355">
        <v>3</v>
      </c>
      <c r="E463" s="355" t="s">
        <v>926</v>
      </c>
      <c r="F463" s="356" t="str">
        <f>HYPERLINK("https://nasional.okezone.com/read/2019/11/24/337/2133717/ppp-dukung-larangan-lgbt-daftar-cpns ","sumber")</f>
        <v>sumber</v>
      </c>
      <c r="G463" s="355" t="s">
        <v>1</v>
      </c>
      <c r="H463" s="357">
        <v>206</v>
      </c>
      <c r="I463" s="355">
        <v>4</v>
      </c>
      <c r="J463" s="355">
        <v>3</v>
      </c>
      <c r="K463" s="358" t="s">
        <v>5523</v>
      </c>
      <c r="L463" s="355">
        <v>0</v>
      </c>
      <c r="M463" s="355">
        <v>0</v>
      </c>
      <c r="N463" s="359">
        <v>0</v>
      </c>
      <c r="O463" s="359">
        <v>0</v>
      </c>
      <c r="P463" s="355">
        <v>0</v>
      </c>
      <c r="Q463" s="355">
        <v>0</v>
      </c>
      <c r="R463" s="355">
        <v>-1</v>
      </c>
      <c r="S463" s="360"/>
      <c r="T463" s="355">
        <v>0</v>
      </c>
      <c r="U463" s="355">
        <v>0</v>
      </c>
      <c r="V463" s="355">
        <v>1</v>
      </c>
      <c r="W463" s="361"/>
      <c r="X463" s="361"/>
      <c r="Y463" s="361"/>
    </row>
    <row r="464" spans="1:25" ht="13.2">
      <c r="A464" s="350">
        <v>1</v>
      </c>
      <c r="B464" s="346" t="s">
        <v>5524</v>
      </c>
      <c r="C464" s="57">
        <v>464</v>
      </c>
      <c r="D464" s="57">
        <v>10</v>
      </c>
      <c r="E464" s="57" t="s">
        <v>928</v>
      </c>
      <c r="F464" s="247" t="str">
        <f>HYPERLINK("https://kolom.tempo.co/read/1276140/darurat-homofobia-di-lembaga-negara ","sumber")</f>
        <v>sumber</v>
      </c>
      <c r="G464" s="57" t="s">
        <v>1</v>
      </c>
      <c r="H464" s="347">
        <v>398</v>
      </c>
      <c r="I464" s="57">
        <v>2</v>
      </c>
      <c r="J464" s="57">
        <v>3</v>
      </c>
      <c r="K464" s="150"/>
      <c r="L464" s="57">
        <v>0</v>
      </c>
      <c r="M464" s="57">
        <v>0</v>
      </c>
      <c r="N464" s="307">
        <v>0</v>
      </c>
      <c r="O464" s="307">
        <v>0</v>
      </c>
      <c r="P464" s="57">
        <v>0</v>
      </c>
      <c r="Q464" s="57"/>
      <c r="R464" s="57"/>
      <c r="S464" s="309"/>
      <c r="T464" s="57">
        <v>0</v>
      </c>
      <c r="U464" s="57">
        <v>0</v>
      </c>
      <c r="V464" s="57">
        <v>1</v>
      </c>
      <c r="W464" s="41"/>
      <c r="X464" s="41"/>
      <c r="Y464" s="41"/>
    </row>
    <row r="465" spans="1:25" ht="13.2">
      <c r="A465" s="362">
        <v>1</v>
      </c>
      <c r="B465" s="351" t="s">
        <v>5525</v>
      </c>
      <c r="C465" s="33">
        <v>465</v>
      </c>
      <c r="D465" s="33">
        <v>7</v>
      </c>
      <c r="E465" s="33" t="s">
        <v>4698</v>
      </c>
      <c r="F465" s="130" t="str">
        <f>HYPERLINK("https://www.tribunnews.com/regional/2019/11/19/pensiunan-pns-di-binjai-meninggal-dunia-usai-kencani-waria-langganannya","sumber")</f>
        <v>sumber</v>
      </c>
      <c r="G465" s="33" t="s">
        <v>1</v>
      </c>
      <c r="H465" s="352">
        <v>291</v>
      </c>
      <c r="I465" s="33">
        <v>2</v>
      </c>
      <c r="J465" s="33">
        <v>3</v>
      </c>
      <c r="K465" s="131" t="s">
        <v>5526</v>
      </c>
      <c r="L465" s="33">
        <v>0</v>
      </c>
      <c r="M465" s="33">
        <v>0</v>
      </c>
      <c r="N465" s="132">
        <v>0</v>
      </c>
      <c r="O465" s="132">
        <v>0</v>
      </c>
      <c r="P465" s="33">
        <v>0</v>
      </c>
      <c r="Q465" s="33">
        <v>0</v>
      </c>
      <c r="R465" s="33">
        <v>0</v>
      </c>
      <c r="S465" s="133"/>
      <c r="T465" s="33">
        <v>0</v>
      </c>
      <c r="U465" s="33">
        <v>0</v>
      </c>
      <c r="V465" s="33">
        <v>0</v>
      </c>
      <c r="W465" s="24"/>
      <c r="X465" s="24"/>
      <c r="Y465" s="24"/>
    </row>
    <row r="466" spans="1:25" ht="13.2">
      <c r="A466" s="350">
        <v>1</v>
      </c>
      <c r="B466" s="346" t="s">
        <v>5527</v>
      </c>
      <c r="C466" s="57">
        <v>466</v>
      </c>
      <c r="D466" s="57">
        <v>6</v>
      </c>
      <c r="E466" s="57" t="s">
        <v>4742</v>
      </c>
      <c r="F466" s="247" t="str">
        <f>HYPERLINK("https://sains.kompas.com/read/2019/12/13/165558423/apa-isi-riset-lgbt-yang-bikin-dwi-estiningsih-ditegur-peneliti-asing ","sumber")</f>
        <v>sumber</v>
      </c>
      <c r="G466" s="57" t="s">
        <v>1</v>
      </c>
      <c r="H466" s="347">
        <v>292</v>
      </c>
      <c r="I466" s="57">
        <v>1</v>
      </c>
      <c r="J466" s="57">
        <v>3</v>
      </c>
      <c r="K466" s="150" t="s">
        <v>5528</v>
      </c>
      <c r="L466" s="57">
        <v>0</v>
      </c>
      <c r="M466" s="57">
        <v>0</v>
      </c>
      <c r="N466" s="307">
        <v>0</v>
      </c>
      <c r="O466" s="307">
        <v>0</v>
      </c>
      <c r="P466" s="57">
        <v>0</v>
      </c>
      <c r="Q466" s="57" t="s">
        <v>21</v>
      </c>
      <c r="R466" s="57" t="s">
        <v>739</v>
      </c>
      <c r="S466" s="309"/>
      <c r="T466" s="57">
        <v>0</v>
      </c>
      <c r="U466" s="57">
        <v>0</v>
      </c>
      <c r="V466" s="57">
        <v>1</v>
      </c>
      <c r="W466" s="41"/>
      <c r="X466" s="41"/>
      <c r="Y466" s="41"/>
    </row>
    <row r="467" spans="1:25" ht="13.2">
      <c r="A467" s="362">
        <v>1</v>
      </c>
      <c r="B467" s="351" t="s">
        <v>5529</v>
      </c>
      <c r="C467" s="33">
        <v>467</v>
      </c>
      <c r="D467" s="33">
        <v>10</v>
      </c>
      <c r="E467" s="33" t="s">
        <v>4742</v>
      </c>
      <c r="F467" s="130" t="str">
        <f>HYPERLINK("https://seleb.tempo.co/read/1288392/dituduh-transgender-istri-jerinx-sid-tak-terima","sumber")</f>
        <v>sumber</v>
      </c>
      <c r="G467" s="33" t="s">
        <v>1</v>
      </c>
      <c r="H467" s="352">
        <v>399</v>
      </c>
      <c r="I467" s="33">
        <v>2</v>
      </c>
      <c r="J467" s="33">
        <v>3</v>
      </c>
      <c r="K467" s="131" t="s">
        <v>5530</v>
      </c>
      <c r="L467" s="33">
        <v>0</v>
      </c>
      <c r="M467" s="33">
        <v>0</v>
      </c>
      <c r="N467" s="132">
        <v>0</v>
      </c>
      <c r="O467" s="132">
        <v>0</v>
      </c>
      <c r="P467" s="33">
        <v>0</v>
      </c>
      <c r="Q467" s="33">
        <v>0</v>
      </c>
      <c r="R467" s="33">
        <v>1</v>
      </c>
      <c r="S467" s="133"/>
      <c r="T467" s="33">
        <v>0</v>
      </c>
      <c r="U467" s="33">
        <v>0</v>
      </c>
      <c r="V467" s="33">
        <v>0</v>
      </c>
      <c r="W467" s="24"/>
      <c r="X467" s="24"/>
      <c r="Y467" s="24"/>
    </row>
    <row r="468" spans="1:25" ht="13.2">
      <c r="A468" s="350">
        <v>1</v>
      </c>
      <c r="B468" s="346" t="s">
        <v>5531</v>
      </c>
      <c r="C468" s="57">
        <v>468</v>
      </c>
      <c r="D468" s="57">
        <v>2</v>
      </c>
      <c r="E468" s="57" t="s">
        <v>875</v>
      </c>
      <c r="F468" s="247" t="str">
        <f>HYPERLINK("https://www.cnnindonesia.com/hiburan/20191217121552-220-457664/sejuta-orang-teken-petisi-tolak-film-yesus-gay-di-netflix ","sumber")</f>
        <v>sumber</v>
      </c>
      <c r="G468" s="57" t="s">
        <v>1</v>
      </c>
      <c r="H468" s="347">
        <v>286</v>
      </c>
      <c r="I468" s="57">
        <v>1</v>
      </c>
      <c r="J468" s="57">
        <v>3</v>
      </c>
      <c r="K468" s="150" t="s">
        <v>5532</v>
      </c>
      <c r="L468" s="57">
        <v>0</v>
      </c>
      <c r="M468" s="57">
        <v>0</v>
      </c>
      <c r="N468" s="307">
        <v>0</v>
      </c>
      <c r="O468" s="307">
        <v>0</v>
      </c>
      <c r="P468" s="57">
        <v>0</v>
      </c>
      <c r="Q468" s="57">
        <v>0</v>
      </c>
      <c r="R468" s="57">
        <v>0</v>
      </c>
      <c r="S468" s="309"/>
      <c r="T468" s="57">
        <v>0</v>
      </c>
      <c r="U468" s="57">
        <v>0</v>
      </c>
      <c r="V468" s="57">
        <v>0</v>
      </c>
      <c r="W468" s="41"/>
      <c r="X468" s="41"/>
      <c r="Y468" s="41"/>
    </row>
    <row r="469" spans="1:25" ht="13.2">
      <c r="A469" s="353">
        <v>1</v>
      </c>
      <c r="B469" s="354" t="s">
        <v>5533</v>
      </c>
      <c r="C469" s="57">
        <v>469</v>
      </c>
      <c r="D469" s="355">
        <v>3</v>
      </c>
      <c r="E469" s="355" t="s">
        <v>861</v>
      </c>
      <c r="F469" s="356" t="str">
        <f>HYPERLINK("https://celebrity.okezone.com/read/2019/12/18/33/2143490/pernah-ditanya-soal-transgender-oleh-bule-lucinta-luna-cerita-sambil-gebrak-meja ","sumber")</f>
        <v>sumber</v>
      </c>
      <c r="G469" s="355" t="s">
        <v>1</v>
      </c>
      <c r="H469" s="357">
        <v>348</v>
      </c>
      <c r="I469" s="355">
        <v>2</v>
      </c>
      <c r="J469" s="355">
        <v>3</v>
      </c>
      <c r="K469" s="358" t="s">
        <v>4314</v>
      </c>
      <c r="L469" s="355">
        <v>0</v>
      </c>
      <c r="M469" s="355">
        <v>0</v>
      </c>
      <c r="N469" s="359">
        <v>0</v>
      </c>
      <c r="O469" s="359">
        <v>0</v>
      </c>
      <c r="P469" s="355">
        <v>0</v>
      </c>
      <c r="Q469" s="355">
        <v>2</v>
      </c>
      <c r="R469" s="355">
        <v>-1</v>
      </c>
      <c r="S469" s="360"/>
      <c r="T469" s="355">
        <v>0</v>
      </c>
      <c r="U469" s="355">
        <v>0</v>
      </c>
      <c r="V469" s="355">
        <v>0</v>
      </c>
      <c r="W469" s="361"/>
      <c r="X469" s="361"/>
      <c r="Y469" s="361"/>
    </row>
    <row r="470" spans="1:25" ht="13.2">
      <c r="A470" s="350">
        <v>1</v>
      </c>
      <c r="B470" s="346" t="s">
        <v>5534</v>
      </c>
      <c r="C470" s="57">
        <v>470</v>
      </c>
      <c r="D470" s="57">
        <v>10</v>
      </c>
      <c r="E470" s="57" t="s">
        <v>873</v>
      </c>
      <c r="F470" s="247" t="str">
        <f>HYPERLINK("https://kolom.tempo.co/read/1287552/kisah-rasa-dari-pojok-shinjuku ","sumber")</f>
        <v>sumber</v>
      </c>
      <c r="G470" s="57" t="s">
        <v>1</v>
      </c>
      <c r="H470" s="347">
        <v>695</v>
      </c>
      <c r="I470" s="57">
        <v>2</v>
      </c>
      <c r="J470" s="57">
        <v>1</v>
      </c>
      <c r="K470" s="150"/>
      <c r="L470" s="57">
        <v>0</v>
      </c>
      <c r="M470" s="57">
        <v>0</v>
      </c>
      <c r="N470" s="307">
        <v>0</v>
      </c>
      <c r="O470" s="307">
        <v>0</v>
      </c>
      <c r="P470" s="57">
        <v>0</v>
      </c>
      <c r="Q470" s="57"/>
      <c r="R470" s="57"/>
      <c r="S470" s="309"/>
      <c r="T470" s="57">
        <v>0</v>
      </c>
      <c r="U470" s="57">
        <v>0</v>
      </c>
      <c r="V470" s="57">
        <v>0</v>
      </c>
      <c r="W470" s="41"/>
      <c r="X470" s="41"/>
      <c r="Y470" s="41"/>
    </row>
    <row r="471" spans="1:25" ht="13.2">
      <c r="A471" s="353">
        <v>1</v>
      </c>
      <c r="B471" s="354" t="s">
        <v>5535</v>
      </c>
      <c r="C471" s="57">
        <v>471</v>
      </c>
      <c r="D471" s="355">
        <v>4</v>
      </c>
      <c r="E471" s="355" t="s">
        <v>5439</v>
      </c>
      <c r="F471" s="356" t="str">
        <f>HYPERLINK("https://www.liputan6.com/global/read/4142049/video-presiden-brasil-sebut-jurnalis-berwajah-homoseksual ","sumber")</f>
        <v>sumber</v>
      </c>
      <c r="G471" s="355" t="s">
        <v>1</v>
      </c>
      <c r="H471" s="357">
        <v>23</v>
      </c>
      <c r="I471" s="355">
        <v>1</v>
      </c>
      <c r="J471" s="355">
        <v>3</v>
      </c>
      <c r="K471" s="358" t="s">
        <v>5536</v>
      </c>
      <c r="L471" s="355">
        <v>0</v>
      </c>
      <c r="M471" s="355">
        <v>0</v>
      </c>
      <c r="N471" s="359">
        <v>0</v>
      </c>
      <c r="O471" s="359">
        <v>0</v>
      </c>
      <c r="P471" s="355">
        <v>0</v>
      </c>
      <c r="Q471" s="355">
        <v>0</v>
      </c>
      <c r="R471" s="355">
        <v>-1</v>
      </c>
      <c r="S471" s="360"/>
      <c r="T471" s="355">
        <v>0</v>
      </c>
      <c r="U471" s="355">
        <v>0</v>
      </c>
      <c r="V471" s="355">
        <v>1</v>
      </c>
      <c r="W471" s="361"/>
      <c r="X471" s="361"/>
      <c r="Y471" s="361"/>
    </row>
    <row r="472" spans="1:25" ht="13.2">
      <c r="A472" s="350">
        <v>1</v>
      </c>
      <c r="B472" s="346" t="s">
        <v>5537</v>
      </c>
      <c r="C472" s="57">
        <v>472</v>
      </c>
      <c r="D472" s="57">
        <v>3</v>
      </c>
      <c r="E472" s="57" t="s">
        <v>5439</v>
      </c>
      <c r="F472" s="247" t="str">
        <f>HYPERLINK("https://news.okezone.com/read/2019/12/26/18/2146214/markas-komedian-brasil-diserang-molotov-setelah-tampilkan-yesus-sebagai-homoseksual ","sumber")</f>
        <v>sumber</v>
      </c>
      <c r="G472" s="57" t="s">
        <v>1</v>
      </c>
      <c r="H472" s="347">
        <v>364</v>
      </c>
      <c r="I472" s="57">
        <v>1</v>
      </c>
      <c r="J472" s="57">
        <v>3</v>
      </c>
      <c r="K472" s="150" t="s">
        <v>5538</v>
      </c>
      <c r="L472" s="57">
        <v>0</v>
      </c>
      <c r="M472" s="57">
        <v>0</v>
      </c>
      <c r="N472" s="307">
        <v>0</v>
      </c>
      <c r="O472" s="307">
        <v>0</v>
      </c>
      <c r="P472" s="57">
        <v>0</v>
      </c>
      <c r="Q472" s="57">
        <v>0</v>
      </c>
      <c r="R472" s="57">
        <v>0</v>
      </c>
      <c r="S472" s="309"/>
      <c r="T472" s="57">
        <v>0</v>
      </c>
      <c r="U472" s="57">
        <v>0</v>
      </c>
      <c r="V472" s="57">
        <v>1</v>
      </c>
      <c r="W472" s="41"/>
      <c r="X472" s="41"/>
      <c r="Y472" s="41"/>
    </row>
    <row r="473" spans="1:25" ht="13.2">
      <c r="A473" s="353">
        <v>1</v>
      </c>
      <c r="B473" s="354" t="s">
        <v>5539</v>
      </c>
      <c r="C473" s="57">
        <v>473</v>
      </c>
      <c r="D473" s="355">
        <v>10</v>
      </c>
      <c r="E473" s="355" t="s">
        <v>5439</v>
      </c>
      <c r="F473" s="356" t="str">
        <f>HYPERLINK("https://dunia.tempo.co/read/1287879/transgender-di-cina-sulit-ubah-identitas-kelamin-di-ijazah ","sumber")</f>
        <v>sumber</v>
      </c>
      <c r="G473" s="355" t="s">
        <v>1</v>
      </c>
      <c r="H473" s="357">
        <v>290</v>
      </c>
      <c r="I473" s="355">
        <v>2</v>
      </c>
      <c r="J473" s="355">
        <v>3</v>
      </c>
      <c r="K473" s="358" t="s">
        <v>5540</v>
      </c>
      <c r="L473" s="355">
        <v>0</v>
      </c>
      <c r="M473" s="355">
        <v>0</v>
      </c>
      <c r="N473" s="359">
        <v>0</v>
      </c>
      <c r="O473" s="359">
        <v>0</v>
      </c>
      <c r="P473" s="355">
        <v>0</v>
      </c>
      <c r="Q473" s="355">
        <v>-1</v>
      </c>
      <c r="R473" s="355">
        <v>1</v>
      </c>
      <c r="S473" s="360"/>
      <c r="T473" s="355">
        <v>0</v>
      </c>
      <c r="U473" s="355">
        <v>0</v>
      </c>
      <c r="V473" s="355">
        <v>1</v>
      </c>
      <c r="W473" s="361"/>
      <c r="X473" s="361"/>
      <c r="Y473" s="361"/>
    </row>
    <row r="474" spans="1:25" ht="13.2">
      <c r="A474" s="350">
        <v>1</v>
      </c>
      <c r="B474" s="346" t="s">
        <v>991</v>
      </c>
      <c r="C474" s="57">
        <v>474</v>
      </c>
      <c r="D474" s="57">
        <v>7</v>
      </c>
      <c r="E474" s="306">
        <v>43534</v>
      </c>
      <c r="F474" s="247" t="str">
        <f>HYPERLINK("https://www.tribunnews.com/regional/2019/10/03/p2tp2a-garut-beri-pendampingan-psikologi-pada-korban-rudapaksa-siswi-smp-di-cisompet ","sumber")</f>
        <v>sumber</v>
      </c>
      <c r="G474" s="57" t="s">
        <v>1</v>
      </c>
      <c r="H474" s="347">
        <v>168</v>
      </c>
      <c r="I474" s="57">
        <v>1</v>
      </c>
      <c r="J474" s="57">
        <v>1</v>
      </c>
      <c r="K474" s="150" t="s">
        <v>5541</v>
      </c>
      <c r="L474" s="57">
        <v>0</v>
      </c>
      <c r="M474" s="57">
        <v>1</v>
      </c>
      <c r="N474" s="307">
        <v>0</v>
      </c>
      <c r="O474" s="57">
        <v>1</v>
      </c>
      <c r="P474" s="57">
        <v>0</v>
      </c>
      <c r="Q474" s="57" t="s">
        <v>29</v>
      </c>
      <c r="R474" s="57" t="s">
        <v>182</v>
      </c>
      <c r="S474" s="309"/>
      <c r="T474" s="57">
        <v>0</v>
      </c>
      <c r="U474" s="57">
        <v>0</v>
      </c>
      <c r="V474" s="57">
        <v>0</v>
      </c>
      <c r="W474" s="41"/>
      <c r="X474" s="41"/>
      <c r="Y474" s="41"/>
    </row>
    <row r="475" spans="1:25" ht="13.2">
      <c r="A475" s="184">
        <v>1</v>
      </c>
      <c r="B475" s="372" t="s">
        <v>5542</v>
      </c>
      <c r="C475" s="57">
        <v>475</v>
      </c>
      <c r="D475" s="22">
        <v>4</v>
      </c>
      <c r="E475" s="222">
        <v>43565</v>
      </c>
      <c r="F475" s="121" t="str">
        <f>HYPERLINK("https://www.liputan6.com/news/read/4079057/asa-bocah-makassar-korban-trauma-kekerasan-rumah-tangga-di-pohon-harapan ","sumber")</f>
        <v>sumber</v>
      </c>
      <c r="G475" s="22" t="s">
        <v>1</v>
      </c>
      <c r="H475" s="373">
        <v>600</v>
      </c>
      <c r="I475" s="22">
        <v>2</v>
      </c>
      <c r="J475" s="22">
        <v>0</v>
      </c>
      <c r="K475" s="22" t="s">
        <v>5543</v>
      </c>
      <c r="L475" s="22">
        <v>0</v>
      </c>
      <c r="M475" s="22">
        <v>0</v>
      </c>
      <c r="N475" s="125">
        <v>0</v>
      </c>
      <c r="O475" s="125">
        <v>0</v>
      </c>
      <c r="P475" s="22">
        <v>0</v>
      </c>
      <c r="Q475" s="22" t="s">
        <v>995</v>
      </c>
      <c r="R475" s="22" t="s">
        <v>1026</v>
      </c>
      <c r="S475" s="23"/>
      <c r="T475" s="22">
        <v>0</v>
      </c>
      <c r="U475" s="22">
        <v>0</v>
      </c>
      <c r="V475" s="22">
        <v>1</v>
      </c>
      <c r="W475" s="23"/>
      <c r="X475" s="23"/>
      <c r="Y475" s="23"/>
    </row>
    <row r="476" spans="1:25" ht="13.2">
      <c r="A476" s="179">
        <v>2</v>
      </c>
      <c r="B476" s="348" t="s">
        <v>5544</v>
      </c>
      <c r="C476" s="25">
        <v>476</v>
      </c>
      <c r="D476" s="26"/>
      <c r="E476" s="234">
        <v>43565</v>
      </c>
      <c r="F476" s="115" t="str">
        <f>HYPERLINK("https://tekno.tempo.co/read/1255700/komnas-ham-sebut-polusi-udara-adalah-pelanggaran-ham ","sumber")</f>
        <v>sumber</v>
      </c>
      <c r="G476" s="25" t="s">
        <v>1</v>
      </c>
      <c r="H476" s="349">
        <v>421</v>
      </c>
      <c r="I476" s="26"/>
      <c r="J476" s="26"/>
      <c r="K476" s="26"/>
      <c r="L476" s="26"/>
      <c r="M476" s="26"/>
      <c r="N476" s="26"/>
      <c r="O476" s="26"/>
      <c r="P476" s="26"/>
      <c r="Q476" s="26"/>
      <c r="R476" s="26"/>
      <c r="S476" s="26"/>
      <c r="T476" s="26"/>
      <c r="U476" s="26"/>
      <c r="V476" s="26"/>
      <c r="W476" s="26"/>
      <c r="X476" s="26"/>
      <c r="Y476" s="26"/>
    </row>
    <row r="477" spans="1:25" ht="13.2">
      <c r="A477" s="184">
        <v>1</v>
      </c>
      <c r="B477" s="372" t="s">
        <v>5545</v>
      </c>
      <c r="C477" s="57">
        <v>477</v>
      </c>
      <c r="D477" s="22">
        <v>6</v>
      </c>
      <c r="E477" s="222">
        <v>43656</v>
      </c>
      <c r="F477" s="121" t="str">
        <f>HYPERLINK("https://regional.kompas.com/read/2019/10/07/16192711/pelaku-pemerkosaan-dibebaskan-hakim-polisi-tangkap-lagi-dan-selidiki-ulang ","sumber")</f>
        <v>sumber</v>
      </c>
      <c r="G477" s="22" t="s">
        <v>1</v>
      </c>
      <c r="H477" s="373">
        <v>247</v>
      </c>
      <c r="I477" s="22">
        <v>4</v>
      </c>
      <c r="J477" s="22">
        <v>1</v>
      </c>
      <c r="K477" s="22" t="s">
        <v>5546</v>
      </c>
      <c r="L477" s="22">
        <v>0</v>
      </c>
      <c r="M477" s="22">
        <v>0</v>
      </c>
      <c r="N477" s="125">
        <v>0</v>
      </c>
      <c r="O477" s="22">
        <v>1</v>
      </c>
      <c r="P477" s="22">
        <v>0</v>
      </c>
      <c r="Q477" s="22" t="s">
        <v>21</v>
      </c>
      <c r="R477" s="22" t="s">
        <v>309</v>
      </c>
      <c r="S477" s="23"/>
      <c r="T477" s="22">
        <v>0</v>
      </c>
      <c r="U477" s="22">
        <v>0</v>
      </c>
      <c r="V477" s="22">
        <v>1</v>
      </c>
      <c r="W477" s="23"/>
      <c r="X477" s="23"/>
      <c r="Y477" s="23"/>
    </row>
    <row r="478" spans="1:25" ht="13.2">
      <c r="A478" s="184">
        <v>1</v>
      </c>
      <c r="B478" s="372" t="s">
        <v>5547</v>
      </c>
      <c r="C478" s="57">
        <v>478</v>
      </c>
      <c r="D478" s="22">
        <v>4</v>
      </c>
      <c r="E478" s="222">
        <v>43656</v>
      </c>
      <c r="F478" s="121" t="str">
        <f>HYPERLINK("https://www.liputan6.com/health/read/4079713/tren-curhat-sadfishing-di-medsos-rawan-ganggu-kesehatan-mental-remaja ","sumber")</f>
        <v>sumber</v>
      </c>
      <c r="G478" s="22" t="s">
        <v>1</v>
      </c>
      <c r="H478" s="373">
        <v>245</v>
      </c>
      <c r="I478" s="22">
        <v>2</v>
      </c>
      <c r="J478" s="22">
        <v>2</v>
      </c>
      <c r="K478" s="22"/>
      <c r="L478" s="22">
        <v>0</v>
      </c>
      <c r="M478" s="22">
        <v>0</v>
      </c>
      <c r="N478" s="125">
        <v>0</v>
      </c>
      <c r="O478" s="125">
        <v>0</v>
      </c>
      <c r="P478" s="22">
        <v>0</v>
      </c>
      <c r="Q478" s="22"/>
      <c r="R478" s="22"/>
      <c r="S478" s="23"/>
      <c r="T478" s="22">
        <v>0</v>
      </c>
      <c r="U478" s="22">
        <v>0</v>
      </c>
      <c r="V478" s="22">
        <v>0</v>
      </c>
      <c r="W478" s="23"/>
      <c r="X478" s="23"/>
      <c r="Y478" s="23"/>
    </row>
    <row r="479" spans="1:25" ht="13.2">
      <c r="A479" s="184">
        <v>1</v>
      </c>
      <c r="B479" s="372" t="s">
        <v>5548</v>
      </c>
      <c r="C479" s="57">
        <v>479</v>
      </c>
      <c r="D479" s="22">
        <v>10</v>
      </c>
      <c r="E479" s="222">
        <v>43656</v>
      </c>
      <c r="F479" s="121" t="str">
        <f>HYPERLINK("https://dunia.tempo.co/read/1256626/wni-di-kuwait-jadi-korban-kdrt ","sumber")</f>
        <v>sumber</v>
      </c>
      <c r="G479" s="22" t="s">
        <v>1</v>
      </c>
      <c r="H479" s="373">
        <v>214</v>
      </c>
      <c r="I479" s="22">
        <v>1</v>
      </c>
      <c r="J479" s="22">
        <v>1</v>
      </c>
      <c r="K479" s="22" t="s">
        <v>5549</v>
      </c>
      <c r="L479" s="22">
        <v>0</v>
      </c>
      <c r="M479" s="22">
        <v>0</v>
      </c>
      <c r="N479" s="125">
        <v>0</v>
      </c>
      <c r="O479" s="125">
        <v>0</v>
      </c>
      <c r="P479" s="22">
        <v>0</v>
      </c>
      <c r="Q479" s="22">
        <v>0</v>
      </c>
      <c r="R479" s="22">
        <v>1</v>
      </c>
      <c r="S479" s="23"/>
      <c r="T479" s="22">
        <v>0</v>
      </c>
      <c r="U479" s="22">
        <v>0</v>
      </c>
      <c r="V479" s="22">
        <v>1</v>
      </c>
      <c r="W479" s="23"/>
      <c r="X479" s="23"/>
      <c r="Y479" s="23"/>
    </row>
    <row r="480" spans="1:25" ht="13.2">
      <c r="A480" s="184">
        <v>1</v>
      </c>
      <c r="B480" s="372" t="s">
        <v>5550</v>
      </c>
      <c r="C480" s="57">
        <v>480</v>
      </c>
      <c r="D480" s="22">
        <v>7</v>
      </c>
      <c r="E480" s="222">
        <v>43656</v>
      </c>
      <c r="F480" s="121" t="str">
        <f>HYPERLINK("https://www.tribunnews.com/metropolitan/2019/10/07/bermodus-praktik-perdukunan-pria-asal-tangerang-berbuat-bejat-terhadap-anak-di-bawah-umur ","sumber")</f>
        <v>sumber</v>
      </c>
      <c r="G480" s="22" t="s">
        <v>1</v>
      </c>
      <c r="H480" s="373">
        <v>262</v>
      </c>
      <c r="I480" s="22">
        <v>1</v>
      </c>
      <c r="J480" s="22">
        <v>1</v>
      </c>
      <c r="K480" s="22" t="s">
        <v>5551</v>
      </c>
      <c r="L480" s="22">
        <v>0</v>
      </c>
      <c r="M480" s="22">
        <v>0</v>
      </c>
      <c r="N480" s="125">
        <v>0</v>
      </c>
      <c r="O480" s="125">
        <v>0</v>
      </c>
      <c r="P480" s="22">
        <v>0</v>
      </c>
      <c r="Q480" s="22">
        <v>0</v>
      </c>
      <c r="R480" s="22">
        <v>0</v>
      </c>
      <c r="S480" s="23"/>
      <c r="T480" s="22">
        <v>0</v>
      </c>
      <c r="U480" s="22">
        <v>0</v>
      </c>
      <c r="V480" s="22">
        <v>0</v>
      </c>
      <c r="W480" s="23"/>
      <c r="X480" s="23"/>
      <c r="Y480" s="23"/>
    </row>
    <row r="481" spans="1:25" ht="13.2">
      <c r="A481" s="184">
        <v>1</v>
      </c>
      <c r="B481" s="372" t="s">
        <v>3959</v>
      </c>
      <c r="C481" s="57">
        <v>481</v>
      </c>
      <c r="D481" s="22">
        <v>5</v>
      </c>
      <c r="E481" s="22" t="s">
        <v>900</v>
      </c>
      <c r="F481" s="121" t="str">
        <f>HYPERLINK("https://tirto.id/teror-sperma-di-tasikmalaya-adalah-pelecehan-seksual-serius-elTe ","sumber")</f>
        <v>sumber</v>
      </c>
      <c r="G481" s="22" t="s">
        <v>1</v>
      </c>
      <c r="H481" s="373">
        <v>366</v>
      </c>
      <c r="I481" s="22">
        <v>1</v>
      </c>
      <c r="J481" s="22">
        <v>1</v>
      </c>
      <c r="K481" s="22" t="s">
        <v>5552</v>
      </c>
      <c r="L481" s="22">
        <v>0</v>
      </c>
      <c r="M481" s="22">
        <v>0</v>
      </c>
      <c r="N481" s="125">
        <v>0</v>
      </c>
      <c r="O481" s="125">
        <v>0</v>
      </c>
      <c r="P481" s="22">
        <v>0</v>
      </c>
      <c r="Q481" s="22" t="s">
        <v>29</v>
      </c>
      <c r="R481" s="22" t="s">
        <v>160</v>
      </c>
      <c r="S481" s="23"/>
      <c r="T481" s="22">
        <v>0</v>
      </c>
      <c r="U481" s="22">
        <v>0</v>
      </c>
      <c r="V481" s="22">
        <v>1</v>
      </c>
      <c r="W481" s="23"/>
      <c r="X481" s="23"/>
      <c r="Y481" s="23"/>
    </row>
    <row r="482" spans="1:25" ht="13.2">
      <c r="A482" s="184">
        <v>1</v>
      </c>
      <c r="B482" s="372" t="s">
        <v>5553</v>
      </c>
      <c r="C482" s="57">
        <v>482</v>
      </c>
      <c r="D482" s="22">
        <v>6</v>
      </c>
      <c r="E482" s="22" t="s">
        <v>904</v>
      </c>
      <c r="F482" s="121" t="str">
        <f>HYPERLINK("https://news.detik.com/berita-jawa-tengah/d-4790443/awal-mula-lokalisasi-gambilangu-54-tahun-lalu-hingga-resmi-ditutup ","sumber")</f>
        <v>sumber</v>
      </c>
      <c r="G482" s="22" t="s">
        <v>1</v>
      </c>
      <c r="H482" s="373">
        <v>208</v>
      </c>
      <c r="I482" s="22">
        <v>2</v>
      </c>
      <c r="J482" s="22">
        <v>1</v>
      </c>
      <c r="K482" s="22" t="s">
        <v>5554</v>
      </c>
      <c r="L482" s="22">
        <v>0</v>
      </c>
      <c r="M482" s="22">
        <v>0</v>
      </c>
      <c r="N482" s="125">
        <v>0</v>
      </c>
      <c r="O482" s="125">
        <v>0</v>
      </c>
      <c r="P482" s="22">
        <v>0</v>
      </c>
      <c r="Q482" s="22">
        <v>0</v>
      </c>
      <c r="R482" s="22">
        <v>1</v>
      </c>
      <c r="S482" s="23"/>
      <c r="T482" s="22">
        <v>0</v>
      </c>
      <c r="U482" s="22">
        <v>0</v>
      </c>
      <c r="V482" s="22">
        <v>1</v>
      </c>
      <c r="W482" s="23"/>
      <c r="X482" s="23"/>
      <c r="Y482" s="23"/>
    </row>
    <row r="483" spans="1:25" ht="13.2">
      <c r="A483" s="184">
        <v>1</v>
      </c>
      <c r="B483" s="372" t="s">
        <v>1015</v>
      </c>
      <c r="C483" s="57">
        <v>483</v>
      </c>
      <c r="D483" s="22">
        <v>6</v>
      </c>
      <c r="E483" s="22" t="s">
        <v>904</v>
      </c>
      <c r="F483" s="121" t="str">
        <f>HYPERLINK("https://megapolitan.kompas.com/read/2019/11/19/18471421/imigrasi-soekarno-hatta-akui-sulit-deteksi-perdagangan-manusia-lewat ","sumber")</f>
        <v>sumber</v>
      </c>
      <c r="G483" s="22" t="s">
        <v>1</v>
      </c>
      <c r="H483" s="373">
        <v>317</v>
      </c>
      <c r="I483" s="22">
        <v>1</v>
      </c>
      <c r="J483" s="22">
        <v>1</v>
      </c>
      <c r="K483" s="22" t="s">
        <v>5555</v>
      </c>
      <c r="L483" s="22">
        <v>0</v>
      </c>
      <c r="M483" s="22">
        <v>0</v>
      </c>
      <c r="N483" s="125">
        <v>0</v>
      </c>
      <c r="O483" s="125">
        <v>0</v>
      </c>
      <c r="P483" s="22">
        <v>0</v>
      </c>
      <c r="Q483" s="22">
        <v>0</v>
      </c>
      <c r="R483" s="22">
        <v>-1</v>
      </c>
      <c r="S483" s="23"/>
      <c r="T483" s="22">
        <v>0</v>
      </c>
      <c r="U483" s="22">
        <v>0</v>
      </c>
      <c r="V483" s="22">
        <v>0</v>
      </c>
      <c r="W483" s="23"/>
      <c r="X483" s="23"/>
      <c r="Y483" s="23"/>
    </row>
    <row r="484" spans="1:25" ht="13.2">
      <c r="A484" s="362">
        <v>1</v>
      </c>
      <c r="B484" s="351" t="s">
        <v>5556</v>
      </c>
      <c r="C484" s="33">
        <v>484</v>
      </c>
      <c r="D484" s="33">
        <v>2</v>
      </c>
      <c r="E484" s="33" t="s">
        <v>850</v>
      </c>
      <c r="F484" s="130" t="str">
        <f>HYPERLINK("https://www.cnnindonesia.com/internasional/20191120085026-134-449863/swedia-hentikan-penyidikan-kasus-pemerkosaan-julian-assange","sumber")</f>
        <v>sumber</v>
      </c>
      <c r="G484" s="33" t="s">
        <v>1</v>
      </c>
      <c r="H484" s="352">
        <v>690</v>
      </c>
      <c r="I484" s="33">
        <v>4</v>
      </c>
      <c r="J484" s="33">
        <v>1</v>
      </c>
      <c r="K484" s="33" t="s">
        <v>5557</v>
      </c>
      <c r="L484" s="33">
        <v>0</v>
      </c>
      <c r="M484" s="33">
        <v>0</v>
      </c>
      <c r="N484" s="132">
        <v>0</v>
      </c>
      <c r="O484" s="132">
        <v>0</v>
      </c>
      <c r="P484" s="33">
        <v>0</v>
      </c>
      <c r="Q484" s="33" t="s">
        <v>29</v>
      </c>
      <c r="R484" s="33" t="s">
        <v>160</v>
      </c>
      <c r="S484" s="24"/>
      <c r="T484" s="33">
        <v>0</v>
      </c>
      <c r="U484" s="33">
        <v>0</v>
      </c>
      <c r="V484" s="33">
        <v>1</v>
      </c>
      <c r="W484" s="24"/>
      <c r="X484" s="24"/>
      <c r="Y484" s="24"/>
    </row>
    <row r="485" spans="1:25" ht="13.2">
      <c r="A485" s="184">
        <v>1</v>
      </c>
      <c r="B485" s="372" t="s">
        <v>4781</v>
      </c>
      <c r="C485" s="57">
        <v>485</v>
      </c>
      <c r="D485" s="22">
        <v>7</v>
      </c>
      <c r="E485" s="22" t="s">
        <v>850</v>
      </c>
      <c r="F485" s="121" t="str">
        <f>HYPERLINK("https://www.tribunnews.com/regional/2019/11/20/pasutri-di-gresik-jual-3-janda-via-whatsapp-tarif-sekali-kencan-rp-400-ribu ","sumber")</f>
        <v>sumber</v>
      </c>
      <c r="G485" s="22" t="s">
        <v>1</v>
      </c>
      <c r="H485" s="373">
        <v>159</v>
      </c>
      <c r="I485" s="22">
        <v>1</v>
      </c>
      <c r="J485" s="22">
        <v>1</v>
      </c>
      <c r="K485" s="22" t="s">
        <v>5558</v>
      </c>
      <c r="L485" s="22">
        <v>0</v>
      </c>
      <c r="M485" s="22">
        <v>0</v>
      </c>
      <c r="N485" s="125">
        <v>0</v>
      </c>
      <c r="O485" s="125">
        <v>0</v>
      </c>
      <c r="P485" s="22">
        <v>0</v>
      </c>
      <c r="Q485" s="22" t="s">
        <v>29</v>
      </c>
      <c r="R485" s="22" t="s">
        <v>653</v>
      </c>
      <c r="S485" s="22" t="s">
        <v>5559</v>
      </c>
      <c r="T485" s="22">
        <v>1</v>
      </c>
      <c r="U485" s="22">
        <v>-1</v>
      </c>
      <c r="V485" s="22">
        <v>0</v>
      </c>
      <c r="W485" s="23"/>
      <c r="X485" s="23"/>
      <c r="Y485" s="23"/>
    </row>
    <row r="486" spans="1:25" ht="13.2">
      <c r="A486" s="184">
        <v>1</v>
      </c>
      <c r="B486" s="372" t="s">
        <v>5560</v>
      </c>
      <c r="C486" s="57">
        <v>486</v>
      </c>
      <c r="D486" s="22">
        <v>1</v>
      </c>
      <c r="E486" s="22" t="s">
        <v>912</v>
      </c>
      <c r="F486" s="121" t="str">
        <f>HYPERLINK("https://news.detik.com/internasional/d-4792867/2-pria-di-spanyol-dihukum-3-tahun-penjara-karena-rekam-pemerkosaan ","sumber")</f>
        <v>sumber</v>
      </c>
      <c r="G486" s="22" t="s">
        <v>1</v>
      </c>
      <c r="H486" s="373">
        <v>186</v>
      </c>
      <c r="I486" s="22">
        <v>4</v>
      </c>
      <c r="J486" s="22">
        <v>1</v>
      </c>
      <c r="K486" s="22"/>
      <c r="L486" s="22">
        <v>0</v>
      </c>
      <c r="M486" s="22">
        <v>0</v>
      </c>
      <c r="N486" s="125">
        <v>0</v>
      </c>
      <c r="O486" s="22">
        <v>1</v>
      </c>
      <c r="P486" s="22">
        <v>0</v>
      </c>
      <c r="Q486" s="22"/>
      <c r="R486" s="22"/>
      <c r="S486" s="23"/>
      <c r="T486" s="22">
        <v>0</v>
      </c>
      <c r="U486" s="22">
        <v>0</v>
      </c>
      <c r="V486" s="22">
        <v>1</v>
      </c>
      <c r="W486" s="23"/>
      <c r="X486" s="23"/>
      <c r="Y486" s="23"/>
    </row>
    <row r="487" spans="1:25" ht="13.2">
      <c r="A487" s="184">
        <v>1</v>
      </c>
      <c r="B487" s="372" t="s">
        <v>5561</v>
      </c>
      <c r="C487" s="57">
        <v>487</v>
      </c>
      <c r="D487" s="22">
        <v>4</v>
      </c>
      <c r="E487" s="22" t="s">
        <v>912</v>
      </c>
      <c r="F487" s="121" t="str">
        <f>HYPERLINK("https://www.liputan6.com/news/read/4116045/lindungi-pekerja-perempuan-kiec-tandatangani-nota-kesepahaman-dengan-rp3 ","sumber")</f>
        <v>sumber</v>
      </c>
      <c r="G487" s="22" t="s">
        <v>1</v>
      </c>
      <c r="H487" s="373">
        <v>245</v>
      </c>
      <c r="I487" s="22">
        <v>4</v>
      </c>
      <c r="J487" s="22">
        <v>1</v>
      </c>
      <c r="K487" s="185" t="s">
        <v>5562</v>
      </c>
      <c r="L487" s="22">
        <v>0</v>
      </c>
      <c r="M487" s="22">
        <v>0</v>
      </c>
      <c r="N487" s="125">
        <v>0</v>
      </c>
      <c r="O487" s="125">
        <v>0</v>
      </c>
      <c r="P487" s="22">
        <v>0</v>
      </c>
      <c r="Q487" s="22">
        <v>0</v>
      </c>
      <c r="R487" s="22">
        <v>1</v>
      </c>
      <c r="S487" s="23"/>
      <c r="T487" s="22">
        <v>0</v>
      </c>
      <c r="U487" s="22">
        <v>0</v>
      </c>
      <c r="V487" s="22">
        <v>1</v>
      </c>
      <c r="W487" s="23"/>
      <c r="X487" s="23"/>
      <c r="Y487" s="23"/>
    </row>
    <row r="488" spans="1:25" ht="13.2">
      <c r="A488" s="362">
        <v>1</v>
      </c>
      <c r="B488" s="351" t="s">
        <v>5563</v>
      </c>
      <c r="C488" s="33">
        <v>488</v>
      </c>
      <c r="D488" s="33">
        <v>1</v>
      </c>
      <c r="E488" s="33" t="s">
        <v>918</v>
      </c>
      <c r="F488" s="130" t="str">
        <f>HYPERLINK("https://news.detik.com/berita-jawa-tengah/d-4795875/biar-dikira-korban-perkosaan-pelaku-lucuti-celana-lily","sumber")</f>
        <v>sumber</v>
      </c>
      <c r="G488" s="33" t="s">
        <v>1</v>
      </c>
      <c r="H488" s="352">
        <v>1492</v>
      </c>
      <c r="I488" s="33">
        <v>1</v>
      </c>
      <c r="J488" s="33">
        <v>1</v>
      </c>
      <c r="K488" s="33" t="s">
        <v>5564</v>
      </c>
      <c r="L488" s="33">
        <v>0</v>
      </c>
      <c r="M488" s="33">
        <v>0</v>
      </c>
      <c r="N488" s="33">
        <v>-1</v>
      </c>
      <c r="O488" s="33">
        <v>1</v>
      </c>
      <c r="P488" s="33">
        <v>0</v>
      </c>
      <c r="Q488" s="33">
        <v>0</v>
      </c>
      <c r="R488" s="33">
        <v>0</v>
      </c>
      <c r="S488" s="33" t="s">
        <v>5565</v>
      </c>
      <c r="T488" s="33">
        <v>1</v>
      </c>
      <c r="U488" s="33">
        <v>-1</v>
      </c>
      <c r="V488" s="33">
        <v>0</v>
      </c>
      <c r="W488" s="24"/>
      <c r="X488" s="24"/>
      <c r="Y488" s="24"/>
    </row>
    <row r="489" spans="1:25" ht="13.2">
      <c r="A489" s="184">
        <v>1</v>
      </c>
      <c r="B489" s="372" t="s">
        <v>5566</v>
      </c>
      <c r="C489" s="22">
        <v>489</v>
      </c>
      <c r="D489" s="22">
        <v>6</v>
      </c>
      <c r="E489" s="22" t="s">
        <v>918</v>
      </c>
      <c r="F489" s="121" t="str">
        <f>HYPERLINK("https://megapolitan.kompas.com/read/2019/11/23/15365911/polisi-sebut-ayah-pemerkosa-anak-tiri-kabur-ke-luar-tangerang ","sumber")</f>
        <v>sumber</v>
      </c>
      <c r="G489" s="22" t="s">
        <v>1</v>
      </c>
      <c r="H489" s="373">
        <v>213</v>
      </c>
      <c r="I489" s="22">
        <v>1</v>
      </c>
      <c r="J489" s="22">
        <v>1</v>
      </c>
      <c r="K489" s="22" t="s">
        <v>5567</v>
      </c>
      <c r="L489" s="22">
        <v>0</v>
      </c>
      <c r="M489" s="22">
        <v>0</v>
      </c>
      <c r="N489" s="125">
        <v>0</v>
      </c>
      <c r="O489" s="125">
        <v>0</v>
      </c>
      <c r="P489" s="22">
        <v>0</v>
      </c>
      <c r="Q489" s="22">
        <v>0</v>
      </c>
      <c r="R489" s="22">
        <v>1</v>
      </c>
      <c r="S489" s="23"/>
      <c r="T489" s="22">
        <v>0</v>
      </c>
      <c r="U489" s="22">
        <v>0</v>
      </c>
      <c r="V489" s="22">
        <v>1</v>
      </c>
      <c r="W489" s="23"/>
      <c r="X489" s="23"/>
      <c r="Y489" s="23"/>
    </row>
    <row r="490" spans="1:25" ht="13.2">
      <c r="A490" s="184">
        <v>1</v>
      </c>
      <c r="B490" s="372" t="s">
        <v>5568</v>
      </c>
      <c r="C490" s="22">
        <v>490</v>
      </c>
      <c r="D490" s="22">
        <v>10</v>
      </c>
      <c r="E490" s="22" t="s">
        <v>918</v>
      </c>
      <c r="F490" s="121" t="str">
        <f>HYPERLINK("https://dunia.tempo.co/read/1275580/pastor-di-badan-amal-di-afrika-pedofil-pbb-hentikan-kerja-sama ","sumber")</f>
        <v>sumber</v>
      </c>
      <c r="G490" s="22" t="s">
        <v>1</v>
      </c>
      <c r="H490" s="373">
        <v>221</v>
      </c>
      <c r="I490" s="22">
        <v>4</v>
      </c>
      <c r="J490" s="22">
        <v>1</v>
      </c>
      <c r="K490" s="22"/>
      <c r="L490" s="22">
        <v>0</v>
      </c>
      <c r="M490" s="22">
        <v>0</v>
      </c>
      <c r="N490" s="125">
        <v>0</v>
      </c>
      <c r="O490" s="125">
        <v>0</v>
      </c>
      <c r="P490" s="22">
        <v>0</v>
      </c>
      <c r="Q490" s="22"/>
      <c r="R490" s="22"/>
      <c r="S490" s="23"/>
      <c r="T490" s="22">
        <v>0</v>
      </c>
      <c r="U490" s="22">
        <v>0</v>
      </c>
      <c r="V490" s="22">
        <v>1</v>
      </c>
      <c r="W490" s="23"/>
      <c r="X490" s="23"/>
      <c r="Y490" s="23"/>
    </row>
    <row r="491" spans="1:25" ht="13.2">
      <c r="A491" s="362">
        <v>1</v>
      </c>
      <c r="B491" s="351" t="s">
        <v>3985</v>
      </c>
      <c r="C491" s="33">
        <v>491</v>
      </c>
      <c r="D491" s="33">
        <v>3</v>
      </c>
      <c r="E491" s="33" t="s">
        <v>928</v>
      </c>
      <c r="F491" s="130" t="str">
        <f>HYPERLINK("https://news.okezone.com/read/2019/11/25/609/2134290/pamerkan-kemaluan-ke-wanita-pria-ini-nyaris-diamuk-massa","sumber")</f>
        <v>sumber</v>
      </c>
      <c r="G491" s="33" t="s">
        <v>1</v>
      </c>
      <c r="H491" s="352">
        <v>343</v>
      </c>
      <c r="I491" s="33">
        <v>1</v>
      </c>
      <c r="J491" s="33">
        <v>1</v>
      </c>
      <c r="K491" s="374" t="s">
        <v>5569</v>
      </c>
      <c r="L491" s="33">
        <v>0</v>
      </c>
      <c r="M491" s="33">
        <v>0</v>
      </c>
      <c r="N491" s="132">
        <v>0</v>
      </c>
      <c r="O491" s="132">
        <v>0</v>
      </c>
      <c r="P491" s="33">
        <v>0</v>
      </c>
      <c r="Q491" s="33">
        <v>0</v>
      </c>
      <c r="R491" s="33">
        <v>1</v>
      </c>
      <c r="S491" s="24"/>
      <c r="T491" s="33">
        <v>0</v>
      </c>
      <c r="U491" s="33">
        <v>0</v>
      </c>
      <c r="V491" s="33">
        <v>0</v>
      </c>
      <c r="W491" s="24"/>
      <c r="X491" s="24"/>
      <c r="Y491" s="24"/>
    </row>
    <row r="492" spans="1:25" ht="13.2">
      <c r="A492" s="184">
        <v>1</v>
      </c>
      <c r="B492" s="372" t="s">
        <v>5570</v>
      </c>
      <c r="C492" s="57">
        <v>492</v>
      </c>
      <c r="D492" s="22">
        <v>8</v>
      </c>
      <c r="E492" s="298">
        <v>43750</v>
      </c>
      <c r="F492" s="121" t="str">
        <f>HYPERLINK("https://www.suara.com/news/2019/12/10/071000/tgupp-anies-jadi-target-operasi-tangkap-tangan-dan-4-berita-lainnya ","sumber")</f>
        <v>sumber</v>
      </c>
      <c r="G492" s="22" t="s">
        <v>1</v>
      </c>
      <c r="H492" s="373">
        <v>400</v>
      </c>
      <c r="I492" s="22">
        <v>1</v>
      </c>
      <c r="J492" s="22">
        <v>1</v>
      </c>
      <c r="K492" s="22" t="s">
        <v>5571</v>
      </c>
      <c r="L492" s="22">
        <v>0</v>
      </c>
      <c r="M492" s="22">
        <v>0</v>
      </c>
      <c r="N492" s="125">
        <v>0</v>
      </c>
      <c r="O492" s="125">
        <v>0</v>
      </c>
      <c r="P492" s="22">
        <v>0</v>
      </c>
      <c r="Q492" s="22" t="s">
        <v>29</v>
      </c>
      <c r="R492" s="22" t="s">
        <v>29</v>
      </c>
      <c r="S492" s="23"/>
      <c r="T492" s="22">
        <v>0</v>
      </c>
      <c r="U492" s="22">
        <v>0</v>
      </c>
      <c r="V492" s="22">
        <v>1</v>
      </c>
      <c r="W492" s="23"/>
      <c r="X492" s="23"/>
      <c r="Y492" s="23"/>
    </row>
    <row r="493" spans="1:25" ht="13.2">
      <c r="A493" s="184">
        <v>1</v>
      </c>
      <c r="B493" s="372" t="s">
        <v>5572</v>
      </c>
      <c r="C493" s="22">
        <v>493</v>
      </c>
      <c r="D493" s="22">
        <v>4</v>
      </c>
      <c r="E493" s="298">
        <v>43811</v>
      </c>
      <c r="F493" s="121" t="str">
        <f>HYPERLINK("https://www.liputan6.com/news/read/4132418/langkah-erick-thohir-soal-isu-pelecehan-seksual-pramugari-garuda ","sumber")</f>
        <v>sumber</v>
      </c>
      <c r="G493" s="22" t="s">
        <v>1</v>
      </c>
      <c r="H493" s="373">
        <v>359</v>
      </c>
      <c r="I493" s="22">
        <v>1</v>
      </c>
      <c r="J493" s="22">
        <v>1</v>
      </c>
      <c r="K493" s="22" t="s">
        <v>5573</v>
      </c>
      <c r="L493" s="22">
        <v>0</v>
      </c>
      <c r="M493" s="22">
        <v>0</v>
      </c>
      <c r="N493" s="125">
        <v>0</v>
      </c>
      <c r="O493" s="125">
        <v>0</v>
      </c>
      <c r="P493" s="22">
        <v>0</v>
      </c>
      <c r="Q493" s="22">
        <v>0</v>
      </c>
      <c r="R493" s="22">
        <v>1</v>
      </c>
      <c r="S493" s="23"/>
      <c r="T493" s="22">
        <v>0</v>
      </c>
      <c r="U493" s="22">
        <v>0</v>
      </c>
      <c r="V493" s="22">
        <v>1</v>
      </c>
      <c r="W493" s="23"/>
      <c r="X493" s="23"/>
      <c r="Y493" s="23"/>
    </row>
    <row r="494" spans="1:25" ht="13.2">
      <c r="A494" s="179">
        <v>2</v>
      </c>
      <c r="B494" s="348" t="s">
        <v>5574</v>
      </c>
      <c r="C494" s="25">
        <v>494</v>
      </c>
      <c r="D494" s="26"/>
      <c r="E494" s="25" t="s">
        <v>875</v>
      </c>
      <c r="F494" s="115" t="str">
        <f>HYPERLINK("https://hot.detik.com/celeb/d-4826105/dituding-selingkuh-dengan-marshanda-suami-ragu-ampuni-karen-pooroe ","sumber")</f>
        <v>sumber</v>
      </c>
      <c r="G494" s="25" t="s">
        <v>1</v>
      </c>
      <c r="H494" s="349">
        <v>268</v>
      </c>
      <c r="I494" s="26"/>
      <c r="J494" s="26"/>
      <c r="K494" s="26"/>
      <c r="L494" s="26"/>
      <c r="M494" s="26"/>
      <c r="N494" s="26"/>
      <c r="O494" s="26"/>
      <c r="P494" s="26"/>
      <c r="Q494" s="26"/>
      <c r="R494" s="26"/>
      <c r="S494" s="26"/>
      <c r="T494" s="26"/>
      <c r="U494" s="26"/>
      <c r="V494" s="26"/>
      <c r="W494" s="26"/>
      <c r="X494" s="26"/>
      <c r="Y494" s="26"/>
    </row>
    <row r="495" spans="1:25" ht="13.2">
      <c r="A495" s="184">
        <v>1</v>
      </c>
      <c r="B495" s="372" t="s">
        <v>5575</v>
      </c>
      <c r="C495" s="57">
        <v>495</v>
      </c>
      <c r="D495" s="22">
        <v>3</v>
      </c>
      <c r="E495" s="22" t="s">
        <v>861</v>
      </c>
      <c r="F495" s="121" t="str">
        <f>HYPERLINK("https://megapolitan.okezone.com/read/2019/12/18/338/2143564/kontroversi-anies-baswedan-dari-rencana-wisata-halal-hingga-izin-dwp-2019 ","sumber")</f>
        <v>sumber</v>
      </c>
      <c r="G495" s="22" t="s">
        <v>1</v>
      </c>
      <c r="H495" s="373">
        <v>685</v>
      </c>
      <c r="I495" s="22">
        <v>1</v>
      </c>
      <c r="J495" s="22">
        <v>0</v>
      </c>
      <c r="K495" s="22" t="s">
        <v>5576</v>
      </c>
      <c r="L495" s="22">
        <v>0</v>
      </c>
      <c r="M495" s="22">
        <v>0</v>
      </c>
      <c r="N495" s="125">
        <v>0</v>
      </c>
      <c r="O495" s="125">
        <v>0</v>
      </c>
      <c r="P495" s="22">
        <v>0</v>
      </c>
      <c r="Q495" s="22" t="s">
        <v>29</v>
      </c>
      <c r="R495" s="22" t="s">
        <v>68</v>
      </c>
      <c r="S495" s="23"/>
      <c r="T495" s="22">
        <v>0</v>
      </c>
      <c r="U495" s="22">
        <v>0</v>
      </c>
      <c r="V495" s="22">
        <v>1</v>
      </c>
      <c r="W495" s="23"/>
      <c r="X495" s="23"/>
      <c r="Y495" s="23"/>
    </row>
    <row r="496" spans="1:25" ht="13.2">
      <c r="A496" s="184">
        <v>1</v>
      </c>
      <c r="B496" s="372" t="s">
        <v>5577</v>
      </c>
      <c r="C496" s="22">
        <v>496</v>
      </c>
      <c r="D496" s="22">
        <v>10</v>
      </c>
      <c r="E496" s="22" t="s">
        <v>861</v>
      </c>
      <c r="F496" s="121" t="str">
        <f>HYPERLINK("https://dunia.tempo.co/read/1285059/wartawan-terkenal-jepang-bayar-ganti-rugi-ke-korban-perkosaan ","sumber")</f>
        <v>sumber</v>
      </c>
      <c r="G496" s="22" t="s">
        <v>1</v>
      </c>
      <c r="H496" s="373">
        <v>254</v>
      </c>
      <c r="I496" s="22">
        <v>4</v>
      </c>
      <c r="J496" s="22">
        <v>1</v>
      </c>
      <c r="K496" s="22" t="s">
        <v>5578</v>
      </c>
      <c r="L496" s="22">
        <v>0</v>
      </c>
      <c r="M496" s="22">
        <v>0</v>
      </c>
      <c r="N496" s="125">
        <v>0</v>
      </c>
      <c r="O496" s="22">
        <v>1</v>
      </c>
      <c r="P496" s="22">
        <v>0</v>
      </c>
      <c r="Q496" s="22">
        <v>2</v>
      </c>
      <c r="R496" s="22">
        <v>1</v>
      </c>
      <c r="S496" s="23"/>
      <c r="T496" s="22">
        <v>0</v>
      </c>
      <c r="U496" s="22">
        <v>0</v>
      </c>
      <c r="V496" s="22">
        <v>1</v>
      </c>
      <c r="W496" s="23"/>
      <c r="X496" s="23"/>
      <c r="Y496" s="23"/>
    </row>
    <row r="497" spans="1:25" ht="13.2">
      <c r="A497" s="184">
        <v>1</v>
      </c>
      <c r="B497" s="372" t="s">
        <v>5579</v>
      </c>
      <c r="C497" s="22">
        <v>497</v>
      </c>
      <c r="D497" s="22">
        <v>6</v>
      </c>
      <c r="E497" s="22" t="s">
        <v>932</v>
      </c>
      <c r="F497" s="121" t="str">
        <f>HYPERLINK("https://regional.kompas.com/read/2019/12/19/22114211/kronologi-istri-injak-kemaluan-suami-hingga-pingsan-awalnya-dari-cekcok ","sumber")</f>
        <v>sumber</v>
      </c>
      <c r="G497" s="22" t="s">
        <v>1</v>
      </c>
      <c r="H497" s="373">
        <v>187</v>
      </c>
      <c r="I497" s="22">
        <v>1</v>
      </c>
      <c r="J497" s="22">
        <v>0</v>
      </c>
      <c r="K497" s="22" t="s">
        <v>5580</v>
      </c>
      <c r="L497" s="22">
        <v>0</v>
      </c>
      <c r="M497" s="22">
        <v>0</v>
      </c>
      <c r="N497" s="125">
        <v>0</v>
      </c>
      <c r="O497" s="125">
        <v>0</v>
      </c>
      <c r="P497" s="22">
        <v>0</v>
      </c>
      <c r="Q497" s="22">
        <v>0</v>
      </c>
      <c r="R497" s="22">
        <v>-1</v>
      </c>
      <c r="S497" s="23"/>
      <c r="T497" s="22">
        <v>0</v>
      </c>
      <c r="U497" s="22">
        <v>0</v>
      </c>
      <c r="V497" s="22">
        <v>0</v>
      </c>
      <c r="W497" s="23"/>
      <c r="X497" s="23"/>
      <c r="Y497" s="23"/>
    </row>
    <row r="498" spans="1:25" ht="13.2">
      <c r="A498" s="184">
        <v>1</v>
      </c>
      <c r="B498" s="372" t="s">
        <v>5581</v>
      </c>
      <c r="C498" s="57">
        <v>498</v>
      </c>
      <c r="D498" s="22">
        <v>4</v>
      </c>
      <c r="E498" s="22" t="s">
        <v>864</v>
      </c>
      <c r="F498" s="121" t="str">
        <f>HYPERLINK("https://www.liputan6.com/showbiz/read/4138496/yuni-shara-mengaku-sulit-dapat-kepuasan-di-ranjang ","sumber")</f>
        <v>sumber</v>
      </c>
      <c r="G498" s="22" t="s">
        <v>1</v>
      </c>
      <c r="H498" s="373">
        <v>208</v>
      </c>
      <c r="I498" s="22">
        <v>2</v>
      </c>
      <c r="J498" s="22">
        <v>1</v>
      </c>
      <c r="K498" s="22"/>
      <c r="L498" s="22">
        <v>0</v>
      </c>
      <c r="M498" s="22">
        <v>0</v>
      </c>
      <c r="N498" s="125">
        <v>0</v>
      </c>
      <c r="O498" s="125">
        <v>0</v>
      </c>
      <c r="P498" s="22">
        <v>-1</v>
      </c>
      <c r="Q498" s="22"/>
      <c r="R498" s="22"/>
      <c r="S498" s="23"/>
      <c r="T498" s="22">
        <v>0</v>
      </c>
      <c r="U498" s="22">
        <v>0</v>
      </c>
      <c r="V498" s="22">
        <v>0</v>
      </c>
      <c r="W498" s="23"/>
      <c r="X498" s="23"/>
      <c r="Y498" s="23"/>
    </row>
    <row r="499" spans="1:25" ht="13.2">
      <c r="A499" s="184">
        <v>1</v>
      </c>
      <c r="B499" s="372" t="s">
        <v>5582</v>
      </c>
      <c r="C499" s="22">
        <v>499</v>
      </c>
      <c r="D499" s="22">
        <v>6</v>
      </c>
      <c r="E499" s="22" t="s">
        <v>867</v>
      </c>
      <c r="F499" s="121" t="str">
        <f>HYPERLINK("https://regional.kompas.com/read/2019/12/21/09390021/istri-injak-kemaluan-suami-hingga-pingsan-ahli--pria-berpotensi-jadi-korban ","sumber")</f>
        <v>sumber</v>
      </c>
      <c r="G499" s="22" t="s">
        <v>1</v>
      </c>
      <c r="H499" s="373">
        <v>238</v>
      </c>
      <c r="I499" s="22">
        <v>1</v>
      </c>
      <c r="J499" s="22">
        <v>0</v>
      </c>
      <c r="K499" s="22" t="s">
        <v>5583</v>
      </c>
      <c r="L499" s="22">
        <v>0</v>
      </c>
      <c r="M499" s="22">
        <v>0</v>
      </c>
      <c r="N499" s="125">
        <v>0</v>
      </c>
      <c r="O499" s="125">
        <v>0</v>
      </c>
      <c r="P499" s="22">
        <v>0</v>
      </c>
      <c r="Q499" s="22" t="s">
        <v>21</v>
      </c>
      <c r="R499" s="22" t="s">
        <v>1552</v>
      </c>
      <c r="S499" s="22" t="s">
        <v>5584</v>
      </c>
      <c r="T499" s="22">
        <v>1</v>
      </c>
      <c r="U499" s="22">
        <v>-1</v>
      </c>
      <c r="V499" s="22">
        <v>0</v>
      </c>
      <c r="W499" s="23"/>
      <c r="X499" s="23"/>
      <c r="Y499" s="23"/>
    </row>
    <row r="500" spans="1:25" ht="13.2">
      <c r="A500" s="184">
        <v>1</v>
      </c>
      <c r="B500" s="372" t="s">
        <v>4004</v>
      </c>
      <c r="C500" s="22">
        <v>500</v>
      </c>
      <c r="D500" s="22">
        <v>7</v>
      </c>
      <c r="E500" s="22" t="s">
        <v>936</v>
      </c>
      <c r="F500" s="121" t="str">
        <f>HYPERLINK("https://www.tribunnews.com/seleb/2019/12/23/5-fakta-penderitaan-yuni-shara-menikah-dengan-raymond-manthey-bertahan-cuma-4-bulan-drama-kdrt ","sumber")</f>
        <v>sumber</v>
      </c>
      <c r="G500" s="22" t="s">
        <v>1</v>
      </c>
      <c r="H500" s="373">
        <v>95</v>
      </c>
      <c r="I500" s="22">
        <v>2</v>
      </c>
      <c r="J500" s="22">
        <v>1</v>
      </c>
      <c r="K500" s="22"/>
      <c r="L500" s="22">
        <v>0</v>
      </c>
      <c r="M500" s="22">
        <v>0</v>
      </c>
      <c r="N500" s="125">
        <v>0</v>
      </c>
      <c r="O500" s="125">
        <v>0</v>
      </c>
      <c r="P500" s="22">
        <v>0</v>
      </c>
      <c r="Q500" s="22"/>
      <c r="R500" s="22"/>
      <c r="S500" s="23"/>
      <c r="T500" s="22">
        <v>0</v>
      </c>
      <c r="U500" s="22">
        <v>0</v>
      </c>
      <c r="V500" s="22">
        <v>0</v>
      </c>
      <c r="W500" s="23"/>
      <c r="X500" s="23"/>
      <c r="Y500" s="23"/>
    </row>
    <row r="501" spans="1:25" ht="13.2">
      <c r="A501" s="362">
        <v>1</v>
      </c>
      <c r="B501" s="351" t="s">
        <v>5585</v>
      </c>
      <c r="C501" s="33">
        <v>501</v>
      </c>
      <c r="D501" s="33">
        <v>7</v>
      </c>
      <c r="E501" s="33" t="s">
        <v>873</v>
      </c>
      <c r="F501" s="130" t="str">
        <f>HYPERLINK("https://www.tribunnews.com/regional/2019/12/24/sebab-janda-ngawi-tewas-di-kebon-jagung-polisi-sebut-kondisi-jasad-lemas-korban-perkosaan","sumber")</f>
        <v>sumber</v>
      </c>
      <c r="G501" s="33" t="s">
        <v>1</v>
      </c>
      <c r="H501" s="352">
        <v>243</v>
      </c>
      <c r="I501" s="33">
        <v>1</v>
      </c>
      <c r="J501" s="33">
        <v>1</v>
      </c>
      <c r="K501" s="33" t="s">
        <v>5586</v>
      </c>
      <c r="L501" s="33">
        <v>0</v>
      </c>
      <c r="M501" s="33">
        <v>0</v>
      </c>
      <c r="N501" s="132">
        <v>0</v>
      </c>
      <c r="O501" s="132">
        <v>0</v>
      </c>
      <c r="P501" s="33">
        <v>-1</v>
      </c>
      <c r="Q501" s="33">
        <v>0</v>
      </c>
      <c r="R501" s="33">
        <v>0</v>
      </c>
      <c r="S501" s="33" t="s">
        <v>5587</v>
      </c>
      <c r="T501" s="33">
        <v>1</v>
      </c>
      <c r="U501" s="33">
        <v>-1</v>
      </c>
      <c r="V501" s="33">
        <v>0</v>
      </c>
      <c r="W501" s="24"/>
      <c r="X501" s="24"/>
      <c r="Y501" s="24"/>
    </row>
    <row r="502" spans="1:25" ht="13.2">
      <c r="A502" s="184">
        <v>1</v>
      </c>
      <c r="B502" s="372" t="s">
        <v>5588</v>
      </c>
      <c r="C502" s="22">
        <v>502</v>
      </c>
      <c r="D502" s="22">
        <v>4</v>
      </c>
      <c r="E502" s="22" t="s">
        <v>1044</v>
      </c>
      <c r="F502" s="121" t="str">
        <f>HYPERLINK("https://www.liputan6.com/health/read/4141810/menggoda-teman-kerja-kurangi-stres-di-kantor ","sumber")</f>
        <v>sumber</v>
      </c>
      <c r="G502" s="22" t="s">
        <v>1</v>
      </c>
      <c r="H502" s="373">
        <v>259</v>
      </c>
      <c r="I502" s="22">
        <v>2</v>
      </c>
      <c r="J502" s="22">
        <v>3</v>
      </c>
      <c r="K502" s="22" t="s">
        <v>5589</v>
      </c>
      <c r="L502" s="22">
        <v>0</v>
      </c>
      <c r="M502" s="22">
        <v>0</v>
      </c>
      <c r="N502" s="125">
        <v>0</v>
      </c>
      <c r="O502" s="125">
        <v>0</v>
      </c>
      <c r="P502" s="22">
        <v>0</v>
      </c>
      <c r="Q502" s="22">
        <v>0</v>
      </c>
      <c r="R502" s="22">
        <v>1</v>
      </c>
      <c r="S502" s="23"/>
      <c r="T502" s="22">
        <v>0</v>
      </c>
      <c r="U502" s="22">
        <v>0</v>
      </c>
      <c r="V502" s="22">
        <v>1</v>
      </c>
      <c r="W502" s="23"/>
      <c r="X502" s="23"/>
      <c r="Y502" s="23"/>
    </row>
    <row r="503" spans="1:25" ht="13.2">
      <c r="A503" s="184">
        <v>1</v>
      </c>
      <c r="B503" s="372" t="s">
        <v>5590</v>
      </c>
      <c r="C503" s="22">
        <v>503</v>
      </c>
      <c r="D503" s="22">
        <v>7</v>
      </c>
      <c r="E503" s="22" t="s">
        <v>1044</v>
      </c>
      <c r="F503" s="121" t="str">
        <f>HYPERLINK("https://www.tribunnews.com/regional/2019/12/25/video-viral-istri-seret-suami-cacat-mengemis-di-jalan-marah-dan-pukul-badan-suami ","sumber")</f>
        <v>sumber</v>
      </c>
      <c r="G503" s="22" t="s">
        <v>1</v>
      </c>
      <c r="H503" s="373">
        <v>82</v>
      </c>
      <c r="I503" s="22">
        <v>2</v>
      </c>
      <c r="J503" s="22">
        <v>2</v>
      </c>
      <c r="K503" s="22"/>
      <c r="L503" s="22">
        <v>0</v>
      </c>
      <c r="M503" s="22">
        <v>0</v>
      </c>
      <c r="N503" s="125">
        <v>0</v>
      </c>
      <c r="O503" s="125">
        <v>0</v>
      </c>
      <c r="P503" s="22">
        <v>0</v>
      </c>
      <c r="Q503" s="22"/>
      <c r="R503" s="22"/>
      <c r="S503" s="22" t="s">
        <v>1178</v>
      </c>
      <c r="T503" s="22">
        <v>1</v>
      </c>
      <c r="U503" s="22">
        <v>0</v>
      </c>
      <c r="V503" s="22">
        <v>0</v>
      </c>
      <c r="W503" s="23"/>
      <c r="X503" s="23"/>
      <c r="Y503" s="23"/>
    </row>
    <row r="504" spans="1:25" ht="13.2">
      <c r="A504" s="184">
        <v>1</v>
      </c>
      <c r="B504" s="372" t="s">
        <v>5591</v>
      </c>
      <c r="C504" s="57">
        <v>504</v>
      </c>
      <c r="D504" s="22">
        <v>7</v>
      </c>
      <c r="E504" s="22" t="s">
        <v>1048</v>
      </c>
      <c r="F504" s="121" t="str">
        <f>HYPERLINK("https://www.tribunnews.com/regional/2019/12/28/pelaku-mengaku-sengaja-melepaskan-pakaian-bella-setelah-dibunuh-dan-dirampok ","sumber")</f>
        <v>sumber</v>
      </c>
      <c r="G504" s="22" t="s">
        <v>1</v>
      </c>
      <c r="H504" s="373">
        <v>228</v>
      </c>
      <c r="I504" s="22">
        <v>1</v>
      </c>
      <c r="J504" s="22">
        <v>1</v>
      </c>
      <c r="K504" s="22" t="s">
        <v>5592</v>
      </c>
      <c r="L504" s="22">
        <v>0</v>
      </c>
      <c r="M504" s="22">
        <v>-1</v>
      </c>
      <c r="N504" s="22">
        <v>-1</v>
      </c>
      <c r="O504" s="125">
        <v>0</v>
      </c>
      <c r="P504" s="22">
        <v>-1</v>
      </c>
      <c r="Q504" s="22">
        <v>0</v>
      </c>
      <c r="R504" s="22">
        <v>0</v>
      </c>
      <c r="S504" s="23"/>
      <c r="T504" s="22">
        <v>0</v>
      </c>
      <c r="U504" s="22">
        <v>0</v>
      </c>
      <c r="V504" s="22">
        <v>0</v>
      </c>
      <c r="W504" s="23"/>
      <c r="X504" s="23"/>
      <c r="Y504" s="23"/>
    </row>
    <row r="505" spans="1:25" ht="13.2">
      <c r="A505" s="290">
        <v>1</v>
      </c>
      <c r="B505" s="351" t="s">
        <v>5593</v>
      </c>
      <c r="C505" s="33">
        <v>505</v>
      </c>
      <c r="D505" s="33">
        <v>10</v>
      </c>
      <c r="E505" s="33" t="s">
        <v>941</v>
      </c>
      <c r="F505" s="130" t="str">
        <f>HYPERLINK("https://cantik.tempo.co/read/1286708/hari-ibu-megawati-ajak-perempuan-berani-berpolitik","sumber")</f>
        <v>sumber</v>
      </c>
      <c r="G505" s="33" t="s">
        <v>1</v>
      </c>
      <c r="H505" s="352">
        <v>325</v>
      </c>
      <c r="I505" s="33">
        <v>3</v>
      </c>
      <c r="J505" s="33">
        <v>3</v>
      </c>
      <c r="K505" s="33" t="s">
        <v>5594</v>
      </c>
      <c r="L505" s="33">
        <v>0</v>
      </c>
      <c r="M505" s="33">
        <v>0</v>
      </c>
      <c r="N505" s="132">
        <v>0</v>
      </c>
      <c r="O505" s="132">
        <v>0</v>
      </c>
      <c r="P505" s="33">
        <v>0</v>
      </c>
      <c r="Q505" s="33">
        <v>0</v>
      </c>
      <c r="R505" s="33">
        <v>1</v>
      </c>
      <c r="S505" s="24"/>
      <c r="T505" s="33">
        <v>0</v>
      </c>
      <c r="U505" s="33">
        <v>0</v>
      </c>
      <c r="V505" s="33">
        <v>1</v>
      </c>
      <c r="W505" s="24"/>
      <c r="X505" s="24"/>
      <c r="Y505" s="24"/>
    </row>
    <row r="506" spans="1:25" ht="13.2">
      <c r="A506" s="295">
        <v>1</v>
      </c>
      <c r="B506" s="372" t="s">
        <v>5595</v>
      </c>
      <c r="C506" s="22">
        <v>506</v>
      </c>
      <c r="D506" s="22">
        <v>5</v>
      </c>
      <c r="E506" s="22" t="s">
        <v>1056</v>
      </c>
      <c r="F506" s="121" t="str">
        <f>HYPERLINK("https://tirto.id/123-anak-jadi-korban-kekerasan-seksual-di-sekolah-selama-2019-ep3D ","sumber")</f>
        <v>sumber</v>
      </c>
      <c r="G506" s="22" t="s">
        <v>1</v>
      </c>
      <c r="H506" s="373">
        <v>682</v>
      </c>
      <c r="I506" s="22">
        <v>2</v>
      </c>
      <c r="J506" s="22">
        <v>1</v>
      </c>
      <c r="K506" s="375" t="s">
        <v>5596</v>
      </c>
      <c r="L506" s="375">
        <v>0</v>
      </c>
      <c r="M506" s="375">
        <v>0</v>
      </c>
      <c r="N506" s="125">
        <v>0</v>
      </c>
      <c r="O506" s="125">
        <v>0</v>
      </c>
      <c r="P506" s="22">
        <v>0</v>
      </c>
      <c r="Q506" s="22">
        <v>0</v>
      </c>
      <c r="R506" s="22">
        <v>1</v>
      </c>
      <c r="S506" s="23"/>
      <c r="T506" s="22">
        <v>0</v>
      </c>
      <c r="U506" s="22">
        <v>0</v>
      </c>
      <c r="V506" s="22">
        <v>1</v>
      </c>
      <c r="W506" s="23"/>
      <c r="X506" s="23"/>
      <c r="Y506" s="23"/>
    </row>
  </sheetData>
  <customSheetViews>
    <customSheetView guid="{E3B16FF4-157A-41A8-880D-5DDB83361892}" filter="1" showAutoFilter="1">
      <pageMargins left="0.7" right="0.7" top="0.75" bottom="0.75" header="0.3" footer="0.3"/>
      <autoFilter ref="Z1:Z1042"/>
    </customSheetView>
    <customSheetView guid="{0B48C2DC-E7D4-4DCC-ACB5-09BD4089ED05}" filter="1" showAutoFilter="1">
      <pageMargins left="0.7" right="0.7" top="0.75" bottom="0.75" header="0.3" footer="0.3"/>
      <autoFilter ref="I5:I510">
        <filterColumn colId="0">
          <filters>
            <filter val="1"/>
          </filters>
        </filterColumn>
      </autoFilter>
    </customSheetView>
    <customSheetView guid="{62CFFA2F-2CDE-4159-80E8-0067D9460027}" filter="1" showAutoFilter="1">
      <pageMargins left="0.7" right="0.7" top="0.75" bottom="0.75" header="0.3" footer="0.3"/>
      <autoFilter ref="I5:I510">
        <filterColumn colId="0">
          <filters blank="1">
            <filter val="2"/>
            <filter val="3"/>
            <filter val="4"/>
            <filter val="5"/>
          </filters>
        </filterColumn>
      </autoFilter>
    </customSheetView>
    <customSheetView guid="{C0FD2F62-3ADA-4E44-ABC2-10E955012945}" filter="1" showAutoFilter="1">
      <pageMargins left="0.7" right="0.7" top="0.75" bottom="0.75" header="0.3" footer="0.3"/>
      <autoFilter ref="S5:S510"/>
    </customSheetView>
    <customSheetView guid="{B69A7256-2244-4A5A-98B8-5882F2FF8700}" filter="1" showAutoFilter="1">
      <pageMargins left="0.7" right="0.7" top="0.75" bottom="0.75" header="0.3" footer="0.3"/>
      <autoFilter ref="L5:L510"/>
    </customSheetView>
    <customSheetView guid="{D0A54268-7389-43AB-A5BA-78B6DAB825D3}" filter="1" showAutoFilter="1">
      <pageMargins left="0.7" right="0.7" top="0.75" bottom="0.75" header="0.3" footer="0.3"/>
      <autoFilter ref="K5:K510"/>
    </customSheetView>
    <customSheetView guid="{17EFBF60-FA66-46DD-8C66-7DD74D543108}" filter="1" showAutoFilter="1">
      <pageMargins left="0.7" right="0.7" top="0.75" bottom="0.75" header="0.3" footer="0.3"/>
      <autoFilter ref="A5:A510"/>
    </customSheetView>
    <customSheetView guid="{73395ED9-AE98-48BE-901B-FBF6E91AA159}" filter="1" showAutoFilter="1">
      <pageMargins left="0.7" right="0.7" top="0.75" bottom="0.75" header="0.3" footer="0.3"/>
      <autoFilter ref="O5:O510"/>
    </customSheetView>
    <customSheetView guid="{95107451-AD48-4E36-95D5-D44A7511BFD9}" filter="1" showAutoFilter="1">
      <pageMargins left="0.7" right="0.7" top="0.75" bottom="0.75" header="0.3" footer="0.3"/>
      <autoFilter ref="O5:O510"/>
    </customSheetView>
    <customSheetView guid="{66348944-9FC2-49D4-937A-1A6FEBFF4639}" filter="1" showAutoFilter="1">
      <pageMargins left="0.7" right="0.7" top="0.75" bottom="0.75" header="0.3" footer="0.3"/>
      <autoFilter ref="P5:P510"/>
    </customSheetView>
    <customSheetView guid="{20CAB334-E8B9-4848-AC8F-2E0A8DBFE604}" filter="1" showAutoFilter="1">
      <pageMargins left="0.7" right="0.7" top="0.75" bottom="0.75" header="0.3" footer="0.3"/>
      <autoFilter ref="N5:N510"/>
    </customSheetView>
    <customSheetView guid="{7A661D72-FC41-4646-AEAF-00CD193B6D95}" filter="1" showAutoFilter="1">
      <pageMargins left="0.7" right="0.7" top="0.75" bottom="0.75" header="0.3" footer="0.3"/>
      <autoFilter ref="N5:N510">
        <filterColumn colId="0">
          <filters>
            <filter val="0"/>
          </filters>
        </filterColumn>
      </autoFilter>
    </customSheetView>
    <customSheetView guid="{E86185C4-4744-4607-8BAA-B6F1F3EDD783}" filter="1" showAutoFilter="1">
      <pageMargins left="0.7" right="0.7" top="0.75" bottom="0.75" header="0.3" footer="0.3"/>
      <autoFilter ref="U5:U511"/>
    </customSheetView>
    <customSheetView guid="{E0B68C8C-9E59-4D09-A796-DABAD0F2C26F}" filter="1" showAutoFilter="1">
      <pageMargins left="0.7" right="0.7" top="0.75" bottom="0.75" header="0.3" footer="0.3"/>
      <autoFilter ref="M5:M510"/>
    </customSheetView>
  </customSheetViews>
  <hyperlinks>
    <hyperlink ref="F11" location="Coder 6!A1" display="sumber"/>
    <hyperlink ref="F254" r:id="rId1"/>
  </hyperlinks>
  <pageMargins left="0.7" right="0.7" top="0.75" bottom="0.75" header="0.3" footer="0.3"/>
  <legacyDrawing r:id="rId2"/>
  <tableParts count="54">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480"/>
  <sheetViews>
    <sheetView workbookViewId="0">
      <selection activeCell="F1483" sqref="F1483"/>
    </sheetView>
  </sheetViews>
  <sheetFormatPr defaultColWidth="14.44140625" defaultRowHeight="15.75" customHeight="1"/>
  <cols>
    <col min="2" max="2" width="17.5546875" customWidth="1"/>
  </cols>
  <sheetData>
    <row r="1" spans="1:2" ht="14.4">
      <c r="A1" s="376" t="s">
        <v>5597</v>
      </c>
      <c r="B1" s="378" t="s">
        <v>0</v>
      </c>
    </row>
    <row r="2" spans="1:2" ht="14.4">
      <c r="A2" s="376" t="s">
        <v>312</v>
      </c>
      <c r="B2" s="225" t="s">
        <v>5598</v>
      </c>
    </row>
    <row r="3" spans="1:2" ht="14.4">
      <c r="A3" s="376" t="s">
        <v>316</v>
      </c>
      <c r="B3" s="225" t="s">
        <v>5598</v>
      </c>
    </row>
    <row r="4" spans="1:2" ht="14.4">
      <c r="A4" s="376" t="s">
        <v>317</v>
      </c>
      <c r="B4" s="225" t="s">
        <v>5598</v>
      </c>
    </row>
    <row r="5" spans="1:2" ht="14.4">
      <c r="A5" s="376" t="s">
        <v>318</v>
      </c>
      <c r="B5" s="225" t="s">
        <v>5598</v>
      </c>
    </row>
    <row r="6" spans="1:2" ht="14.4">
      <c r="A6" s="376" t="s">
        <v>319</v>
      </c>
      <c r="B6" s="225" t="s">
        <v>5598</v>
      </c>
    </row>
    <row r="7" spans="1:2" ht="14.4">
      <c r="A7" s="376" t="s">
        <v>320</v>
      </c>
      <c r="B7" s="225" t="s">
        <v>5598</v>
      </c>
    </row>
    <row r="8" spans="1:2" ht="14.4">
      <c r="A8" s="376" t="s">
        <v>330</v>
      </c>
      <c r="B8" s="225" t="s">
        <v>5598</v>
      </c>
    </row>
    <row r="9" spans="1:2" ht="14.4">
      <c r="A9" s="376" t="s">
        <v>5599</v>
      </c>
      <c r="B9" s="342" t="s">
        <v>331</v>
      </c>
    </row>
    <row r="10" spans="1:2" ht="14.4">
      <c r="A10" s="376" t="s">
        <v>5600</v>
      </c>
      <c r="B10" s="342" t="s">
        <v>333</v>
      </c>
    </row>
    <row r="11" spans="1:2" ht="14.4">
      <c r="A11" s="376" t="s">
        <v>335</v>
      </c>
      <c r="B11" s="225" t="s">
        <v>5598</v>
      </c>
    </row>
    <row r="12" spans="1:2" ht="14.4">
      <c r="A12" s="376" t="s">
        <v>336</v>
      </c>
      <c r="B12" s="225" t="s">
        <v>5598</v>
      </c>
    </row>
    <row r="13" spans="1:2" ht="14.4">
      <c r="A13" s="376" t="s">
        <v>337</v>
      </c>
      <c r="B13" s="225" t="s">
        <v>5598</v>
      </c>
    </row>
    <row r="14" spans="1:2" ht="14.4">
      <c r="A14" s="376" t="s">
        <v>338</v>
      </c>
      <c r="B14" s="225" t="s">
        <v>5598</v>
      </c>
    </row>
    <row r="15" spans="1:2" ht="14.4">
      <c r="A15" s="376" t="s">
        <v>339</v>
      </c>
      <c r="B15" s="225" t="s">
        <v>5598</v>
      </c>
    </row>
    <row r="16" spans="1:2" ht="14.4">
      <c r="A16" s="376" t="s">
        <v>344</v>
      </c>
      <c r="B16" s="225" t="s">
        <v>5598</v>
      </c>
    </row>
    <row r="17" spans="1:2" ht="14.4">
      <c r="A17" s="376" t="s">
        <v>2004</v>
      </c>
      <c r="B17" s="342" t="s">
        <v>345</v>
      </c>
    </row>
    <row r="18" spans="1:2" ht="14.4">
      <c r="A18" s="376" t="s">
        <v>5601</v>
      </c>
      <c r="B18" s="342" t="s">
        <v>347</v>
      </c>
    </row>
    <row r="19" spans="1:2" ht="14.4">
      <c r="A19" s="376" t="s">
        <v>351</v>
      </c>
      <c r="B19" s="225" t="s">
        <v>5598</v>
      </c>
    </row>
    <row r="20" spans="1:2" ht="14.4">
      <c r="A20" s="376" t="s">
        <v>352</v>
      </c>
      <c r="B20" s="225" t="s">
        <v>5598</v>
      </c>
    </row>
    <row r="21" spans="1:2" ht="14.4">
      <c r="A21" s="376" t="s">
        <v>356</v>
      </c>
      <c r="B21" s="225" t="s">
        <v>5598</v>
      </c>
    </row>
    <row r="22" spans="1:2" ht="14.4">
      <c r="A22" s="376" t="s">
        <v>5602</v>
      </c>
      <c r="B22" s="342" t="s">
        <v>357</v>
      </c>
    </row>
    <row r="23" spans="1:2" ht="14.4">
      <c r="A23" s="376" t="s">
        <v>5603</v>
      </c>
      <c r="B23" s="342" t="s">
        <v>361</v>
      </c>
    </row>
    <row r="24" spans="1:2" ht="14.4">
      <c r="A24" s="376" t="s">
        <v>364</v>
      </c>
      <c r="B24" s="225" t="s">
        <v>5598</v>
      </c>
    </row>
    <row r="25" spans="1:2" ht="14.4">
      <c r="A25" s="376" t="s">
        <v>365</v>
      </c>
      <c r="B25" s="225" t="s">
        <v>5598</v>
      </c>
    </row>
    <row r="26" spans="1:2" ht="14.4">
      <c r="A26" s="376" t="s">
        <v>366</v>
      </c>
      <c r="B26" s="225" t="s">
        <v>5598</v>
      </c>
    </row>
    <row r="27" spans="1:2" ht="14.4">
      <c r="A27" s="376" t="s">
        <v>367</v>
      </c>
      <c r="B27" s="225" t="s">
        <v>5598</v>
      </c>
    </row>
    <row r="28" spans="1:2" ht="14.4">
      <c r="A28" s="376" t="s">
        <v>368</v>
      </c>
      <c r="B28" s="225" t="s">
        <v>5598</v>
      </c>
    </row>
    <row r="29" spans="1:2" ht="14.4">
      <c r="A29" s="376" t="s">
        <v>2959</v>
      </c>
      <c r="B29" s="294" t="s">
        <v>5604</v>
      </c>
    </row>
    <row r="30" spans="1:2" ht="14.4">
      <c r="A30" s="376" t="s">
        <v>374</v>
      </c>
      <c r="B30" s="225" t="s">
        <v>5598</v>
      </c>
    </row>
    <row r="31" spans="1:2" ht="14.4">
      <c r="A31" s="376" t="s">
        <v>5605</v>
      </c>
      <c r="B31" s="342" t="s">
        <v>375</v>
      </c>
    </row>
    <row r="32" spans="1:2" ht="14.4">
      <c r="A32" s="376" t="s">
        <v>378</v>
      </c>
      <c r="B32" s="225" t="s">
        <v>5598</v>
      </c>
    </row>
    <row r="33" spans="1:2" ht="14.4">
      <c r="A33" s="376" t="s">
        <v>379</v>
      </c>
      <c r="B33" s="225" t="s">
        <v>5598</v>
      </c>
    </row>
    <row r="34" spans="1:2" ht="14.4">
      <c r="A34" s="376" t="s">
        <v>380</v>
      </c>
      <c r="B34" s="225" t="s">
        <v>5598</v>
      </c>
    </row>
    <row r="35" spans="1:2" ht="14.4">
      <c r="A35" s="376" t="s">
        <v>384</v>
      </c>
      <c r="B35" s="225" t="s">
        <v>5598</v>
      </c>
    </row>
    <row r="36" spans="1:2" ht="14.4">
      <c r="A36" s="376" t="s">
        <v>385</v>
      </c>
      <c r="B36" s="225" t="s">
        <v>5598</v>
      </c>
    </row>
    <row r="37" spans="1:2" ht="14.4">
      <c r="A37" s="376" t="s">
        <v>386</v>
      </c>
      <c r="B37" s="225" t="s">
        <v>5598</v>
      </c>
    </row>
    <row r="38" spans="1:2" ht="14.4">
      <c r="A38" s="376" t="s">
        <v>5606</v>
      </c>
      <c r="B38" s="342" t="s">
        <v>387</v>
      </c>
    </row>
    <row r="39" spans="1:2" ht="14.4">
      <c r="A39" s="376" t="s">
        <v>5607</v>
      </c>
      <c r="B39" s="342" t="s">
        <v>390</v>
      </c>
    </row>
    <row r="40" spans="1:2" ht="14.4">
      <c r="A40" s="376" t="s">
        <v>392</v>
      </c>
      <c r="B40" s="225" t="s">
        <v>5598</v>
      </c>
    </row>
    <row r="41" spans="1:2" ht="14.4">
      <c r="A41" s="376" t="s">
        <v>393</v>
      </c>
      <c r="B41" s="225" t="s">
        <v>5598</v>
      </c>
    </row>
    <row r="42" spans="1:2" ht="14.4">
      <c r="A42" s="376" t="s">
        <v>394</v>
      </c>
      <c r="B42" s="225" t="s">
        <v>5598</v>
      </c>
    </row>
    <row r="43" spans="1:2" ht="14.4">
      <c r="A43" s="376" t="s">
        <v>395</v>
      </c>
      <c r="B43" s="225" t="s">
        <v>5598</v>
      </c>
    </row>
    <row r="44" spans="1:2" ht="14.4">
      <c r="A44" s="376" t="s">
        <v>396</v>
      </c>
      <c r="B44" s="225" t="s">
        <v>5598</v>
      </c>
    </row>
    <row r="45" spans="1:2" ht="14.4">
      <c r="A45" s="376" t="s">
        <v>397</v>
      </c>
      <c r="B45" s="225" t="s">
        <v>5598</v>
      </c>
    </row>
    <row r="46" spans="1:2" ht="14.4">
      <c r="A46" s="376" t="s">
        <v>401</v>
      </c>
      <c r="B46" s="225" t="s">
        <v>5598</v>
      </c>
    </row>
    <row r="47" spans="1:2" ht="14.4">
      <c r="A47" s="376" t="s">
        <v>402</v>
      </c>
      <c r="B47" s="225" t="s">
        <v>5598</v>
      </c>
    </row>
    <row r="48" spans="1:2" ht="14.4">
      <c r="A48" s="376" t="s">
        <v>403</v>
      </c>
      <c r="B48" s="225" t="s">
        <v>5598</v>
      </c>
    </row>
    <row r="49" spans="1:2" ht="14.4">
      <c r="A49" s="376" t="s">
        <v>404</v>
      </c>
      <c r="B49" s="225" t="s">
        <v>5598</v>
      </c>
    </row>
    <row r="50" spans="1:2" ht="14.4">
      <c r="A50" s="376" t="s">
        <v>405</v>
      </c>
      <c r="B50" s="225" t="s">
        <v>5598</v>
      </c>
    </row>
    <row r="51" spans="1:2" ht="14.4">
      <c r="A51" s="376" t="s">
        <v>406</v>
      </c>
      <c r="B51" s="225" t="s">
        <v>5598</v>
      </c>
    </row>
    <row r="52" spans="1:2" ht="14.4">
      <c r="A52" s="376" t="s">
        <v>409</v>
      </c>
      <c r="B52" s="225" t="s">
        <v>5598</v>
      </c>
    </row>
    <row r="53" spans="1:2" ht="14.4">
      <c r="A53" s="376" t="s">
        <v>410</v>
      </c>
      <c r="B53" s="225" t="s">
        <v>5598</v>
      </c>
    </row>
    <row r="54" spans="1:2" ht="14.4">
      <c r="A54" s="376" t="s">
        <v>5608</v>
      </c>
      <c r="B54" s="342" t="s">
        <v>411</v>
      </c>
    </row>
    <row r="55" spans="1:2" ht="14.4">
      <c r="A55" s="376" t="s">
        <v>413</v>
      </c>
      <c r="B55" s="225" t="s">
        <v>5598</v>
      </c>
    </row>
    <row r="56" spans="1:2" ht="14.4">
      <c r="A56" s="376" t="s">
        <v>414</v>
      </c>
      <c r="B56" s="225" t="s">
        <v>5598</v>
      </c>
    </row>
    <row r="57" spans="1:2" ht="14.4">
      <c r="A57" s="376" t="s">
        <v>415</v>
      </c>
      <c r="B57" s="225" t="s">
        <v>5598</v>
      </c>
    </row>
    <row r="58" spans="1:2" ht="14.4">
      <c r="A58" s="376" t="s">
        <v>5609</v>
      </c>
      <c r="B58" s="342" t="s">
        <v>416</v>
      </c>
    </row>
    <row r="59" spans="1:2" ht="14.4">
      <c r="A59" s="376" t="s">
        <v>420</v>
      </c>
      <c r="B59" s="225" t="s">
        <v>5598</v>
      </c>
    </row>
    <row r="60" spans="1:2" ht="14.4">
      <c r="A60" s="376" t="s">
        <v>5610</v>
      </c>
      <c r="B60" s="342" t="s">
        <v>421</v>
      </c>
    </row>
    <row r="61" spans="1:2" ht="14.4">
      <c r="A61" s="376" t="s">
        <v>423</v>
      </c>
      <c r="B61" s="225" t="s">
        <v>5598</v>
      </c>
    </row>
    <row r="62" spans="1:2" ht="14.4">
      <c r="A62" s="376" t="s">
        <v>5611</v>
      </c>
      <c r="B62" s="342" t="s">
        <v>428</v>
      </c>
    </row>
    <row r="63" spans="1:2" ht="14.4">
      <c r="A63" s="376" t="s">
        <v>430</v>
      </c>
      <c r="B63" s="225" t="s">
        <v>5598</v>
      </c>
    </row>
    <row r="64" spans="1:2" ht="14.4">
      <c r="A64" s="376" t="s">
        <v>431</v>
      </c>
      <c r="B64" s="225" t="s">
        <v>5598</v>
      </c>
    </row>
    <row r="65" spans="1:2" ht="14.4">
      <c r="A65" s="379" t="s">
        <v>5612</v>
      </c>
      <c r="B65" s="342" t="s">
        <v>1067</v>
      </c>
    </row>
    <row r="66" spans="1:2" ht="13.2">
      <c r="A66" s="379" t="s">
        <v>1072</v>
      </c>
      <c r="B66" s="225" t="s">
        <v>5598</v>
      </c>
    </row>
    <row r="67" spans="1:2" ht="13.2">
      <c r="A67" s="379" t="s">
        <v>1076</v>
      </c>
      <c r="B67" s="225" t="s">
        <v>5598</v>
      </c>
    </row>
    <row r="68" spans="1:2" ht="13.2">
      <c r="A68" s="379" t="s">
        <v>1081</v>
      </c>
      <c r="B68" s="225" t="s">
        <v>5598</v>
      </c>
    </row>
    <row r="69" spans="1:2" ht="13.2">
      <c r="A69" s="379" t="s">
        <v>1082</v>
      </c>
      <c r="B69" s="225" t="s">
        <v>5598</v>
      </c>
    </row>
    <row r="70" spans="1:2" ht="13.2">
      <c r="A70" s="379" t="s">
        <v>1085</v>
      </c>
      <c r="B70" s="225" t="s">
        <v>5598</v>
      </c>
    </row>
    <row r="71" spans="1:2" ht="14.4">
      <c r="A71" s="379" t="s">
        <v>5613</v>
      </c>
      <c r="B71" s="342" t="s">
        <v>1091</v>
      </c>
    </row>
    <row r="72" spans="1:2" ht="13.2">
      <c r="A72" s="379" t="s">
        <v>1094</v>
      </c>
      <c r="B72" s="225" t="s">
        <v>5598</v>
      </c>
    </row>
    <row r="73" spans="1:2" ht="14.4">
      <c r="A73" s="379" t="s">
        <v>4860</v>
      </c>
      <c r="B73" s="342" t="s">
        <v>1095</v>
      </c>
    </row>
    <row r="74" spans="1:2" ht="13.2">
      <c r="A74" s="379" t="s">
        <v>1103</v>
      </c>
      <c r="B74" s="225" t="s">
        <v>5598</v>
      </c>
    </row>
    <row r="75" spans="1:2" ht="13.2">
      <c r="A75" s="379" t="s">
        <v>1108</v>
      </c>
      <c r="B75" s="225" t="s">
        <v>5598</v>
      </c>
    </row>
    <row r="76" spans="1:2" ht="14.4">
      <c r="A76" s="379" t="s">
        <v>5614</v>
      </c>
      <c r="B76" s="342" t="s">
        <v>1113</v>
      </c>
    </row>
    <row r="77" spans="1:2" ht="13.2">
      <c r="A77" s="379" t="s">
        <v>1121</v>
      </c>
      <c r="B77" s="225" t="s">
        <v>5598</v>
      </c>
    </row>
    <row r="78" spans="1:2" ht="13.2">
      <c r="A78" s="379" t="s">
        <v>1136</v>
      </c>
      <c r="B78" s="225" t="s">
        <v>5598</v>
      </c>
    </row>
    <row r="79" spans="1:2" ht="13.2">
      <c r="A79" s="379" t="s">
        <v>1137</v>
      </c>
      <c r="B79" s="225" t="s">
        <v>5598</v>
      </c>
    </row>
    <row r="80" spans="1:2" ht="14.4">
      <c r="A80" s="379" t="s">
        <v>5615</v>
      </c>
      <c r="B80" s="342" t="s">
        <v>1140</v>
      </c>
    </row>
    <row r="81" spans="1:2" ht="13.2">
      <c r="A81" s="379" t="s">
        <v>1144</v>
      </c>
      <c r="B81" s="225" t="s">
        <v>5598</v>
      </c>
    </row>
    <row r="82" spans="1:2" ht="14.4">
      <c r="A82" s="379" t="s">
        <v>5616</v>
      </c>
      <c r="B82" s="342" t="s">
        <v>1153</v>
      </c>
    </row>
    <row r="83" spans="1:2" ht="13.2">
      <c r="A83" s="379" t="s">
        <v>1154</v>
      </c>
      <c r="B83" s="225" t="s">
        <v>5598</v>
      </c>
    </row>
    <row r="84" spans="1:2" ht="13.2">
      <c r="A84" s="379" t="s">
        <v>1155</v>
      </c>
      <c r="B84" s="225" t="s">
        <v>5598</v>
      </c>
    </row>
    <row r="85" spans="1:2" ht="13.2">
      <c r="A85" s="379" t="s">
        <v>1160</v>
      </c>
      <c r="B85" s="225" t="s">
        <v>5598</v>
      </c>
    </row>
    <row r="86" spans="1:2" ht="13.2">
      <c r="A86" s="379" t="s">
        <v>1161</v>
      </c>
      <c r="B86" s="225" t="s">
        <v>5598</v>
      </c>
    </row>
    <row r="87" spans="1:2" ht="13.2">
      <c r="A87" s="379" t="s">
        <v>1163</v>
      </c>
      <c r="B87" s="225" t="s">
        <v>5598</v>
      </c>
    </row>
    <row r="88" spans="1:2" ht="13.2">
      <c r="A88" s="379" t="s">
        <v>1171</v>
      </c>
      <c r="B88" s="225" t="s">
        <v>5598</v>
      </c>
    </row>
    <row r="89" spans="1:2" ht="13.2">
      <c r="A89" s="379" t="s">
        <v>1172</v>
      </c>
      <c r="B89" s="225" t="s">
        <v>5598</v>
      </c>
    </row>
    <row r="90" spans="1:2" ht="14.4">
      <c r="A90" s="376" t="s">
        <v>1948</v>
      </c>
      <c r="B90" s="225" t="s">
        <v>5598</v>
      </c>
    </row>
    <row r="91" spans="1:2" ht="14.4">
      <c r="A91" s="376" t="s">
        <v>1949</v>
      </c>
      <c r="B91" s="225" t="s">
        <v>5598</v>
      </c>
    </row>
    <row r="92" spans="1:2" ht="14.4">
      <c r="A92" s="376" t="s">
        <v>5617</v>
      </c>
      <c r="B92" s="342" t="s">
        <v>1953</v>
      </c>
    </row>
    <row r="93" spans="1:2" ht="13.2">
      <c r="A93" s="380" t="s">
        <v>2856</v>
      </c>
      <c r="B93" s="225" t="s">
        <v>5598</v>
      </c>
    </row>
    <row r="94" spans="1:2" ht="13.2">
      <c r="A94" s="381" t="s">
        <v>2874</v>
      </c>
      <c r="B94" s="225" t="s">
        <v>5598</v>
      </c>
    </row>
    <row r="95" spans="1:2" ht="14.4">
      <c r="A95" s="381" t="s">
        <v>5618</v>
      </c>
      <c r="B95" s="342" t="s">
        <v>2897</v>
      </c>
    </row>
    <row r="96" spans="1:2" ht="13.2">
      <c r="A96" s="381" t="s">
        <v>2905</v>
      </c>
      <c r="B96" s="225" t="s">
        <v>5598</v>
      </c>
    </row>
    <row r="97" spans="1:2" ht="13.2">
      <c r="A97" s="381" t="s">
        <v>2907</v>
      </c>
      <c r="B97" s="225" t="s">
        <v>5598</v>
      </c>
    </row>
    <row r="98" spans="1:2" ht="13.8">
      <c r="A98" s="382" t="s">
        <v>4006</v>
      </c>
      <c r="B98" s="225" t="s">
        <v>5598</v>
      </c>
    </row>
    <row r="99" spans="1:2" ht="13.8">
      <c r="A99" s="382" t="s">
        <v>5612</v>
      </c>
      <c r="B99" s="225" t="s">
        <v>5598</v>
      </c>
    </row>
    <row r="100" spans="1:2" ht="23.25" customHeight="1">
      <c r="A100" s="383" t="s">
        <v>5619</v>
      </c>
      <c r="B100" s="384" t="s">
        <v>4019</v>
      </c>
    </row>
    <row r="101" spans="1:2" ht="13.8">
      <c r="A101" s="382" t="s">
        <v>4029</v>
      </c>
      <c r="B101" s="225" t="s">
        <v>5598</v>
      </c>
    </row>
    <row r="102" spans="1:2" ht="13.8">
      <c r="A102" s="382" t="s">
        <v>4030</v>
      </c>
      <c r="B102" s="225" t="s">
        <v>5598</v>
      </c>
    </row>
    <row r="103" spans="1:2" ht="14.4">
      <c r="A103" s="376" t="s">
        <v>432</v>
      </c>
      <c r="B103" s="225" t="s">
        <v>5598</v>
      </c>
    </row>
    <row r="104" spans="1:2" ht="14.4">
      <c r="A104" s="376" t="s">
        <v>5620</v>
      </c>
      <c r="B104" s="342" t="s">
        <v>436</v>
      </c>
    </row>
    <row r="105" spans="1:2" ht="14.4">
      <c r="A105" s="385" t="s">
        <v>5621</v>
      </c>
      <c r="B105" s="342" t="s">
        <v>439</v>
      </c>
    </row>
    <row r="106" spans="1:2" ht="13.2">
      <c r="A106" s="379" t="s">
        <v>1173</v>
      </c>
      <c r="B106" s="225" t="s">
        <v>5598</v>
      </c>
    </row>
    <row r="107" spans="1:2" ht="13.2">
      <c r="A107" s="379" t="s">
        <v>1174</v>
      </c>
      <c r="B107" s="225" t="s">
        <v>5598</v>
      </c>
    </row>
    <row r="108" spans="1:2" ht="13.2">
      <c r="A108" s="379" t="s">
        <v>1175</v>
      </c>
      <c r="B108" s="225" t="s">
        <v>5598</v>
      </c>
    </row>
    <row r="109" spans="1:2" ht="14.4">
      <c r="A109" s="379" t="s">
        <v>5622</v>
      </c>
      <c r="B109" s="386" t="s">
        <v>1179</v>
      </c>
    </row>
    <row r="110" spans="1:2" ht="14.4">
      <c r="A110" s="379" t="s">
        <v>5623</v>
      </c>
      <c r="B110" s="342" t="s">
        <v>1181</v>
      </c>
    </row>
    <row r="111" spans="1:2" ht="14.4">
      <c r="A111" s="379" t="s">
        <v>5624</v>
      </c>
      <c r="B111" s="342" t="s">
        <v>1183</v>
      </c>
    </row>
    <row r="112" spans="1:2" ht="13.2">
      <c r="A112" s="379" t="s">
        <v>1185</v>
      </c>
      <c r="B112" s="225" t="s">
        <v>5598</v>
      </c>
    </row>
    <row r="113" spans="1:2" ht="14.4">
      <c r="A113" s="379" t="s">
        <v>5625</v>
      </c>
      <c r="B113" s="342" t="s">
        <v>1186</v>
      </c>
    </row>
    <row r="114" spans="1:2" ht="13.2">
      <c r="A114" s="379" t="s">
        <v>1188</v>
      </c>
      <c r="B114" s="225" t="s">
        <v>5598</v>
      </c>
    </row>
    <row r="115" spans="1:2" ht="14.4">
      <c r="A115" s="377" t="s">
        <v>5626</v>
      </c>
      <c r="B115" s="342" t="s">
        <v>1955</v>
      </c>
    </row>
    <row r="116" spans="1:2" ht="14.4">
      <c r="A116" s="377" t="s">
        <v>1957</v>
      </c>
      <c r="B116" s="225" t="s">
        <v>5598</v>
      </c>
    </row>
    <row r="117" spans="1:2" ht="14.4">
      <c r="A117" s="377" t="s">
        <v>5627</v>
      </c>
      <c r="B117" s="342" t="s">
        <v>1958</v>
      </c>
    </row>
    <row r="118" spans="1:2" ht="14.4">
      <c r="A118" s="377" t="s">
        <v>1962</v>
      </c>
      <c r="B118" s="225" t="s">
        <v>5598</v>
      </c>
    </row>
    <row r="119" spans="1:2" ht="14.4">
      <c r="A119" s="377" t="s">
        <v>5628</v>
      </c>
      <c r="B119" s="342" t="s">
        <v>1964</v>
      </c>
    </row>
    <row r="120" spans="1:2" ht="14.4">
      <c r="A120" s="377" t="s">
        <v>1973</v>
      </c>
      <c r="B120" s="225" t="s">
        <v>5598</v>
      </c>
    </row>
    <row r="121" spans="1:2" ht="14.4">
      <c r="A121" s="377" t="s">
        <v>1978</v>
      </c>
      <c r="B121" s="225" t="s">
        <v>5598</v>
      </c>
    </row>
    <row r="122" spans="1:2" ht="14.4">
      <c r="A122" s="377" t="s">
        <v>1979</v>
      </c>
      <c r="B122" s="225" t="s">
        <v>5598</v>
      </c>
    </row>
    <row r="123" spans="1:2" ht="14.4">
      <c r="A123" s="377" t="s">
        <v>1980</v>
      </c>
      <c r="B123" s="225" t="s">
        <v>5598</v>
      </c>
    </row>
    <row r="124" spans="1:2" ht="14.4">
      <c r="A124" s="377" t="s">
        <v>5629</v>
      </c>
      <c r="B124" s="342" t="s">
        <v>1989</v>
      </c>
    </row>
    <row r="125" spans="1:2" ht="14.4">
      <c r="A125" s="377" t="s">
        <v>1995</v>
      </c>
      <c r="B125" s="225" t="s">
        <v>5598</v>
      </c>
    </row>
    <row r="126" spans="1:2" ht="14.4">
      <c r="A126" s="377" t="s">
        <v>5630</v>
      </c>
      <c r="B126" s="342" t="s">
        <v>1998</v>
      </c>
    </row>
    <row r="127" spans="1:2" ht="14.4">
      <c r="A127" s="377" t="s">
        <v>2003</v>
      </c>
      <c r="B127" s="225" t="s">
        <v>5598</v>
      </c>
    </row>
    <row r="128" spans="1:2" ht="14.4">
      <c r="A128" s="377" t="s">
        <v>2023</v>
      </c>
      <c r="B128" s="225" t="s">
        <v>5598</v>
      </c>
    </row>
    <row r="129" spans="1:2" ht="14.4">
      <c r="A129" s="377" t="s">
        <v>2024</v>
      </c>
      <c r="B129" s="225" t="s">
        <v>5598</v>
      </c>
    </row>
    <row r="130" spans="1:2" ht="14.4">
      <c r="A130" s="377" t="s">
        <v>2025</v>
      </c>
      <c r="B130" s="225" t="s">
        <v>5598</v>
      </c>
    </row>
    <row r="131" spans="1:2" ht="14.4">
      <c r="A131" s="377" t="s">
        <v>2032</v>
      </c>
      <c r="B131" s="225" t="s">
        <v>5598</v>
      </c>
    </row>
    <row r="132" spans="1:2" ht="14.4">
      <c r="A132" s="377" t="s">
        <v>2033</v>
      </c>
      <c r="B132" s="225" t="s">
        <v>5598</v>
      </c>
    </row>
    <row r="133" spans="1:2" ht="14.4">
      <c r="A133" s="377" t="s">
        <v>2034</v>
      </c>
      <c r="B133" s="225" t="s">
        <v>5598</v>
      </c>
    </row>
    <row r="134" spans="1:2" ht="14.4">
      <c r="A134" s="377" t="s">
        <v>2036</v>
      </c>
      <c r="B134" s="225" t="s">
        <v>5598</v>
      </c>
    </row>
    <row r="135" spans="1:2" ht="14.4">
      <c r="A135" s="377" t="s">
        <v>2037</v>
      </c>
      <c r="B135" s="225" t="s">
        <v>5598</v>
      </c>
    </row>
    <row r="136" spans="1:2" ht="14.4">
      <c r="A136" s="377" t="s">
        <v>2038</v>
      </c>
      <c r="B136" s="225" t="s">
        <v>5598</v>
      </c>
    </row>
    <row r="137" spans="1:2" ht="14.4">
      <c r="A137" s="377" t="s">
        <v>2039</v>
      </c>
      <c r="B137" s="225" t="s">
        <v>5598</v>
      </c>
    </row>
    <row r="138" spans="1:2" ht="14.4">
      <c r="A138" s="377" t="s">
        <v>2040</v>
      </c>
      <c r="B138" s="225" t="s">
        <v>5598</v>
      </c>
    </row>
    <row r="139" spans="1:2" ht="14.4">
      <c r="A139" s="377" t="s">
        <v>2049</v>
      </c>
      <c r="B139" s="225" t="s">
        <v>5598</v>
      </c>
    </row>
    <row r="140" spans="1:2" ht="14.4">
      <c r="A140" s="377" t="s">
        <v>2050</v>
      </c>
      <c r="B140" s="225" t="s">
        <v>5598</v>
      </c>
    </row>
    <row r="141" spans="1:2" ht="14.4">
      <c r="A141" s="377" t="s">
        <v>2053</v>
      </c>
      <c r="B141" s="225" t="s">
        <v>5598</v>
      </c>
    </row>
    <row r="142" spans="1:2" ht="14.4">
      <c r="A142" s="377" t="s">
        <v>2057</v>
      </c>
      <c r="B142" s="225" t="s">
        <v>5598</v>
      </c>
    </row>
    <row r="143" spans="1:2" ht="14.4">
      <c r="A143" s="377" t="s">
        <v>2058</v>
      </c>
      <c r="B143" s="225" t="s">
        <v>5598</v>
      </c>
    </row>
    <row r="144" spans="1:2" ht="13.2">
      <c r="A144" s="388" t="s">
        <v>1191</v>
      </c>
      <c r="B144" s="225" t="s">
        <v>5598</v>
      </c>
    </row>
    <row r="145" spans="1:2" ht="14.4">
      <c r="A145" s="388" t="s">
        <v>5631</v>
      </c>
      <c r="B145" s="342" t="s">
        <v>1195</v>
      </c>
    </row>
    <row r="146" spans="1:2" ht="14.4">
      <c r="A146" s="388" t="s">
        <v>5632</v>
      </c>
      <c r="B146" s="342" t="s">
        <v>1197</v>
      </c>
    </row>
    <row r="147" spans="1:2" ht="14.4">
      <c r="A147" s="388" t="s">
        <v>5633</v>
      </c>
      <c r="B147" s="342" t="s">
        <v>1199</v>
      </c>
    </row>
    <row r="148" spans="1:2" ht="13.2">
      <c r="A148" s="388" t="s">
        <v>1201</v>
      </c>
      <c r="B148" s="225" t="s">
        <v>5598</v>
      </c>
    </row>
    <row r="149" spans="1:2" ht="14.4">
      <c r="A149" s="388" t="s">
        <v>2098</v>
      </c>
      <c r="B149" s="294" t="s">
        <v>5604</v>
      </c>
    </row>
    <row r="150" spans="1:2" ht="14.4">
      <c r="A150" s="388" t="s">
        <v>2100</v>
      </c>
      <c r="B150" s="342" t="s">
        <v>1203</v>
      </c>
    </row>
    <row r="151" spans="1:2" ht="14.4">
      <c r="A151" s="388" t="s">
        <v>5634</v>
      </c>
      <c r="B151" s="342" t="s">
        <v>1209</v>
      </c>
    </row>
    <row r="152" spans="1:2" ht="13.2">
      <c r="A152" s="388" t="s">
        <v>1215</v>
      </c>
      <c r="B152" s="225" t="s">
        <v>5598</v>
      </c>
    </row>
    <row r="153" spans="1:2" ht="14.4">
      <c r="A153" s="388" t="s">
        <v>5635</v>
      </c>
      <c r="B153" s="342" t="s">
        <v>1216</v>
      </c>
    </row>
    <row r="154" spans="1:2" ht="13.2">
      <c r="A154" s="388" t="s">
        <v>1218</v>
      </c>
      <c r="B154" s="225" t="s">
        <v>5598</v>
      </c>
    </row>
    <row r="155" spans="1:2" ht="13.2">
      <c r="A155" s="388" t="s">
        <v>1219</v>
      </c>
      <c r="B155" s="225" t="s">
        <v>5598</v>
      </c>
    </row>
    <row r="156" spans="1:2" ht="13.2">
      <c r="A156" s="388" t="s">
        <v>1226</v>
      </c>
      <c r="B156" s="225" t="s">
        <v>5598</v>
      </c>
    </row>
    <row r="157" spans="1:2" ht="13.2">
      <c r="A157" s="388" t="s">
        <v>1231</v>
      </c>
      <c r="B157" s="225" t="s">
        <v>5598</v>
      </c>
    </row>
    <row r="158" spans="1:2" ht="14.4">
      <c r="A158" s="388" t="s">
        <v>5636</v>
      </c>
      <c r="B158" s="342" t="s">
        <v>1232</v>
      </c>
    </row>
    <row r="159" spans="1:2" ht="14.4">
      <c r="A159" s="388" t="s">
        <v>5637</v>
      </c>
      <c r="B159" s="342" t="s">
        <v>1234</v>
      </c>
    </row>
    <row r="160" spans="1:2" ht="13.2">
      <c r="A160" s="388" t="s">
        <v>1236</v>
      </c>
      <c r="B160" s="225" t="s">
        <v>5598</v>
      </c>
    </row>
    <row r="161" spans="1:2" ht="14.4">
      <c r="A161" s="388" t="s">
        <v>5638</v>
      </c>
      <c r="B161" s="342" t="s">
        <v>1240</v>
      </c>
    </row>
    <row r="162" spans="1:2" ht="14.4">
      <c r="A162" s="388" t="s">
        <v>5639</v>
      </c>
      <c r="B162" s="342" t="s">
        <v>1242</v>
      </c>
    </row>
    <row r="163" spans="1:2" ht="13.2">
      <c r="A163" s="388" t="s">
        <v>501</v>
      </c>
      <c r="B163" s="225" t="s">
        <v>5598</v>
      </c>
    </row>
    <row r="164" spans="1:2" ht="13.2">
      <c r="A164" s="388" t="s">
        <v>1252</v>
      </c>
      <c r="B164" s="225" t="s">
        <v>5598</v>
      </c>
    </row>
    <row r="165" spans="1:2" ht="14.4">
      <c r="A165" s="388" t="s">
        <v>5640</v>
      </c>
      <c r="B165" s="342" t="s">
        <v>1257</v>
      </c>
    </row>
    <row r="166" spans="1:2" ht="13.2">
      <c r="A166" s="388" t="s">
        <v>1259</v>
      </c>
      <c r="B166" s="225" t="s">
        <v>5598</v>
      </c>
    </row>
    <row r="167" spans="1:2" ht="14.4">
      <c r="A167" s="388" t="s">
        <v>5641</v>
      </c>
      <c r="B167" s="342" t="s">
        <v>1261</v>
      </c>
    </row>
    <row r="168" spans="1:2" ht="14.4">
      <c r="A168" s="388" t="s">
        <v>5642</v>
      </c>
      <c r="B168" s="342" t="s">
        <v>1263</v>
      </c>
    </row>
    <row r="169" spans="1:2" ht="14.4">
      <c r="A169" s="377" t="s">
        <v>2059</v>
      </c>
      <c r="B169" s="225" t="s">
        <v>5598</v>
      </c>
    </row>
    <row r="170" spans="1:2" ht="14.4">
      <c r="A170" s="377" t="s">
        <v>2061</v>
      </c>
      <c r="B170" s="225" t="s">
        <v>5598</v>
      </c>
    </row>
    <row r="171" spans="1:2" ht="14.4">
      <c r="A171" s="377" t="s">
        <v>1173</v>
      </c>
      <c r="B171" s="225" t="s">
        <v>5598</v>
      </c>
    </row>
    <row r="172" spans="1:2" ht="14.4">
      <c r="A172" s="377" t="s">
        <v>2062</v>
      </c>
      <c r="B172" s="225" t="s">
        <v>5598</v>
      </c>
    </row>
    <row r="173" spans="1:2" ht="14.4">
      <c r="A173" s="377" t="s">
        <v>2063</v>
      </c>
      <c r="B173" s="225" t="s">
        <v>5598</v>
      </c>
    </row>
    <row r="174" spans="1:2" ht="14.4">
      <c r="A174" s="377" t="s">
        <v>2064</v>
      </c>
      <c r="B174" s="225" t="s">
        <v>5598</v>
      </c>
    </row>
    <row r="175" spans="1:2" ht="14.4">
      <c r="A175" s="377" t="s">
        <v>2065</v>
      </c>
      <c r="B175" s="225" t="s">
        <v>5598</v>
      </c>
    </row>
    <row r="176" spans="1:2" ht="14.4">
      <c r="A176" s="377" t="s">
        <v>5643</v>
      </c>
      <c r="B176" s="342" t="s">
        <v>2072</v>
      </c>
    </row>
    <row r="177" spans="1:2" ht="14.4">
      <c r="A177" s="377" t="s">
        <v>2074</v>
      </c>
      <c r="B177" s="225" t="s">
        <v>5598</v>
      </c>
    </row>
    <row r="178" spans="1:2" ht="14.4">
      <c r="A178" s="377" t="s">
        <v>5644</v>
      </c>
      <c r="B178" s="342" t="s">
        <v>2075</v>
      </c>
    </row>
    <row r="179" spans="1:2" ht="14.4">
      <c r="A179" s="377" t="s">
        <v>2083</v>
      </c>
      <c r="B179" s="225" t="s">
        <v>5598</v>
      </c>
    </row>
    <row r="180" spans="1:2" ht="14.4">
      <c r="A180" s="377" t="s">
        <v>5645</v>
      </c>
      <c r="B180" s="342" t="s">
        <v>2084</v>
      </c>
    </row>
    <row r="181" spans="1:2" ht="14.4">
      <c r="A181" s="377" t="s">
        <v>5646</v>
      </c>
      <c r="B181" s="342" t="s">
        <v>2086</v>
      </c>
    </row>
    <row r="182" spans="1:2" ht="14.4">
      <c r="A182" s="377" t="s">
        <v>2088</v>
      </c>
      <c r="B182" s="225" t="s">
        <v>5598</v>
      </c>
    </row>
    <row r="183" spans="1:2" ht="14.4">
      <c r="A183" s="377" t="s">
        <v>5647</v>
      </c>
      <c r="B183" s="342" t="s">
        <v>2092</v>
      </c>
    </row>
    <row r="184" spans="1:2" ht="14.4">
      <c r="A184" s="377" t="s">
        <v>442</v>
      </c>
      <c r="B184" s="225" t="s">
        <v>5598</v>
      </c>
    </row>
    <row r="185" spans="1:2" ht="14.4">
      <c r="A185" s="377" t="s">
        <v>5648</v>
      </c>
      <c r="B185" s="342" t="s">
        <v>443</v>
      </c>
    </row>
    <row r="186" spans="1:2" ht="14.4">
      <c r="A186" s="377" t="s">
        <v>447</v>
      </c>
      <c r="B186" s="225" t="s">
        <v>5598</v>
      </c>
    </row>
    <row r="187" spans="1:2" ht="14.4">
      <c r="A187" s="377" t="s">
        <v>5649</v>
      </c>
      <c r="B187" s="342" t="s">
        <v>450</v>
      </c>
    </row>
    <row r="188" spans="1:2" ht="14.4">
      <c r="A188" s="377" t="s">
        <v>5650</v>
      </c>
      <c r="B188" s="342" t="s">
        <v>456</v>
      </c>
    </row>
    <row r="189" spans="1:2" ht="14.4">
      <c r="A189" s="377" t="s">
        <v>460</v>
      </c>
      <c r="B189" s="225" t="s">
        <v>5598</v>
      </c>
    </row>
    <row r="190" spans="1:2" ht="14.4">
      <c r="A190" s="377" t="s">
        <v>5651</v>
      </c>
      <c r="B190" s="342" t="s">
        <v>461</v>
      </c>
    </row>
    <row r="191" spans="1:2" ht="14.4">
      <c r="A191" s="377" t="s">
        <v>5652</v>
      </c>
      <c r="B191" s="342" t="s">
        <v>463</v>
      </c>
    </row>
    <row r="192" spans="1:2" ht="14.4">
      <c r="A192" s="377" t="s">
        <v>466</v>
      </c>
      <c r="B192" s="342" t="s">
        <v>5653</v>
      </c>
    </row>
    <row r="193" spans="1:2" ht="14.4">
      <c r="A193" s="377" t="s">
        <v>5654</v>
      </c>
      <c r="B193" s="342" t="s">
        <v>471</v>
      </c>
    </row>
    <row r="194" spans="1:2" ht="14.4">
      <c r="A194" s="377" t="s">
        <v>5655</v>
      </c>
      <c r="B194" s="342" t="s">
        <v>473</v>
      </c>
    </row>
    <row r="195" spans="1:2" ht="14.4">
      <c r="A195" s="377" t="s">
        <v>5656</v>
      </c>
      <c r="B195" s="342" t="s">
        <v>476</v>
      </c>
    </row>
    <row r="196" spans="1:2" ht="14.4">
      <c r="A196" s="377" t="s">
        <v>479</v>
      </c>
      <c r="B196" s="225" t="s">
        <v>5598</v>
      </c>
    </row>
    <row r="197" spans="1:2" ht="14.4">
      <c r="A197" s="377" t="s">
        <v>480</v>
      </c>
      <c r="B197" s="225" t="s">
        <v>5598</v>
      </c>
    </row>
    <row r="198" spans="1:2" ht="14.4">
      <c r="A198" s="377" t="s">
        <v>5657</v>
      </c>
      <c r="B198" s="342" t="s">
        <v>484</v>
      </c>
    </row>
    <row r="199" spans="1:2" ht="14.4">
      <c r="A199" s="377" t="s">
        <v>486</v>
      </c>
      <c r="B199" s="225" t="s">
        <v>5598</v>
      </c>
    </row>
    <row r="200" spans="1:2" ht="14.4">
      <c r="A200" s="377" t="s">
        <v>5658</v>
      </c>
      <c r="B200" s="342" t="s">
        <v>487</v>
      </c>
    </row>
    <row r="201" spans="1:2" ht="14.4">
      <c r="A201" s="377" t="s">
        <v>490</v>
      </c>
      <c r="B201" s="225" t="s">
        <v>5598</v>
      </c>
    </row>
    <row r="202" spans="1:2" ht="14.4">
      <c r="A202" s="377" t="s">
        <v>492</v>
      </c>
      <c r="B202" s="225" t="s">
        <v>5598</v>
      </c>
    </row>
    <row r="203" spans="1:2" ht="14.4">
      <c r="A203" s="377" t="s">
        <v>5659</v>
      </c>
      <c r="B203" s="342" t="s">
        <v>494</v>
      </c>
    </row>
    <row r="204" spans="1:2" ht="14.4">
      <c r="A204" s="377" t="s">
        <v>496</v>
      </c>
      <c r="B204" s="225" t="s">
        <v>5598</v>
      </c>
    </row>
    <row r="205" spans="1:2" ht="14.4">
      <c r="A205" s="377" t="s">
        <v>5660</v>
      </c>
      <c r="B205" s="389" t="s">
        <v>498</v>
      </c>
    </row>
    <row r="206" spans="1:2" ht="14.4">
      <c r="A206" s="377" t="s">
        <v>501</v>
      </c>
      <c r="B206" s="225" t="s">
        <v>5598</v>
      </c>
    </row>
    <row r="207" spans="1:2" ht="14.4">
      <c r="A207" s="377" t="s">
        <v>503</v>
      </c>
      <c r="B207" s="225" t="s">
        <v>5598</v>
      </c>
    </row>
    <row r="208" spans="1:2" ht="14.4">
      <c r="A208" s="377" t="s">
        <v>505</v>
      </c>
      <c r="B208" s="225" t="s">
        <v>5598</v>
      </c>
    </row>
    <row r="209" spans="1:2" ht="14.4">
      <c r="A209" s="377" t="s">
        <v>506</v>
      </c>
      <c r="B209" s="225" t="s">
        <v>5598</v>
      </c>
    </row>
    <row r="210" spans="1:2" ht="13.2">
      <c r="A210" s="390" t="s">
        <v>5661</v>
      </c>
      <c r="B210" s="225" t="s">
        <v>5598</v>
      </c>
    </row>
    <row r="211" spans="1:2" ht="13.2">
      <c r="A211" s="390" t="s">
        <v>4834</v>
      </c>
      <c r="B211" s="225" t="s">
        <v>5598</v>
      </c>
    </row>
    <row r="212" spans="1:2" ht="14.4">
      <c r="A212" s="390" t="s">
        <v>4838</v>
      </c>
      <c r="B212" s="389" t="s">
        <v>5662</v>
      </c>
    </row>
    <row r="213" spans="1:2" ht="13.2">
      <c r="A213" s="390" t="s">
        <v>4840</v>
      </c>
      <c r="B213" s="225" t="s">
        <v>5598</v>
      </c>
    </row>
    <row r="214" spans="1:2" ht="13.2">
      <c r="A214" s="390" t="s">
        <v>4851</v>
      </c>
      <c r="B214" s="225" t="s">
        <v>5598</v>
      </c>
    </row>
    <row r="215" spans="1:2" ht="13.2">
      <c r="A215" s="390" t="s">
        <v>4854</v>
      </c>
      <c r="B215" s="225" t="s">
        <v>5598</v>
      </c>
    </row>
    <row r="216" spans="1:2" ht="13.2">
      <c r="A216" s="390" t="s">
        <v>4855</v>
      </c>
      <c r="B216" s="225" t="s">
        <v>5598</v>
      </c>
    </row>
    <row r="217" spans="1:2" ht="13.2">
      <c r="A217" s="390" t="s">
        <v>4038</v>
      </c>
      <c r="B217" s="225" t="s">
        <v>5598</v>
      </c>
    </row>
    <row r="218" spans="1:2" ht="13.2">
      <c r="A218" s="390" t="s">
        <v>4856</v>
      </c>
      <c r="B218" s="225" t="s">
        <v>5598</v>
      </c>
    </row>
    <row r="219" spans="1:2" ht="13.2">
      <c r="A219" s="390" t="s">
        <v>4859</v>
      </c>
      <c r="B219" s="225" t="s">
        <v>5598</v>
      </c>
    </row>
    <row r="220" spans="1:2" ht="13.2">
      <c r="A220" s="390" t="s">
        <v>4862</v>
      </c>
      <c r="B220" s="225" t="s">
        <v>5663</v>
      </c>
    </row>
    <row r="221" spans="1:2" ht="13.2">
      <c r="A221" s="390" t="s">
        <v>2909</v>
      </c>
      <c r="B221" s="225" t="s">
        <v>5598</v>
      </c>
    </row>
    <row r="222" spans="1:2" ht="14.4">
      <c r="A222" s="390" t="s">
        <v>4864</v>
      </c>
      <c r="B222" s="389" t="s">
        <v>5664</v>
      </c>
    </row>
    <row r="223" spans="1:2" ht="13.2">
      <c r="A223" s="390" t="s">
        <v>4867</v>
      </c>
      <c r="B223" s="225" t="s">
        <v>5598</v>
      </c>
    </row>
    <row r="224" spans="1:2" ht="13.2">
      <c r="A224" s="390" t="s">
        <v>4059</v>
      </c>
      <c r="B224" s="225" t="s">
        <v>5598</v>
      </c>
    </row>
    <row r="225" spans="1:2" ht="13.2">
      <c r="A225" s="390" t="s">
        <v>4031</v>
      </c>
      <c r="B225" s="225" t="s">
        <v>5598</v>
      </c>
    </row>
    <row r="226" spans="1:2" ht="13.2">
      <c r="A226" s="390" t="s">
        <v>4032</v>
      </c>
      <c r="B226" s="225" t="s">
        <v>5598</v>
      </c>
    </row>
    <row r="227" spans="1:2" ht="14.4">
      <c r="A227" s="390" t="s">
        <v>5665</v>
      </c>
      <c r="B227" s="389" t="s">
        <v>4039</v>
      </c>
    </row>
    <row r="228" spans="1:2" ht="13.2">
      <c r="A228" s="390" t="s">
        <v>4042</v>
      </c>
      <c r="B228" s="225" t="s">
        <v>5598</v>
      </c>
    </row>
    <row r="229" spans="1:2" ht="14.4">
      <c r="A229" s="390" t="s">
        <v>5666</v>
      </c>
      <c r="B229" s="389" t="s">
        <v>4045</v>
      </c>
    </row>
    <row r="230" spans="1:2" ht="13.2">
      <c r="A230" s="390" t="s">
        <v>4050</v>
      </c>
      <c r="B230" s="225" t="s">
        <v>5598</v>
      </c>
    </row>
    <row r="231" spans="1:2" ht="13.2">
      <c r="A231" s="390" t="s">
        <v>4051</v>
      </c>
      <c r="B231" s="225" t="s">
        <v>5598</v>
      </c>
    </row>
    <row r="232" spans="1:2" ht="13.2">
      <c r="A232" s="390" t="s">
        <v>4056</v>
      </c>
      <c r="B232" s="225" t="s">
        <v>5598</v>
      </c>
    </row>
    <row r="233" spans="1:2" ht="13.2">
      <c r="A233" s="390" t="s">
        <v>4060</v>
      </c>
      <c r="B233" s="225" t="s">
        <v>5598</v>
      </c>
    </row>
    <row r="234" spans="1:2" ht="14.4">
      <c r="A234" s="390" t="s">
        <v>5667</v>
      </c>
      <c r="B234" s="391" t="s">
        <v>2889</v>
      </c>
    </row>
    <row r="235" spans="1:2" ht="13.2">
      <c r="A235" s="390" t="s">
        <v>2924</v>
      </c>
      <c r="B235" s="225" t="s">
        <v>5598</v>
      </c>
    </row>
    <row r="236" spans="1:2" ht="13.2">
      <c r="A236" s="390" t="s">
        <v>2926</v>
      </c>
      <c r="B236" s="225" t="s">
        <v>5598</v>
      </c>
    </row>
    <row r="237" spans="1:2" ht="13.2">
      <c r="A237" s="390" t="s">
        <v>2928</v>
      </c>
      <c r="B237" s="225" t="s">
        <v>5598</v>
      </c>
    </row>
    <row r="238" spans="1:2" ht="14.4">
      <c r="A238" s="390" t="s">
        <v>2933</v>
      </c>
      <c r="B238" s="273" t="s">
        <v>5668</v>
      </c>
    </row>
    <row r="239" spans="1:2" ht="13.2">
      <c r="A239" s="390" t="s">
        <v>2952</v>
      </c>
      <c r="B239" s="225" t="s">
        <v>5598</v>
      </c>
    </row>
    <row r="240" spans="1:2" ht="13.2">
      <c r="A240" s="390" t="s">
        <v>2955</v>
      </c>
      <c r="B240" s="225" t="s">
        <v>5598</v>
      </c>
    </row>
    <row r="241" spans="1:2" ht="13.2">
      <c r="A241" s="390" t="s">
        <v>2957</v>
      </c>
      <c r="B241" s="225" t="s">
        <v>5598</v>
      </c>
    </row>
    <row r="242" spans="1:2" ht="13.2">
      <c r="A242" s="390" t="s">
        <v>2961</v>
      </c>
      <c r="B242" s="225" t="s">
        <v>5598</v>
      </c>
    </row>
    <row r="243" spans="1:2" ht="14.4">
      <c r="A243" s="390" t="s">
        <v>5669</v>
      </c>
      <c r="B243" s="389" t="s">
        <v>2963</v>
      </c>
    </row>
    <row r="244" spans="1:2" ht="14.4">
      <c r="A244" s="390" t="s">
        <v>5670</v>
      </c>
      <c r="B244" s="389" t="s">
        <v>2970</v>
      </c>
    </row>
    <row r="245" spans="1:2" ht="13.2">
      <c r="A245" s="390" t="s">
        <v>2972</v>
      </c>
      <c r="B245" s="225" t="s">
        <v>5598</v>
      </c>
    </row>
    <row r="246" spans="1:2" ht="13.2">
      <c r="A246" s="390" t="s">
        <v>2978</v>
      </c>
      <c r="B246" s="225" t="s">
        <v>5598</v>
      </c>
    </row>
    <row r="247" spans="1:2" ht="14.4">
      <c r="A247" s="390" t="s">
        <v>5671</v>
      </c>
      <c r="B247" s="389" t="s">
        <v>2980</v>
      </c>
    </row>
    <row r="248" spans="1:2" ht="13.2">
      <c r="A248" s="390" t="s">
        <v>2986</v>
      </c>
      <c r="B248" s="225" t="s">
        <v>5598</v>
      </c>
    </row>
    <row r="249" spans="1:2" ht="14.4">
      <c r="A249" s="390" t="s">
        <v>5672</v>
      </c>
      <c r="B249" s="387" t="s">
        <v>2988</v>
      </c>
    </row>
    <row r="250" spans="1:2" ht="14.4">
      <c r="A250" s="390" t="s">
        <v>4900</v>
      </c>
      <c r="B250" s="391" t="s">
        <v>2999</v>
      </c>
    </row>
    <row r="251" spans="1:2" ht="13.2">
      <c r="A251" s="390" t="s">
        <v>3001</v>
      </c>
      <c r="B251" s="225" t="s">
        <v>5673</v>
      </c>
    </row>
    <row r="252" spans="1:2" ht="13.2">
      <c r="A252" s="390" t="s">
        <v>4870</v>
      </c>
      <c r="B252" s="225" t="s">
        <v>5673</v>
      </c>
    </row>
    <row r="253" spans="1:2" ht="13.2">
      <c r="A253" s="390" t="s">
        <v>4871</v>
      </c>
      <c r="B253" s="225" t="s">
        <v>5673</v>
      </c>
    </row>
    <row r="254" spans="1:2" ht="13.2">
      <c r="A254" s="390" t="s">
        <v>4876</v>
      </c>
      <c r="B254" s="225" t="s">
        <v>5673</v>
      </c>
    </row>
    <row r="255" spans="1:2" ht="13.2">
      <c r="A255" s="390" t="s">
        <v>4065</v>
      </c>
      <c r="B255" s="225" t="s">
        <v>5673</v>
      </c>
    </row>
    <row r="256" spans="1:2" ht="13.2">
      <c r="A256" s="390" t="s">
        <v>4879</v>
      </c>
      <c r="B256" s="225" t="s">
        <v>5673</v>
      </c>
    </row>
    <row r="257" spans="1:2" ht="13.2">
      <c r="A257" s="390" t="s">
        <v>4880</v>
      </c>
      <c r="B257" s="225" t="s">
        <v>5673</v>
      </c>
    </row>
    <row r="258" spans="1:2" ht="13.2">
      <c r="A258" s="390" t="s">
        <v>4881</v>
      </c>
      <c r="B258" s="225" t="s">
        <v>5673</v>
      </c>
    </row>
    <row r="259" spans="1:2" ht="13.8">
      <c r="A259" s="392" t="s">
        <v>1130</v>
      </c>
      <c r="B259" s="225" t="s">
        <v>5673</v>
      </c>
    </row>
    <row r="260" spans="1:2" ht="13.2">
      <c r="A260" s="390" t="s">
        <v>4887</v>
      </c>
      <c r="B260" s="225" t="s">
        <v>5673</v>
      </c>
    </row>
    <row r="261" spans="1:2" ht="13.2">
      <c r="A261" s="390" t="s">
        <v>4888</v>
      </c>
      <c r="B261" s="225" t="s">
        <v>5673</v>
      </c>
    </row>
    <row r="262" spans="1:2" ht="13.2">
      <c r="A262" s="390" t="s">
        <v>4889</v>
      </c>
      <c r="B262" s="225" t="s">
        <v>5673</v>
      </c>
    </row>
    <row r="263" spans="1:2" ht="13.2">
      <c r="A263" s="390" t="s">
        <v>4890</v>
      </c>
      <c r="B263" s="225" t="s">
        <v>5673</v>
      </c>
    </row>
    <row r="264" spans="1:2" ht="13.2">
      <c r="A264" s="390" t="s">
        <v>4891</v>
      </c>
      <c r="B264" s="225" t="s">
        <v>5673</v>
      </c>
    </row>
    <row r="265" spans="1:2" ht="13.2">
      <c r="A265" s="390" t="s">
        <v>4892</v>
      </c>
      <c r="B265" s="225" t="s">
        <v>5673</v>
      </c>
    </row>
    <row r="266" spans="1:2" ht="13.2">
      <c r="A266" s="390" t="s">
        <v>4893</v>
      </c>
      <c r="B266" s="225" t="s">
        <v>5673</v>
      </c>
    </row>
    <row r="267" spans="1:2" ht="13.2">
      <c r="A267" s="390" t="s">
        <v>4895</v>
      </c>
      <c r="B267" s="225" t="s">
        <v>5673</v>
      </c>
    </row>
    <row r="268" spans="1:2" ht="13.2">
      <c r="A268" s="390" t="s">
        <v>4896</v>
      </c>
      <c r="B268" s="225" t="s">
        <v>5673</v>
      </c>
    </row>
    <row r="269" spans="1:2" ht="13.2">
      <c r="A269" s="390" t="s">
        <v>4897</v>
      </c>
      <c r="B269" s="225" t="s">
        <v>5673</v>
      </c>
    </row>
    <row r="270" spans="1:2" ht="14.4">
      <c r="A270" s="390" t="s">
        <v>4898</v>
      </c>
      <c r="B270" s="391" t="s">
        <v>5674</v>
      </c>
    </row>
    <row r="271" spans="1:2" ht="13.2">
      <c r="A271" s="390" t="s">
        <v>4901</v>
      </c>
      <c r="B271" s="225" t="s">
        <v>5673</v>
      </c>
    </row>
    <row r="272" spans="1:2" ht="13.2">
      <c r="A272" s="390" t="s">
        <v>4904</v>
      </c>
      <c r="B272" s="225" t="s">
        <v>5673</v>
      </c>
    </row>
    <row r="273" spans="1:2" ht="14.4">
      <c r="A273" s="377" t="s">
        <v>5675</v>
      </c>
      <c r="B273" s="389" t="s">
        <v>518</v>
      </c>
    </row>
    <row r="274" spans="1:2" ht="14.4">
      <c r="A274" s="377" t="s">
        <v>5676</v>
      </c>
      <c r="B274" s="389" t="s">
        <v>520</v>
      </c>
    </row>
    <row r="275" spans="1:2" ht="14.4">
      <c r="A275" s="377" t="s">
        <v>528</v>
      </c>
      <c r="B275" s="225" t="s">
        <v>5598</v>
      </c>
    </row>
    <row r="276" spans="1:2" ht="14.4">
      <c r="A276" s="377" t="s">
        <v>530</v>
      </c>
      <c r="B276" s="225" t="s">
        <v>5598</v>
      </c>
    </row>
    <row r="277" spans="1:2" ht="14.4">
      <c r="A277" s="377" t="s">
        <v>5677</v>
      </c>
      <c r="B277" s="342" t="s">
        <v>531</v>
      </c>
    </row>
    <row r="278" spans="1:2" ht="13.2">
      <c r="A278" s="388" t="s">
        <v>1220</v>
      </c>
      <c r="B278" s="225" t="s">
        <v>5598</v>
      </c>
    </row>
    <row r="279" spans="1:2" ht="13.2">
      <c r="A279" s="388" t="s">
        <v>1221</v>
      </c>
      <c r="B279" s="225" t="s">
        <v>5598</v>
      </c>
    </row>
    <row r="280" spans="1:2" ht="14.4">
      <c r="A280" s="388" t="s">
        <v>481</v>
      </c>
      <c r="B280" s="391" t="s">
        <v>1227</v>
      </c>
    </row>
    <row r="281" spans="1:2" ht="14.4">
      <c r="A281" s="388" t="s">
        <v>5678</v>
      </c>
      <c r="B281" s="389" t="s">
        <v>1237</v>
      </c>
    </row>
    <row r="282" spans="1:2" ht="14.4">
      <c r="A282" s="388" t="s">
        <v>5679</v>
      </c>
      <c r="B282" s="389" t="s">
        <v>1248</v>
      </c>
    </row>
    <row r="283" spans="1:2" ht="14.4">
      <c r="A283" s="388" t="s">
        <v>5680</v>
      </c>
      <c r="B283" s="391" t="s">
        <v>1255</v>
      </c>
    </row>
    <row r="284" spans="1:2" ht="13.2">
      <c r="A284" s="388" t="s">
        <v>5642</v>
      </c>
      <c r="B284" s="225" t="s">
        <v>5598</v>
      </c>
    </row>
    <row r="285" spans="1:2" ht="13.2">
      <c r="A285" s="388" t="s">
        <v>1267</v>
      </c>
      <c r="B285" s="225" t="s">
        <v>5598</v>
      </c>
    </row>
    <row r="286" spans="1:2" ht="14.4">
      <c r="A286" s="388" t="s">
        <v>5681</v>
      </c>
      <c r="B286" s="389" t="s">
        <v>1268</v>
      </c>
    </row>
    <row r="287" spans="1:2" ht="14.4">
      <c r="A287" s="394" t="s">
        <v>3053</v>
      </c>
      <c r="B287" s="391" t="s">
        <v>2106</v>
      </c>
    </row>
    <row r="288" spans="1:2" ht="13.2">
      <c r="A288" s="394" t="s">
        <v>1215</v>
      </c>
      <c r="B288" s="225" t="s">
        <v>5598</v>
      </c>
    </row>
    <row r="289" spans="1:2" ht="14.4">
      <c r="A289" s="390" t="s">
        <v>5682</v>
      </c>
      <c r="B289" s="391" t="s">
        <v>2114</v>
      </c>
    </row>
    <row r="290" spans="1:2" ht="14.4">
      <c r="A290" s="390" t="s">
        <v>5683</v>
      </c>
      <c r="B290" s="389" t="s">
        <v>2119</v>
      </c>
    </row>
    <row r="291" spans="1:2" ht="13.2">
      <c r="A291" s="390" t="s">
        <v>2125</v>
      </c>
      <c r="B291" s="225" t="s">
        <v>5598</v>
      </c>
    </row>
    <row r="292" spans="1:2" ht="14.4">
      <c r="A292" s="390" t="s">
        <v>5684</v>
      </c>
      <c r="B292" s="389" t="s">
        <v>2128</v>
      </c>
    </row>
    <row r="293" spans="1:2" ht="14.4">
      <c r="A293" s="390" t="s">
        <v>5685</v>
      </c>
      <c r="B293" s="389" t="s">
        <v>2132</v>
      </c>
    </row>
    <row r="294" spans="1:2" ht="14.4">
      <c r="A294" s="390" t="s">
        <v>5686</v>
      </c>
      <c r="B294" s="273" t="s">
        <v>5604</v>
      </c>
    </row>
    <row r="295" spans="1:2" ht="13.2">
      <c r="A295" s="390" t="s">
        <v>2137</v>
      </c>
      <c r="B295" s="225" t="s">
        <v>5668</v>
      </c>
    </row>
    <row r="296" spans="1:2" ht="14.4">
      <c r="A296" s="390" t="s">
        <v>5687</v>
      </c>
      <c r="B296" s="389" t="s">
        <v>3011</v>
      </c>
    </row>
    <row r="297" spans="1:2" ht="13.2">
      <c r="A297" s="390" t="s">
        <v>3020</v>
      </c>
      <c r="B297" s="225" t="s">
        <v>5668</v>
      </c>
    </row>
    <row r="298" spans="1:2" ht="13.2">
      <c r="A298" s="390" t="s">
        <v>3022</v>
      </c>
      <c r="B298" s="225" t="s">
        <v>5668</v>
      </c>
    </row>
    <row r="299" spans="1:2" ht="13.2">
      <c r="A299" s="390" t="s">
        <v>3024</v>
      </c>
      <c r="B299" s="225" t="s">
        <v>5668</v>
      </c>
    </row>
    <row r="300" spans="1:2" ht="13.2">
      <c r="A300" s="390" t="s">
        <v>3026</v>
      </c>
      <c r="B300" s="225" t="s">
        <v>5668</v>
      </c>
    </row>
    <row r="301" spans="1:2" ht="13.2">
      <c r="A301" s="390" t="s">
        <v>3027</v>
      </c>
      <c r="B301" s="225" t="s">
        <v>5668</v>
      </c>
    </row>
    <row r="302" spans="1:2" ht="13.2">
      <c r="A302" s="390" t="s">
        <v>3031</v>
      </c>
      <c r="B302" s="225" t="s">
        <v>5668</v>
      </c>
    </row>
    <row r="303" spans="1:2" ht="14.4">
      <c r="A303" s="390" t="s">
        <v>5688</v>
      </c>
      <c r="B303" s="389" t="s">
        <v>3033</v>
      </c>
    </row>
    <row r="304" spans="1:2" ht="13.2">
      <c r="A304" s="390" t="s">
        <v>4075</v>
      </c>
      <c r="B304" s="225" t="s">
        <v>5668</v>
      </c>
    </row>
    <row r="305" spans="1:2" ht="13.2">
      <c r="A305" s="390" t="s">
        <v>2138</v>
      </c>
      <c r="B305" s="225" t="s">
        <v>5668</v>
      </c>
    </row>
    <row r="306" spans="1:2" ht="13.2">
      <c r="A306" s="390" t="s">
        <v>2143</v>
      </c>
      <c r="B306" s="225" t="s">
        <v>5668</v>
      </c>
    </row>
    <row r="307" spans="1:2" ht="13.2">
      <c r="A307" s="390" t="s">
        <v>4077</v>
      </c>
      <c r="B307" s="225" t="s">
        <v>5668</v>
      </c>
    </row>
    <row r="308" spans="1:2" ht="13.2">
      <c r="A308" s="390" t="s">
        <v>4907</v>
      </c>
      <c r="B308" s="225" t="s">
        <v>5668</v>
      </c>
    </row>
    <row r="309" spans="1:2" ht="13.2">
      <c r="A309" s="390" t="s">
        <v>4908</v>
      </c>
      <c r="B309" s="225" t="s">
        <v>5668</v>
      </c>
    </row>
    <row r="310" spans="1:2" ht="13.2">
      <c r="A310" s="390" t="s">
        <v>4078</v>
      </c>
      <c r="B310" s="225" t="s">
        <v>5668</v>
      </c>
    </row>
    <row r="311" spans="1:2" ht="13.2">
      <c r="A311" s="390" t="s">
        <v>4081</v>
      </c>
      <c r="B311" s="225" t="s">
        <v>5668</v>
      </c>
    </row>
    <row r="312" spans="1:2" ht="13.2">
      <c r="A312" s="390" t="s">
        <v>4085</v>
      </c>
      <c r="B312" s="225" t="s">
        <v>5668</v>
      </c>
    </row>
    <row r="313" spans="1:2" ht="13.2">
      <c r="A313" s="390" t="s">
        <v>4909</v>
      </c>
      <c r="B313" s="225" t="s">
        <v>5668</v>
      </c>
    </row>
    <row r="314" spans="1:2" ht="13.2">
      <c r="A314" s="390" t="s">
        <v>3014</v>
      </c>
      <c r="B314" s="225" t="s">
        <v>5668</v>
      </c>
    </row>
    <row r="315" spans="1:2" ht="13.2">
      <c r="A315" s="390" t="s">
        <v>4086</v>
      </c>
      <c r="B315" s="225" t="s">
        <v>5668</v>
      </c>
    </row>
    <row r="316" spans="1:2" ht="13.2">
      <c r="A316" s="390" t="s">
        <v>4087</v>
      </c>
      <c r="B316" s="225" t="s">
        <v>5668</v>
      </c>
    </row>
    <row r="317" spans="1:2" ht="13.2">
      <c r="A317" s="390" t="s">
        <v>4090</v>
      </c>
      <c r="B317" s="225" t="s">
        <v>5668</v>
      </c>
    </row>
    <row r="318" spans="1:2" ht="13.2">
      <c r="A318" s="390" t="s">
        <v>4091</v>
      </c>
      <c r="B318" s="225" t="s">
        <v>5668</v>
      </c>
    </row>
    <row r="319" spans="1:2" ht="13.2">
      <c r="A319" s="390" t="s">
        <v>4092</v>
      </c>
      <c r="B319" s="225" t="s">
        <v>5668</v>
      </c>
    </row>
    <row r="320" spans="1:2" ht="13.2">
      <c r="A320" s="390" t="s">
        <v>4093</v>
      </c>
      <c r="B320" s="225" t="s">
        <v>5668</v>
      </c>
    </row>
    <row r="321" spans="1:2" ht="13.2">
      <c r="A321" s="390" t="s">
        <v>4095</v>
      </c>
      <c r="B321" s="225" t="s">
        <v>5668</v>
      </c>
    </row>
    <row r="322" spans="1:2" ht="13.2">
      <c r="A322" s="390" t="s">
        <v>4096</v>
      </c>
      <c r="B322" s="225" t="s">
        <v>5668</v>
      </c>
    </row>
    <row r="323" spans="1:2" ht="14.4">
      <c r="A323" s="390" t="s">
        <v>5689</v>
      </c>
      <c r="B323" s="389" t="s">
        <v>4101</v>
      </c>
    </row>
    <row r="324" spans="1:2" ht="13.2">
      <c r="A324" s="390" t="s">
        <v>4912</v>
      </c>
      <c r="B324" s="225" t="s">
        <v>5668</v>
      </c>
    </row>
    <row r="325" spans="1:2" ht="13.2">
      <c r="A325" s="390" t="s">
        <v>4917</v>
      </c>
      <c r="B325" s="225" t="s">
        <v>5668</v>
      </c>
    </row>
    <row r="326" spans="1:2" ht="13.2">
      <c r="A326" s="390" t="s">
        <v>4103</v>
      </c>
      <c r="B326" s="225" t="s">
        <v>5668</v>
      </c>
    </row>
    <row r="327" spans="1:2" ht="13.2">
      <c r="A327" s="390" t="s">
        <v>4107</v>
      </c>
      <c r="B327" s="225" t="s">
        <v>5668</v>
      </c>
    </row>
    <row r="328" spans="1:2" ht="13.2">
      <c r="A328" s="390" t="s">
        <v>4066</v>
      </c>
      <c r="B328" s="225" t="s">
        <v>5668</v>
      </c>
    </row>
    <row r="329" spans="1:2" ht="13.2">
      <c r="A329" s="390" t="s">
        <v>4918</v>
      </c>
      <c r="B329" s="225" t="s">
        <v>5668</v>
      </c>
    </row>
    <row r="330" spans="1:2" ht="13.2">
      <c r="A330" s="390" t="s">
        <v>4921</v>
      </c>
      <c r="B330" s="225" t="s">
        <v>5668</v>
      </c>
    </row>
    <row r="331" spans="1:2" ht="13.2">
      <c r="A331" s="390" t="s">
        <v>4922</v>
      </c>
      <c r="B331" s="225" t="s">
        <v>5668</v>
      </c>
    </row>
    <row r="332" spans="1:2" ht="13.2">
      <c r="A332" s="390" t="s">
        <v>4923</v>
      </c>
      <c r="B332" s="225" t="s">
        <v>5668</v>
      </c>
    </row>
    <row r="333" spans="1:2" ht="13.2">
      <c r="A333" s="390" t="s">
        <v>4924</v>
      </c>
      <c r="B333" s="225" t="s">
        <v>5668</v>
      </c>
    </row>
    <row r="334" spans="1:2" ht="13.2">
      <c r="A334" s="390" t="s">
        <v>4925</v>
      </c>
      <c r="B334" s="225" t="s">
        <v>5668</v>
      </c>
    </row>
    <row r="335" spans="1:2" ht="13.2">
      <c r="A335" s="390" t="s">
        <v>4926</v>
      </c>
      <c r="B335" s="225" t="s">
        <v>5668</v>
      </c>
    </row>
    <row r="336" spans="1:2" ht="14.4">
      <c r="A336" s="390" t="s">
        <v>2081</v>
      </c>
      <c r="B336" s="389" t="s">
        <v>5690</v>
      </c>
    </row>
    <row r="337" spans="1:2" ht="13.2">
      <c r="A337" s="390" t="s">
        <v>4929</v>
      </c>
      <c r="B337" s="225" t="s">
        <v>5668</v>
      </c>
    </row>
    <row r="338" spans="1:2" ht="13.2">
      <c r="A338" s="390" t="s">
        <v>4930</v>
      </c>
      <c r="B338" s="225" t="s">
        <v>5668</v>
      </c>
    </row>
    <row r="339" spans="1:2" ht="13.2">
      <c r="A339" s="390" t="s">
        <v>4931</v>
      </c>
      <c r="B339" s="225" t="s">
        <v>5668</v>
      </c>
    </row>
    <row r="340" spans="1:2" ht="13.2">
      <c r="A340" s="390" t="s">
        <v>4936</v>
      </c>
      <c r="B340" s="225" t="s">
        <v>5668</v>
      </c>
    </row>
    <row r="341" spans="1:2" ht="14.4">
      <c r="A341" s="390" t="s">
        <v>4937</v>
      </c>
      <c r="B341" s="395" t="s">
        <v>5691</v>
      </c>
    </row>
    <row r="342" spans="1:2" ht="14.4">
      <c r="A342" s="390" t="s">
        <v>4944</v>
      </c>
      <c r="B342" s="389" t="s">
        <v>5692</v>
      </c>
    </row>
    <row r="343" spans="1:2" ht="14.4">
      <c r="A343" s="390" t="s">
        <v>4945</v>
      </c>
      <c r="B343" s="393" t="s">
        <v>5693</v>
      </c>
    </row>
    <row r="344" spans="1:2" ht="14.4">
      <c r="A344" s="390" t="s">
        <v>4947</v>
      </c>
      <c r="B344" s="389" t="s">
        <v>5694</v>
      </c>
    </row>
    <row r="345" spans="1:2" ht="14.4">
      <c r="A345" s="390" t="s">
        <v>4949</v>
      </c>
      <c r="B345" s="389" t="s">
        <v>3049</v>
      </c>
    </row>
    <row r="346" spans="1:2" ht="13.2">
      <c r="A346" s="390" t="s">
        <v>4951</v>
      </c>
      <c r="B346" s="225" t="s">
        <v>5668</v>
      </c>
    </row>
    <row r="347" spans="1:2" ht="14.4">
      <c r="A347" s="390" t="s">
        <v>4954</v>
      </c>
      <c r="B347" s="389" t="s">
        <v>5695</v>
      </c>
    </row>
    <row r="348" spans="1:2" ht="13.2">
      <c r="A348" s="390" t="s">
        <v>2116</v>
      </c>
      <c r="B348" s="225" t="s">
        <v>5668</v>
      </c>
    </row>
    <row r="349" spans="1:2" ht="14.4">
      <c r="A349" s="390" t="s">
        <v>4957</v>
      </c>
      <c r="B349" s="393" t="s">
        <v>5696</v>
      </c>
    </row>
    <row r="350" spans="1:2" ht="14.4">
      <c r="A350" s="390" t="s">
        <v>4959</v>
      </c>
      <c r="B350" s="389" t="s">
        <v>5697</v>
      </c>
    </row>
    <row r="351" spans="1:2" ht="13.2">
      <c r="A351" s="390" t="s">
        <v>4965</v>
      </c>
      <c r="B351" s="225" t="s">
        <v>5668</v>
      </c>
    </row>
    <row r="352" spans="1:2" ht="14.4">
      <c r="A352" s="390" t="s">
        <v>4966</v>
      </c>
      <c r="B352" s="389" t="s">
        <v>5698</v>
      </c>
    </row>
    <row r="353" spans="1:2" ht="13.2">
      <c r="A353" s="390" t="s">
        <v>1245</v>
      </c>
      <c r="B353" s="225" t="s">
        <v>5668</v>
      </c>
    </row>
    <row r="354" spans="1:2" ht="14.4">
      <c r="A354" s="390" t="s">
        <v>4971</v>
      </c>
      <c r="B354" s="389" t="s">
        <v>5699</v>
      </c>
    </row>
    <row r="355" spans="1:2" ht="13.2">
      <c r="A355" s="390" t="s">
        <v>4973</v>
      </c>
      <c r="B355" s="225" t="s">
        <v>5598</v>
      </c>
    </row>
    <row r="356" spans="1:2" ht="14.4">
      <c r="A356" s="388" t="s">
        <v>5700</v>
      </c>
      <c r="B356" s="389" t="s">
        <v>1278</v>
      </c>
    </row>
    <row r="357" spans="1:2" ht="14.4">
      <c r="A357" s="388" t="s">
        <v>5701</v>
      </c>
      <c r="B357" s="389" t="s">
        <v>1282</v>
      </c>
    </row>
    <row r="358" spans="1:2" ht="14.4">
      <c r="A358" s="388" t="s">
        <v>5702</v>
      </c>
      <c r="B358" s="389" t="s">
        <v>1285</v>
      </c>
    </row>
    <row r="359" spans="1:2" ht="13.2">
      <c r="A359" s="388" t="s">
        <v>1288</v>
      </c>
      <c r="B359" s="225" t="s">
        <v>5598</v>
      </c>
    </row>
    <row r="360" spans="1:2" ht="13.2">
      <c r="A360" s="388" t="s">
        <v>1289</v>
      </c>
      <c r="B360" s="225" t="s">
        <v>5598</v>
      </c>
    </row>
    <row r="361" spans="1:2" ht="13.2">
      <c r="A361" s="388" t="s">
        <v>1291</v>
      </c>
      <c r="B361" s="225" t="s">
        <v>5598</v>
      </c>
    </row>
    <row r="362" spans="1:2" ht="13.2">
      <c r="A362" s="388" t="s">
        <v>1292</v>
      </c>
      <c r="B362" s="225" t="s">
        <v>5598</v>
      </c>
    </row>
    <row r="363" spans="1:2" ht="13.2">
      <c r="A363" s="388" t="s">
        <v>1295</v>
      </c>
      <c r="B363" s="225" t="s">
        <v>5598</v>
      </c>
    </row>
    <row r="364" spans="1:2" ht="14.4">
      <c r="A364" s="388" t="s">
        <v>5703</v>
      </c>
      <c r="B364" s="389" t="s">
        <v>1296</v>
      </c>
    </row>
    <row r="365" spans="1:2" ht="13.2">
      <c r="A365" s="388" t="s">
        <v>1299</v>
      </c>
      <c r="B365" s="225" t="s">
        <v>5598</v>
      </c>
    </row>
    <row r="366" spans="1:2" ht="14.4">
      <c r="A366" s="388" t="s">
        <v>5704</v>
      </c>
      <c r="B366" s="389" t="s">
        <v>1300</v>
      </c>
    </row>
    <row r="367" spans="1:2" ht="13.2">
      <c r="A367" s="388" t="s">
        <v>1306</v>
      </c>
      <c r="B367" s="225" t="s">
        <v>5598</v>
      </c>
    </row>
    <row r="368" spans="1:2" ht="13.2">
      <c r="A368" s="388" t="s">
        <v>1312</v>
      </c>
      <c r="B368" s="225" t="s">
        <v>5598</v>
      </c>
    </row>
    <row r="369" spans="1:2" ht="14.4">
      <c r="A369" s="388" t="s">
        <v>5705</v>
      </c>
      <c r="B369" s="389" t="s">
        <v>1313</v>
      </c>
    </row>
    <row r="370" spans="1:2" ht="13.2">
      <c r="A370" s="388" t="s">
        <v>1316</v>
      </c>
      <c r="B370" s="225" t="s">
        <v>5598</v>
      </c>
    </row>
    <row r="371" spans="1:2" ht="14.4">
      <c r="A371" s="388" t="s">
        <v>5706</v>
      </c>
      <c r="B371" s="389" t="s">
        <v>1317</v>
      </c>
    </row>
    <row r="372" spans="1:2" ht="13.2">
      <c r="A372" s="388" t="s">
        <v>1322</v>
      </c>
      <c r="B372" s="225" t="s">
        <v>5598</v>
      </c>
    </row>
    <row r="373" spans="1:2" ht="13.2">
      <c r="A373" s="388" t="s">
        <v>1323</v>
      </c>
      <c r="B373" s="225" t="s">
        <v>5598</v>
      </c>
    </row>
    <row r="374" spans="1:2" ht="13.2">
      <c r="A374" s="388" t="s">
        <v>1324</v>
      </c>
      <c r="B374" s="225" t="s">
        <v>5598</v>
      </c>
    </row>
    <row r="375" spans="1:2" ht="13.2">
      <c r="A375" s="388" t="s">
        <v>1325</v>
      </c>
      <c r="B375" s="225" t="s">
        <v>5598</v>
      </c>
    </row>
    <row r="376" spans="1:2" ht="14.4">
      <c r="A376" s="396" t="s">
        <v>5707</v>
      </c>
      <c r="B376" s="389" t="s">
        <v>1326</v>
      </c>
    </row>
    <row r="377" spans="1:2" ht="14.4">
      <c r="A377" s="388" t="s">
        <v>5708</v>
      </c>
      <c r="B377" s="389" t="s">
        <v>1329</v>
      </c>
    </row>
    <row r="378" spans="1:2" ht="14.4">
      <c r="A378" s="388" t="s">
        <v>5709</v>
      </c>
      <c r="B378" s="389" t="s">
        <v>1333</v>
      </c>
    </row>
    <row r="379" spans="1:2" ht="13.2">
      <c r="A379" s="388" t="s">
        <v>1335</v>
      </c>
      <c r="B379" s="225" t="s">
        <v>5598</v>
      </c>
    </row>
    <row r="380" spans="1:2" ht="14.4">
      <c r="A380" s="388" t="s">
        <v>5710</v>
      </c>
      <c r="B380" s="389" t="s">
        <v>1339</v>
      </c>
    </row>
    <row r="381" spans="1:2" ht="13.2">
      <c r="A381" s="388" t="s">
        <v>1341</v>
      </c>
      <c r="B381" s="225" t="s">
        <v>5598</v>
      </c>
    </row>
    <row r="382" spans="1:2" ht="13.2">
      <c r="A382" s="388" t="s">
        <v>1342</v>
      </c>
      <c r="B382" s="225" t="s">
        <v>5598</v>
      </c>
    </row>
    <row r="383" spans="1:2" ht="14.4">
      <c r="A383" s="388" t="s">
        <v>5711</v>
      </c>
      <c r="B383" s="389" t="s">
        <v>1345</v>
      </c>
    </row>
    <row r="384" spans="1:2" ht="13.2">
      <c r="A384" s="388" t="s">
        <v>1348</v>
      </c>
      <c r="B384" s="225" t="s">
        <v>5598</v>
      </c>
    </row>
    <row r="385" spans="1:2" ht="13.2">
      <c r="A385" s="388" t="s">
        <v>1352</v>
      </c>
      <c r="B385" s="225" t="s">
        <v>5598</v>
      </c>
    </row>
    <row r="386" spans="1:2" ht="13.2">
      <c r="A386" s="388" t="s">
        <v>1353</v>
      </c>
      <c r="B386" s="225" t="s">
        <v>5712</v>
      </c>
    </row>
    <row r="387" spans="1:2" ht="13.2">
      <c r="A387" s="388" t="s">
        <v>1354</v>
      </c>
      <c r="B387" s="225" t="s">
        <v>5712</v>
      </c>
    </row>
    <row r="388" spans="1:2" ht="13.2">
      <c r="A388" s="388" t="s">
        <v>639</v>
      </c>
      <c r="B388" s="225" t="s">
        <v>5712</v>
      </c>
    </row>
    <row r="389" spans="1:2" ht="14.4">
      <c r="A389" s="388" t="s">
        <v>5713</v>
      </c>
      <c r="B389" s="389" t="s">
        <v>1358</v>
      </c>
    </row>
    <row r="390" spans="1:2" ht="13.2">
      <c r="A390" s="388" t="s">
        <v>1360</v>
      </c>
      <c r="B390" s="225" t="s">
        <v>5712</v>
      </c>
    </row>
    <row r="391" spans="1:2" ht="14.4">
      <c r="A391" s="388" t="s">
        <v>5714</v>
      </c>
      <c r="B391" s="389" t="s">
        <v>1364</v>
      </c>
    </row>
    <row r="392" spans="1:2" ht="13.2">
      <c r="A392" s="388" t="s">
        <v>1367</v>
      </c>
      <c r="B392" s="225" t="s">
        <v>5712</v>
      </c>
    </row>
    <row r="393" spans="1:2" ht="13.2">
      <c r="A393" s="388" t="s">
        <v>1368</v>
      </c>
      <c r="B393" s="225" t="s">
        <v>5712</v>
      </c>
    </row>
    <row r="394" spans="1:2" ht="13.2">
      <c r="A394" s="388" t="s">
        <v>1369</v>
      </c>
      <c r="B394" s="225" t="s">
        <v>5712</v>
      </c>
    </row>
    <row r="395" spans="1:2" ht="13.2">
      <c r="A395" s="388" t="s">
        <v>1370</v>
      </c>
      <c r="B395" s="225" t="s">
        <v>5712</v>
      </c>
    </row>
    <row r="396" spans="1:2" ht="13.2">
      <c r="A396" s="388" t="s">
        <v>1371</v>
      </c>
      <c r="B396" s="225" t="s">
        <v>5712</v>
      </c>
    </row>
    <row r="397" spans="1:2" ht="13.2">
      <c r="A397" s="388" t="s">
        <v>1372</v>
      </c>
      <c r="B397" s="225" t="s">
        <v>5712</v>
      </c>
    </row>
    <row r="398" spans="1:2" ht="14.4">
      <c r="A398" s="388" t="s">
        <v>5715</v>
      </c>
      <c r="B398" s="389" t="s">
        <v>1373</v>
      </c>
    </row>
    <row r="399" spans="1:2" ht="14.4">
      <c r="A399" s="388" t="s">
        <v>5716</v>
      </c>
      <c r="B399" s="389" t="s">
        <v>1374</v>
      </c>
    </row>
    <row r="400" spans="1:2" ht="14.4">
      <c r="A400" s="390" t="s">
        <v>4974</v>
      </c>
      <c r="B400" s="389" t="s">
        <v>5717</v>
      </c>
    </row>
    <row r="401" spans="1:2" ht="13.2">
      <c r="A401" s="390" t="s">
        <v>4980</v>
      </c>
      <c r="B401" s="225" t="s">
        <v>5712</v>
      </c>
    </row>
    <row r="402" spans="1:2" ht="13.2">
      <c r="A402" s="390" t="s">
        <v>4983</v>
      </c>
      <c r="B402" s="225" t="s">
        <v>5712</v>
      </c>
    </row>
    <row r="403" spans="1:2" ht="14.4">
      <c r="A403" s="390" t="s">
        <v>4985</v>
      </c>
      <c r="B403" s="389" t="s">
        <v>5718</v>
      </c>
    </row>
    <row r="404" spans="1:2" ht="14.4">
      <c r="A404" s="390" t="s">
        <v>4987</v>
      </c>
      <c r="B404" s="395" t="s">
        <v>5719</v>
      </c>
    </row>
    <row r="405" spans="1:2" ht="13.2">
      <c r="A405" s="390" t="s">
        <v>4989</v>
      </c>
      <c r="B405" s="225" t="s">
        <v>5712</v>
      </c>
    </row>
    <row r="406" spans="1:2" ht="13.2">
      <c r="A406" s="390" t="s">
        <v>4990</v>
      </c>
      <c r="B406" s="225" t="s">
        <v>5712</v>
      </c>
    </row>
    <row r="407" spans="1:2" ht="14.4">
      <c r="A407" s="390" t="s">
        <v>4995</v>
      </c>
      <c r="B407" s="393" t="s">
        <v>5720</v>
      </c>
    </row>
    <row r="408" spans="1:2" ht="13.2">
      <c r="A408" s="390" t="s">
        <v>5002</v>
      </c>
      <c r="B408" s="225" t="s">
        <v>5712</v>
      </c>
    </row>
    <row r="409" spans="1:2" ht="13.2">
      <c r="A409" s="390" t="s">
        <v>5003</v>
      </c>
      <c r="B409" s="225" t="s">
        <v>5712</v>
      </c>
    </row>
    <row r="410" spans="1:2" ht="13.2">
      <c r="A410" s="390" t="s">
        <v>2171</v>
      </c>
      <c r="B410" s="225" t="s">
        <v>5712</v>
      </c>
    </row>
    <row r="411" spans="1:2" ht="13.2">
      <c r="A411" s="390" t="s">
        <v>5004</v>
      </c>
      <c r="B411" s="225" t="s">
        <v>5712</v>
      </c>
    </row>
    <row r="412" spans="1:2" ht="13.2">
      <c r="A412" s="390" t="s">
        <v>5005</v>
      </c>
      <c r="B412" s="225" t="s">
        <v>5712</v>
      </c>
    </row>
    <row r="413" spans="1:2" ht="13.2">
      <c r="A413" s="390" t="s">
        <v>5006</v>
      </c>
      <c r="B413" s="225" t="s">
        <v>5712</v>
      </c>
    </row>
    <row r="414" spans="1:2" ht="14.4">
      <c r="A414" s="390" t="s">
        <v>5007</v>
      </c>
      <c r="B414" s="389" t="s">
        <v>5721</v>
      </c>
    </row>
    <row r="415" spans="1:2" ht="13.8">
      <c r="A415" s="392" t="s">
        <v>5009</v>
      </c>
      <c r="B415" s="225" t="s">
        <v>5712</v>
      </c>
    </row>
    <row r="416" spans="1:2" ht="13.8">
      <c r="A416" s="392" t="s">
        <v>5010</v>
      </c>
      <c r="B416" s="225" t="s">
        <v>5712</v>
      </c>
    </row>
    <row r="417" spans="1:2" ht="13.2">
      <c r="A417" s="390" t="s">
        <v>5011</v>
      </c>
      <c r="B417" s="225" t="s">
        <v>5712</v>
      </c>
    </row>
    <row r="418" spans="1:2" ht="13.8">
      <c r="A418" s="392" t="s">
        <v>568</v>
      </c>
      <c r="B418" s="225" t="s">
        <v>5712</v>
      </c>
    </row>
    <row r="419" spans="1:2" ht="14.4">
      <c r="A419" s="390" t="s">
        <v>5016</v>
      </c>
      <c r="B419" s="389" t="s">
        <v>579</v>
      </c>
    </row>
    <row r="420" spans="1:2" ht="14.4">
      <c r="A420" s="390" t="s">
        <v>5019</v>
      </c>
      <c r="B420" s="389" t="s">
        <v>5722</v>
      </c>
    </row>
    <row r="421" spans="1:2" ht="13.2">
      <c r="A421" s="390" t="s">
        <v>5023</v>
      </c>
      <c r="B421" s="225" t="s">
        <v>5712</v>
      </c>
    </row>
    <row r="422" spans="1:2" ht="13.2">
      <c r="A422" s="390" t="s">
        <v>5024</v>
      </c>
      <c r="B422" s="225" t="s">
        <v>5712</v>
      </c>
    </row>
    <row r="423" spans="1:2" ht="13.8">
      <c r="A423" s="392" t="s">
        <v>5025</v>
      </c>
      <c r="B423" s="225" t="s">
        <v>5712</v>
      </c>
    </row>
    <row r="424" spans="1:2" ht="14.4">
      <c r="A424" s="390" t="s">
        <v>5028</v>
      </c>
      <c r="B424" s="389" t="s">
        <v>5723</v>
      </c>
    </row>
    <row r="425" spans="1:2" ht="14.4">
      <c r="A425" s="390" t="s">
        <v>5030</v>
      </c>
      <c r="B425" s="389" t="s">
        <v>5724</v>
      </c>
    </row>
    <row r="426" spans="1:2" ht="13.8">
      <c r="A426" s="392" t="s">
        <v>5033</v>
      </c>
      <c r="B426" s="225" t="s">
        <v>5712</v>
      </c>
    </row>
    <row r="427" spans="1:2" ht="13.2">
      <c r="A427" s="390" t="s">
        <v>4061</v>
      </c>
      <c r="B427" s="225" t="s">
        <v>5712</v>
      </c>
    </row>
    <row r="428" spans="1:2" ht="13.2">
      <c r="A428" s="390" t="s">
        <v>4062</v>
      </c>
      <c r="B428" s="225" t="s">
        <v>5712</v>
      </c>
    </row>
    <row r="429" spans="1:2" ht="14.4">
      <c r="A429" s="392" t="s">
        <v>5034</v>
      </c>
      <c r="B429" s="389" t="s">
        <v>4215</v>
      </c>
    </row>
    <row r="430" spans="1:2" ht="14.4">
      <c r="A430" s="390" t="s">
        <v>5036</v>
      </c>
      <c r="B430" s="389" t="s">
        <v>5725</v>
      </c>
    </row>
    <row r="431" spans="1:2" ht="14.4">
      <c r="A431" s="392" t="s">
        <v>5038</v>
      </c>
      <c r="B431" s="389" t="s">
        <v>5726</v>
      </c>
    </row>
    <row r="432" spans="1:2" ht="13.8">
      <c r="A432" s="392" t="s">
        <v>5040</v>
      </c>
      <c r="B432" s="225" t="s">
        <v>5668</v>
      </c>
    </row>
    <row r="433" spans="1:2" ht="13.8">
      <c r="A433" s="392" t="s">
        <v>5044</v>
      </c>
      <c r="B433" s="225" t="s">
        <v>5668</v>
      </c>
    </row>
    <row r="434" spans="1:2" ht="13.8">
      <c r="A434" s="392" t="s">
        <v>5047</v>
      </c>
      <c r="B434" s="225" t="s">
        <v>5668</v>
      </c>
    </row>
    <row r="435" spans="1:2" ht="14.4">
      <c r="A435" s="392" t="s">
        <v>5048</v>
      </c>
      <c r="B435" s="389" t="s">
        <v>5727</v>
      </c>
    </row>
    <row r="436" spans="1:2" ht="14.4">
      <c r="A436" s="392" t="s">
        <v>5050</v>
      </c>
      <c r="B436" s="389" t="s">
        <v>5728</v>
      </c>
    </row>
    <row r="437" spans="1:2" ht="14.4">
      <c r="A437" s="392" t="s">
        <v>5054</v>
      </c>
      <c r="B437" s="389" t="s">
        <v>5729</v>
      </c>
    </row>
    <row r="438" spans="1:2" ht="13.2">
      <c r="A438" s="390" t="s">
        <v>5057</v>
      </c>
      <c r="B438" s="225" t="s">
        <v>5668</v>
      </c>
    </row>
    <row r="439" spans="1:2" ht="14.4">
      <c r="A439" s="392" t="s">
        <v>5059</v>
      </c>
      <c r="B439" s="389" t="s">
        <v>5730</v>
      </c>
    </row>
    <row r="440" spans="1:2" ht="13.2">
      <c r="A440" s="390" t="s">
        <v>2944</v>
      </c>
      <c r="B440" s="225" t="s">
        <v>5668</v>
      </c>
    </row>
    <row r="441" spans="1:2" ht="14.4">
      <c r="A441" s="392" t="s">
        <v>5061</v>
      </c>
      <c r="B441" s="389" t="s">
        <v>4253</v>
      </c>
    </row>
    <row r="442" spans="1:2" ht="13.2">
      <c r="A442" s="390" t="s">
        <v>4067</v>
      </c>
      <c r="B442" s="225" t="s">
        <v>5668</v>
      </c>
    </row>
    <row r="443" spans="1:2" ht="13.2">
      <c r="A443" s="390" t="s">
        <v>4068</v>
      </c>
      <c r="B443" s="225" t="s">
        <v>5668</v>
      </c>
    </row>
    <row r="444" spans="1:2" ht="13.8">
      <c r="A444" s="392" t="s">
        <v>5063</v>
      </c>
      <c r="B444" s="225" t="s">
        <v>5668</v>
      </c>
    </row>
    <row r="445" spans="1:2" ht="13.2">
      <c r="A445" s="390" t="s">
        <v>4069</v>
      </c>
      <c r="B445" s="225" t="s">
        <v>5668</v>
      </c>
    </row>
    <row r="446" spans="1:2" ht="13.2">
      <c r="A446" s="390" t="s">
        <v>4070</v>
      </c>
      <c r="B446" s="225" t="s">
        <v>5668</v>
      </c>
    </row>
    <row r="447" spans="1:2" ht="13.2">
      <c r="A447" s="390" t="s">
        <v>4071</v>
      </c>
      <c r="B447" s="225" t="s">
        <v>5668</v>
      </c>
    </row>
    <row r="448" spans="1:2" ht="13.8">
      <c r="A448" s="392" t="s">
        <v>5064</v>
      </c>
      <c r="B448" s="225" t="s">
        <v>5668</v>
      </c>
    </row>
    <row r="449" spans="1:2" ht="13.2">
      <c r="A449" s="390" t="s">
        <v>5067</v>
      </c>
      <c r="B449" s="225" t="s">
        <v>5668</v>
      </c>
    </row>
    <row r="450" spans="1:2" ht="13.2">
      <c r="A450" s="390" t="s">
        <v>4110</v>
      </c>
      <c r="B450" s="225" t="s">
        <v>5668</v>
      </c>
    </row>
    <row r="451" spans="1:2" ht="14.4">
      <c r="A451" s="397" t="s">
        <v>5069</v>
      </c>
      <c r="B451" s="225" t="s">
        <v>5668</v>
      </c>
    </row>
    <row r="452" spans="1:2" ht="13.2">
      <c r="A452" s="390" t="s">
        <v>4111</v>
      </c>
      <c r="B452" s="225" t="s">
        <v>5668</v>
      </c>
    </row>
    <row r="453" spans="1:2" ht="15" customHeight="1">
      <c r="A453" s="390" t="s">
        <v>5731</v>
      </c>
      <c r="B453" s="389" t="s">
        <v>4112</v>
      </c>
    </row>
    <row r="454" spans="1:2" ht="13.8">
      <c r="A454" s="392" t="s">
        <v>5070</v>
      </c>
      <c r="B454" s="225" t="s">
        <v>5668</v>
      </c>
    </row>
    <row r="455" spans="1:2" ht="13.2">
      <c r="A455" s="390" t="s">
        <v>4115</v>
      </c>
      <c r="B455" s="225" t="s">
        <v>5668</v>
      </c>
    </row>
    <row r="456" spans="1:2" ht="13.2">
      <c r="A456" s="390" t="s">
        <v>4116</v>
      </c>
      <c r="B456" s="225" t="s">
        <v>5668</v>
      </c>
    </row>
    <row r="457" spans="1:2" ht="14.4">
      <c r="A457" s="390" t="s">
        <v>5732</v>
      </c>
      <c r="B457" s="389" t="s">
        <v>4117</v>
      </c>
    </row>
    <row r="458" spans="1:2" ht="14.4">
      <c r="A458" s="398" t="s">
        <v>5075</v>
      </c>
      <c r="B458" s="389" t="s">
        <v>5733</v>
      </c>
    </row>
    <row r="459" spans="1:2" ht="13.2">
      <c r="A459" s="390" t="s">
        <v>4121</v>
      </c>
      <c r="B459" s="225" t="s">
        <v>5668</v>
      </c>
    </row>
    <row r="460" spans="1:2" ht="13.8">
      <c r="A460" s="398" t="s">
        <v>3255</v>
      </c>
      <c r="B460" s="225" t="s">
        <v>5668</v>
      </c>
    </row>
    <row r="461" spans="1:2" ht="14.4">
      <c r="A461" s="398" t="s">
        <v>5081</v>
      </c>
      <c r="B461" s="389" t="s">
        <v>5734</v>
      </c>
    </row>
    <row r="462" spans="1:2" ht="14.4">
      <c r="A462" s="390" t="s">
        <v>5085</v>
      </c>
      <c r="B462" s="389" t="s">
        <v>5735</v>
      </c>
    </row>
    <row r="463" spans="1:2" ht="14.4">
      <c r="A463" s="398" t="s">
        <v>5087</v>
      </c>
      <c r="B463" s="389" t="s">
        <v>5736</v>
      </c>
    </row>
    <row r="464" spans="1:2" ht="14.4">
      <c r="A464" s="398" t="s">
        <v>5088</v>
      </c>
      <c r="B464" s="389" t="s">
        <v>5737</v>
      </c>
    </row>
    <row r="465" spans="1:2" ht="14.4">
      <c r="A465" s="390" t="s">
        <v>5090</v>
      </c>
      <c r="B465" s="393" t="s">
        <v>5738</v>
      </c>
    </row>
    <row r="466" spans="1:2" ht="14.4">
      <c r="A466" s="390" t="s">
        <v>5100</v>
      </c>
      <c r="B466" s="389" t="s">
        <v>5739</v>
      </c>
    </row>
    <row r="467" spans="1:2" ht="13.8">
      <c r="A467" s="398" t="s">
        <v>5113</v>
      </c>
      <c r="B467" s="225" t="s">
        <v>5668</v>
      </c>
    </row>
    <row r="468" spans="1:2" ht="14.4">
      <c r="A468" s="398" t="s">
        <v>5115</v>
      </c>
      <c r="B468" s="389" t="s">
        <v>5740</v>
      </c>
    </row>
    <row r="469" spans="1:2" ht="14.4">
      <c r="A469" s="398" t="s">
        <v>5116</v>
      </c>
      <c r="B469" s="389" t="s">
        <v>1395</v>
      </c>
    </row>
    <row r="470" spans="1:2" ht="14.4">
      <c r="A470" s="390" t="s">
        <v>5120</v>
      </c>
      <c r="B470" s="389" t="s">
        <v>5741</v>
      </c>
    </row>
    <row r="471" spans="1:2" ht="13.2">
      <c r="A471" s="390" t="s">
        <v>5107</v>
      </c>
      <c r="B471" s="225" t="s">
        <v>5668</v>
      </c>
    </row>
    <row r="472" spans="1:2" ht="14.4">
      <c r="A472" s="390" t="s">
        <v>5108</v>
      </c>
      <c r="B472" s="389" t="s">
        <v>5742</v>
      </c>
    </row>
    <row r="473" spans="1:2" ht="13.2">
      <c r="A473" s="390" t="s">
        <v>2174</v>
      </c>
      <c r="B473" s="225" t="s">
        <v>5668</v>
      </c>
    </row>
    <row r="474" spans="1:2" ht="14.4">
      <c r="A474" s="390" t="s">
        <v>4955</v>
      </c>
      <c r="B474" s="389" t="s">
        <v>5743</v>
      </c>
    </row>
    <row r="475" spans="1:2" ht="14.4">
      <c r="A475" s="390" t="s">
        <v>5744</v>
      </c>
      <c r="B475" s="389" t="s">
        <v>2165</v>
      </c>
    </row>
    <row r="476" spans="1:2" ht="14.4">
      <c r="A476" s="398" t="s">
        <v>5745</v>
      </c>
      <c r="B476" s="389" t="s">
        <v>2169</v>
      </c>
    </row>
    <row r="477" spans="1:2" ht="13.8">
      <c r="A477" s="398" t="s">
        <v>2172</v>
      </c>
      <c r="B477" s="225" t="s">
        <v>5668</v>
      </c>
    </row>
    <row r="478" spans="1:2" ht="13.8">
      <c r="A478" s="398" t="s">
        <v>2176</v>
      </c>
      <c r="B478" s="225" t="s">
        <v>5668</v>
      </c>
    </row>
    <row r="479" spans="1:2" ht="14.4">
      <c r="A479" s="398" t="s">
        <v>5746</v>
      </c>
      <c r="B479" s="389" t="s">
        <v>2183</v>
      </c>
    </row>
    <row r="480" spans="1:2" ht="13.8">
      <c r="A480" s="398" t="s">
        <v>2185</v>
      </c>
      <c r="B480" s="225" t="s">
        <v>5668</v>
      </c>
    </row>
    <row r="481" spans="1:2" ht="14.4">
      <c r="A481" s="398" t="s">
        <v>5747</v>
      </c>
      <c r="B481" s="389" t="s">
        <v>2186</v>
      </c>
    </row>
    <row r="482" spans="1:2" ht="14.4">
      <c r="A482" s="390" t="s">
        <v>5748</v>
      </c>
      <c r="B482" s="389" t="s">
        <v>2196</v>
      </c>
    </row>
    <row r="483" spans="1:2" ht="13.8">
      <c r="A483" s="398" t="s">
        <v>2198</v>
      </c>
      <c r="B483" s="225" t="s">
        <v>5668</v>
      </c>
    </row>
    <row r="484" spans="1:2" ht="13.8">
      <c r="A484" s="398" t="s">
        <v>2199</v>
      </c>
      <c r="B484" s="225" t="s">
        <v>5749</v>
      </c>
    </row>
    <row r="485" spans="1:2" ht="14.4">
      <c r="A485" s="398" t="s">
        <v>5750</v>
      </c>
      <c r="B485" s="389" t="s">
        <v>2204</v>
      </c>
    </row>
    <row r="486" spans="1:2" ht="13.8">
      <c r="A486" s="398" t="s">
        <v>2206</v>
      </c>
      <c r="B486" s="225" t="s">
        <v>5749</v>
      </c>
    </row>
    <row r="487" spans="1:2" ht="13.8">
      <c r="A487" s="398" t="s">
        <v>2207</v>
      </c>
      <c r="B487" s="225" t="s">
        <v>5749</v>
      </c>
    </row>
    <row r="488" spans="1:2" ht="13.8">
      <c r="A488" s="398" t="s">
        <v>2208</v>
      </c>
      <c r="B488" s="225" t="s">
        <v>5749</v>
      </c>
    </row>
    <row r="489" spans="1:2" ht="14.4">
      <c r="A489" s="398" t="s">
        <v>5751</v>
      </c>
      <c r="B489" s="389" t="s">
        <v>2213</v>
      </c>
    </row>
    <row r="490" spans="1:2" ht="13.8">
      <c r="A490" s="398" t="s">
        <v>2216</v>
      </c>
      <c r="B490" s="225" t="s">
        <v>5749</v>
      </c>
    </row>
    <row r="491" spans="1:2" ht="14.4">
      <c r="A491" s="398" t="s">
        <v>5752</v>
      </c>
      <c r="B491" s="389" t="s">
        <v>2217</v>
      </c>
    </row>
    <row r="492" spans="1:2" ht="14.4">
      <c r="A492" s="398" t="s">
        <v>5753</v>
      </c>
      <c r="B492" s="389" t="s">
        <v>2222</v>
      </c>
    </row>
    <row r="493" spans="1:2" ht="14.4">
      <c r="A493" s="398" t="s">
        <v>5754</v>
      </c>
      <c r="B493" s="389" t="s">
        <v>2224</v>
      </c>
    </row>
    <row r="494" spans="1:2" ht="14.4">
      <c r="A494" s="398" t="s">
        <v>5755</v>
      </c>
      <c r="B494" s="389" t="s">
        <v>2226</v>
      </c>
    </row>
    <row r="495" spans="1:2" ht="13.8">
      <c r="A495" s="398" t="s">
        <v>2228</v>
      </c>
      <c r="B495" s="225" t="s">
        <v>5749</v>
      </c>
    </row>
    <row r="496" spans="1:2" ht="13.8">
      <c r="A496" s="398" t="s">
        <v>2235</v>
      </c>
      <c r="B496" s="225" t="s">
        <v>5749</v>
      </c>
    </row>
    <row r="497" spans="1:2" ht="13.8">
      <c r="A497" s="398" t="s">
        <v>2240</v>
      </c>
      <c r="B497" s="225" t="s">
        <v>5749</v>
      </c>
    </row>
    <row r="498" spans="1:2" ht="14.4">
      <c r="A498" s="398" t="s">
        <v>5756</v>
      </c>
      <c r="B498" s="389" t="s">
        <v>2241</v>
      </c>
    </row>
    <row r="499" spans="1:2" ht="13.8">
      <c r="A499" s="398" t="s">
        <v>2243</v>
      </c>
      <c r="B499" s="225" t="s">
        <v>5749</v>
      </c>
    </row>
    <row r="500" spans="1:2" ht="14.4">
      <c r="A500" s="398" t="s">
        <v>5757</v>
      </c>
      <c r="B500" s="389" t="s">
        <v>2244</v>
      </c>
    </row>
    <row r="501" spans="1:2" ht="14.4">
      <c r="A501" s="398" t="s">
        <v>5758</v>
      </c>
      <c r="B501" s="389" t="s">
        <v>2246</v>
      </c>
    </row>
    <row r="502" spans="1:2" ht="14.4">
      <c r="A502" s="398" t="s">
        <v>5759</v>
      </c>
      <c r="B502" s="389" t="s">
        <v>2250</v>
      </c>
    </row>
    <row r="503" spans="1:2" ht="14.4">
      <c r="A503" s="398" t="s">
        <v>5760</v>
      </c>
      <c r="B503" s="389" t="s">
        <v>2252</v>
      </c>
    </row>
    <row r="504" spans="1:2" ht="13.8">
      <c r="A504" s="398" t="s">
        <v>2258</v>
      </c>
      <c r="B504" s="225" t="s">
        <v>5749</v>
      </c>
    </row>
    <row r="505" spans="1:2" ht="14.4">
      <c r="A505" s="398" t="s">
        <v>5761</v>
      </c>
      <c r="B505" s="389" t="s">
        <v>2148</v>
      </c>
    </row>
    <row r="506" spans="1:2" ht="13.8">
      <c r="A506" s="398" t="s">
        <v>2265</v>
      </c>
      <c r="B506" s="225" t="s">
        <v>5749</v>
      </c>
    </row>
    <row r="507" spans="1:2" ht="13.8">
      <c r="A507" s="398" t="s">
        <v>2265</v>
      </c>
      <c r="B507" s="225" t="s">
        <v>5749</v>
      </c>
    </row>
    <row r="508" spans="1:2" ht="13.8">
      <c r="A508" s="398" t="s">
        <v>2285</v>
      </c>
      <c r="B508" s="225" t="s">
        <v>5749</v>
      </c>
    </row>
    <row r="509" spans="1:2" ht="14.4">
      <c r="A509" s="398" t="s">
        <v>5762</v>
      </c>
      <c r="B509" s="389" t="s">
        <v>2301</v>
      </c>
    </row>
    <row r="510" spans="1:2" ht="13.8">
      <c r="A510" s="398" t="s">
        <v>2306</v>
      </c>
      <c r="B510" s="225" t="s">
        <v>5749</v>
      </c>
    </row>
    <row r="511" spans="1:2" ht="13.8">
      <c r="A511" s="398" t="s">
        <v>2161</v>
      </c>
      <c r="B511" s="225" t="s">
        <v>5749</v>
      </c>
    </row>
    <row r="512" spans="1:2" ht="14.4">
      <c r="A512" s="398" t="s">
        <v>5131</v>
      </c>
      <c r="B512" s="389" t="s">
        <v>2307</v>
      </c>
    </row>
    <row r="513" spans="1:2" ht="13.2">
      <c r="A513" s="390" t="s">
        <v>4007</v>
      </c>
      <c r="B513" s="225" t="s">
        <v>5749</v>
      </c>
    </row>
    <row r="514" spans="1:2" ht="14.4">
      <c r="A514" s="390" t="s">
        <v>5763</v>
      </c>
      <c r="B514" s="389" t="s">
        <v>4128</v>
      </c>
    </row>
    <row r="515" spans="1:2" ht="13.2">
      <c r="A515" s="390" t="s">
        <v>4130</v>
      </c>
      <c r="B515" s="225" t="s">
        <v>5749</v>
      </c>
    </row>
    <row r="516" spans="1:2" ht="14.4">
      <c r="A516" s="390" t="s">
        <v>5764</v>
      </c>
      <c r="B516" s="391" t="s">
        <v>4131</v>
      </c>
    </row>
    <row r="517" spans="1:2" ht="14.4">
      <c r="A517" s="390" t="s">
        <v>5765</v>
      </c>
      <c r="B517" s="389" t="s">
        <v>4133</v>
      </c>
    </row>
    <row r="518" spans="1:2" ht="13.2">
      <c r="A518" s="390" t="s">
        <v>4137</v>
      </c>
      <c r="B518" s="225" t="s">
        <v>5749</v>
      </c>
    </row>
    <row r="519" spans="1:2" ht="13.2">
      <c r="A519" s="390" t="s">
        <v>4144</v>
      </c>
      <c r="B519" s="225" t="s">
        <v>5749</v>
      </c>
    </row>
    <row r="520" spans="1:2" ht="13.2">
      <c r="A520" s="390" t="s">
        <v>4145</v>
      </c>
      <c r="B520" s="225" t="s">
        <v>5749</v>
      </c>
    </row>
    <row r="521" spans="1:2" ht="13.2">
      <c r="A521" s="390" t="s">
        <v>4146</v>
      </c>
      <c r="B521" s="225" t="s">
        <v>5749</v>
      </c>
    </row>
    <row r="522" spans="1:2" ht="13.2">
      <c r="A522" s="388" t="s">
        <v>1380</v>
      </c>
      <c r="B522" s="225" t="s">
        <v>5749</v>
      </c>
    </row>
    <row r="523" spans="1:2" ht="14.4">
      <c r="A523" s="388" t="s">
        <v>5766</v>
      </c>
      <c r="B523" s="389" t="s">
        <v>1389</v>
      </c>
    </row>
    <row r="524" spans="1:2" ht="14.4">
      <c r="A524" s="399" t="s">
        <v>5124</v>
      </c>
      <c r="B524" s="389" t="s">
        <v>5767</v>
      </c>
    </row>
    <row r="525" spans="1:2" ht="14.4">
      <c r="A525" s="388" t="s">
        <v>5768</v>
      </c>
      <c r="B525" s="389" t="s">
        <v>1398</v>
      </c>
    </row>
    <row r="526" spans="1:2" ht="14.4">
      <c r="A526" s="399" t="s">
        <v>5126</v>
      </c>
      <c r="B526" s="389" t="s">
        <v>5769</v>
      </c>
    </row>
    <row r="527" spans="1:2" ht="14.4">
      <c r="A527" s="390" t="s">
        <v>5128</v>
      </c>
      <c r="B527" s="389" t="s">
        <v>1402</v>
      </c>
    </row>
    <row r="528" spans="1:2" ht="14.4">
      <c r="A528" s="399" t="s">
        <v>5130</v>
      </c>
      <c r="B528" s="389" t="s">
        <v>5770</v>
      </c>
    </row>
    <row r="529" spans="1:2" ht="14.4">
      <c r="A529" s="399" t="s">
        <v>5133</v>
      </c>
      <c r="B529" s="225" t="s">
        <v>5668</v>
      </c>
    </row>
    <row r="530" spans="1:2" ht="14.4">
      <c r="A530" s="399" t="s">
        <v>5138</v>
      </c>
      <c r="B530" s="389" t="s">
        <v>5771</v>
      </c>
    </row>
    <row r="531" spans="1:2" ht="14.4">
      <c r="A531" s="390" t="s">
        <v>5143</v>
      </c>
      <c r="B531" s="389" t="s">
        <v>5772</v>
      </c>
    </row>
    <row r="532" spans="1:2" ht="14.4">
      <c r="A532" s="390" t="s">
        <v>5145</v>
      </c>
      <c r="B532" s="389" t="s">
        <v>5773</v>
      </c>
    </row>
    <row r="533" spans="1:2" ht="14.4">
      <c r="A533" s="399" t="s">
        <v>5152</v>
      </c>
      <c r="B533" s="389" t="s">
        <v>1436</v>
      </c>
    </row>
    <row r="534" spans="1:2" ht="14.4">
      <c r="A534" s="399" t="s">
        <v>5156</v>
      </c>
      <c r="B534" s="389" t="s">
        <v>5774</v>
      </c>
    </row>
    <row r="535" spans="1:2" ht="14.4">
      <c r="A535" s="399" t="s">
        <v>5158</v>
      </c>
      <c r="B535" s="225" t="s">
        <v>5668</v>
      </c>
    </row>
    <row r="536" spans="1:2" ht="14.4">
      <c r="A536" s="399" t="s">
        <v>5163</v>
      </c>
      <c r="B536" s="225" t="s">
        <v>5668</v>
      </c>
    </row>
    <row r="537" spans="1:2" ht="14.4">
      <c r="A537" s="399" t="s">
        <v>5166</v>
      </c>
      <c r="B537" s="389" t="s">
        <v>5775</v>
      </c>
    </row>
    <row r="538" spans="1:2" ht="14.4">
      <c r="A538" s="399" t="s">
        <v>5173</v>
      </c>
      <c r="B538" s="389" t="s">
        <v>1472</v>
      </c>
    </row>
    <row r="539" spans="1:2" ht="14.4">
      <c r="A539" s="377" t="s">
        <v>5776</v>
      </c>
      <c r="B539" s="389" t="s">
        <v>536</v>
      </c>
    </row>
    <row r="540" spans="1:2" ht="14.4">
      <c r="A540" s="377" t="s">
        <v>539</v>
      </c>
      <c r="B540" s="225" t="s">
        <v>5749</v>
      </c>
    </row>
    <row r="541" spans="1:2" ht="14.4">
      <c r="A541" s="377" t="s">
        <v>5777</v>
      </c>
      <c r="B541" s="389" t="s">
        <v>540</v>
      </c>
    </row>
    <row r="542" spans="1:2" ht="14.4">
      <c r="A542" s="399" t="s">
        <v>5179</v>
      </c>
      <c r="B542" s="389" t="s">
        <v>5778</v>
      </c>
    </row>
    <row r="543" spans="1:2" ht="14.4">
      <c r="A543" s="399" t="s">
        <v>5181</v>
      </c>
      <c r="B543" s="389" t="s">
        <v>5779</v>
      </c>
    </row>
    <row r="544" spans="1:2" ht="14.4">
      <c r="A544" s="399" t="s">
        <v>5188</v>
      </c>
      <c r="B544" s="389" t="s">
        <v>5780</v>
      </c>
    </row>
    <row r="545" spans="1:2" ht="14.4">
      <c r="A545" s="399" t="s">
        <v>5192</v>
      </c>
      <c r="B545" s="389" t="s">
        <v>5781</v>
      </c>
    </row>
    <row r="546" spans="1:2" ht="14.4">
      <c r="A546" s="399" t="s">
        <v>5194</v>
      </c>
      <c r="B546" s="225" t="s">
        <v>5749</v>
      </c>
    </row>
    <row r="547" spans="1:2" ht="14.4">
      <c r="A547" s="399" t="s">
        <v>5195</v>
      </c>
      <c r="B547" s="225" t="s">
        <v>5749</v>
      </c>
    </row>
    <row r="548" spans="1:2" ht="14.4">
      <c r="A548" s="399" t="s">
        <v>5202</v>
      </c>
      <c r="B548" s="225" t="s">
        <v>5749</v>
      </c>
    </row>
    <row r="549" spans="1:2" ht="14.4">
      <c r="A549" s="399" t="s">
        <v>5203</v>
      </c>
      <c r="B549" s="389" t="s">
        <v>5782</v>
      </c>
    </row>
    <row r="550" spans="1:2" ht="14.4">
      <c r="A550" s="399" t="s">
        <v>5208</v>
      </c>
      <c r="B550" s="389" t="s">
        <v>5783</v>
      </c>
    </row>
    <row r="551" spans="1:2" ht="14.4">
      <c r="A551" s="400" t="s">
        <v>5212</v>
      </c>
      <c r="B551" s="389" t="s">
        <v>5784</v>
      </c>
    </row>
    <row r="552" spans="1:2" ht="14.4">
      <c r="A552" s="400" t="s">
        <v>5214</v>
      </c>
      <c r="B552" s="389" t="s">
        <v>2408</v>
      </c>
    </row>
    <row r="553" spans="1:2" ht="14.4">
      <c r="A553" s="400" t="s">
        <v>5218</v>
      </c>
      <c r="B553" s="225" t="s">
        <v>5749</v>
      </c>
    </row>
    <row r="554" spans="1:2" ht="14.4">
      <c r="A554" s="400" t="s">
        <v>5222</v>
      </c>
      <c r="B554" s="389" t="s">
        <v>5785</v>
      </c>
    </row>
    <row r="555" spans="1:2" ht="14.4">
      <c r="A555" s="400" t="s">
        <v>5223</v>
      </c>
      <c r="B555" s="389" t="s">
        <v>5786</v>
      </c>
    </row>
    <row r="556" spans="1:2" ht="14.4">
      <c r="A556" s="400" t="s">
        <v>5224</v>
      </c>
      <c r="B556" s="389" t="s">
        <v>5787</v>
      </c>
    </row>
    <row r="557" spans="1:2" ht="14.4">
      <c r="A557" s="400" t="s">
        <v>5226</v>
      </c>
      <c r="B557" s="389" t="s">
        <v>2426</v>
      </c>
    </row>
    <row r="558" spans="1:2" ht="14.4">
      <c r="A558" s="400" t="s">
        <v>5230</v>
      </c>
      <c r="B558" s="225" t="s">
        <v>5788</v>
      </c>
    </row>
    <row r="559" spans="1:2" ht="14.4">
      <c r="A559" s="401" t="s">
        <v>5789</v>
      </c>
      <c r="B559" s="389" t="s">
        <v>4149</v>
      </c>
    </row>
    <row r="560" spans="1:2" ht="13.2">
      <c r="A560" s="401" t="s">
        <v>4150</v>
      </c>
      <c r="B560" s="225" t="s">
        <v>5788</v>
      </c>
    </row>
    <row r="561" spans="1:2" ht="14.4">
      <c r="A561" s="401" t="s">
        <v>5790</v>
      </c>
      <c r="B561" s="389" t="s">
        <v>4155</v>
      </c>
    </row>
    <row r="562" spans="1:2" ht="13.2">
      <c r="A562" s="401" t="s">
        <v>4158</v>
      </c>
      <c r="B562" s="225" t="s">
        <v>5788</v>
      </c>
    </row>
    <row r="563" spans="1:2" ht="14.4">
      <c r="A563" s="401" t="s">
        <v>5791</v>
      </c>
      <c r="B563" s="389" t="s">
        <v>4159</v>
      </c>
    </row>
    <row r="564" spans="1:2" ht="14.4">
      <c r="A564" s="401" t="s">
        <v>5792</v>
      </c>
      <c r="B564" s="389" t="s">
        <v>4163</v>
      </c>
    </row>
    <row r="565" spans="1:2" ht="13.2">
      <c r="A565" s="390" t="s">
        <v>4167</v>
      </c>
      <c r="B565" s="225" t="s">
        <v>5788</v>
      </c>
    </row>
    <row r="566" spans="1:2" ht="14.4">
      <c r="A566" s="401" t="s">
        <v>5793</v>
      </c>
      <c r="B566" s="389" t="s">
        <v>4168</v>
      </c>
    </row>
    <row r="567" spans="1:2" ht="14.4">
      <c r="A567" s="401" t="s">
        <v>5794</v>
      </c>
      <c r="B567" s="389" t="s">
        <v>4170</v>
      </c>
    </row>
    <row r="568" spans="1:2" ht="13.2">
      <c r="A568" s="401" t="s">
        <v>4178</v>
      </c>
      <c r="B568" s="225" t="s">
        <v>5788</v>
      </c>
    </row>
    <row r="569" spans="1:2" ht="13.2">
      <c r="A569" s="401" t="s">
        <v>4179</v>
      </c>
      <c r="B569" s="225" t="s">
        <v>5788</v>
      </c>
    </row>
    <row r="570" spans="1:2" ht="13.2">
      <c r="A570" s="401" t="s">
        <v>4182</v>
      </c>
      <c r="B570" s="225" t="s">
        <v>5788</v>
      </c>
    </row>
    <row r="571" spans="1:2" ht="13.2">
      <c r="A571" s="401" t="s">
        <v>4183</v>
      </c>
      <c r="B571" s="225" t="s">
        <v>5788</v>
      </c>
    </row>
    <row r="572" spans="1:2" ht="13.2">
      <c r="A572" s="401" t="s">
        <v>4185</v>
      </c>
      <c r="B572" s="225" t="s">
        <v>5788</v>
      </c>
    </row>
    <row r="573" spans="1:2" ht="14.4">
      <c r="A573" s="401" t="s">
        <v>5795</v>
      </c>
      <c r="B573" s="389" t="s">
        <v>3150</v>
      </c>
    </row>
    <row r="574" spans="1:2" ht="14.4">
      <c r="A574" s="401" t="s">
        <v>571</v>
      </c>
      <c r="B574" s="389" t="s">
        <v>4189</v>
      </c>
    </row>
    <row r="575" spans="1:2" ht="13.2">
      <c r="A575" s="401" t="s">
        <v>577</v>
      </c>
      <c r="B575" s="225" t="s">
        <v>5788</v>
      </c>
    </row>
    <row r="576" spans="1:2" ht="13.2">
      <c r="A576" s="401" t="s">
        <v>4192</v>
      </c>
      <c r="B576" s="225" t="s">
        <v>5788</v>
      </c>
    </row>
    <row r="577" spans="1:2" ht="14.4">
      <c r="A577" s="401" t="s">
        <v>5796</v>
      </c>
      <c r="B577" s="389" t="s">
        <v>4193</v>
      </c>
    </row>
    <row r="578" spans="1:2" ht="14.4">
      <c r="A578" s="401" t="s">
        <v>5797</v>
      </c>
      <c r="B578" s="389" t="s">
        <v>4195</v>
      </c>
    </row>
    <row r="579" spans="1:2" ht="14.4">
      <c r="A579" s="401" t="s">
        <v>5798</v>
      </c>
      <c r="B579" s="389" t="s">
        <v>4197</v>
      </c>
    </row>
    <row r="580" spans="1:2" ht="13.2">
      <c r="A580" s="401" t="s">
        <v>588</v>
      </c>
      <c r="B580" s="225" t="s">
        <v>5788</v>
      </c>
    </row>
    <row r="581" spans="1:2" ht="14.4">
      <c r="A581" s="401" t="s">
        <v>5799</v>
      </c>
      <c r="B581" s="389" t="s">
        <v>4199</v>
      </c>
    </row>
    <row r="582" spans="1:2" ht="14.4">
      <c r="A582" s="401" t="s">
        <v>5800</v>
      </c>
      <c r="B582" s="389" t="s">
        <v>4202</v>
      </c>
    </row>
    <row r="583" spans="1:2" ht="14.4">
      <c r="A583" s="401" t="s">
        <v>5801</v>
      </c>
      <c r="B583" s="389" t="s">
        <v>4204</v>
      </c>
    </row>
    <row r="584" spans="1:2" ht="14.4">
      <c r="A584" s="401" t="s">
        <v>5802</v>
      </c>
      <c r="B584" s="389" t="s">
        <v>4206</v>
      </c>
    </row>
    <row r="585" spans="1:2" ht="13.2">
      <c r="A585" s="401" t="s">
        <v>4213</v>
      </c>
      <c r="B585" s="225" t="s">
        <v>5788</v>
      </c>
    </row>
    <row r="586" spans="1:2" ht="14.4">
      <c r="A586" s="401" t="s">
        <v>5803</v>
      </c>
      <c r="B586" s="389" t="s">
        <v>4217</v>
      </c>
    </row>
    <row r="587" spans="1:2" ht="13.2">
      <c r="A587" s="401" t="s">
        <v>4228</v>
      </c>
      <c r="B587" s="225" t="s">
        <v>5788</v>
      </c>
    </row>
    <row r="588" spans="1:2" ht="14.4">
      <c r="A588" s="401" t="s">
        <v>5804</v>
      </c>
      <c r="B588" s="389" t="s">
        <v>4231</v>
      </c>
    </row>
    <row r="589" spans="1:2" ht="13.2">
      <c r="A589" s="402" t="s">
        <v>4236</v>
      </c>
      <c r="B589" s="225" t="s">
        <v>5788</v>
      </c>
    </row>
    <row r="590" spans="1:2" ht="14.4">
      <c r="A590" s="401" t="s">
        <v>5805</v>
      </c>
      <c r="B590" s="389" t="s">
        <v>4233</v>
      </c>
    </row>
    <row r="591" spans="1:2" ht="14.4">
      <c r="A591" s="401" t="s">
        <v>5806</v>
      </c>
      <c r="B591" s="389" t="s">
        <v>4239</v>
      </c>
    </row>
    <row r="592" spans="1:2" ht="14.4">
      <c r="A592" s="401" t="s">
        <v>5807</v>
      </c>
      <c r="B592" s="389" t="s">
        <v>4247</v>
      </c>
    </row>
    <row r="593" spans="1:2" ht="13.2">
      <c r="A593" s="402" t="s">
        <v>4252</v>
      </c>
      <c r="B593" s="225" t="s">
        <v>5788</v>
      </c>
    </row>
    <row r="594" spans="1:2" ht="13.2">
      <c r="A594" s="401" t="s">
        <v>4255</v>
      </c>
      <c r="B594" s="225" t="s">
        <v>5788</v>
      </c>
    </row>
    <row r="595" spans="1:2" ht="14.4">
      <c r="A595" s="401" t="s">
        <v>5808</v>
      </c>
      <c r="B595" s="393" t="s">
        <v>4256</v>
      </c>
    </row>
    <row r="596" spans="1:2" ht="14.4">
      <c r="A596" s="401" t="s">
        <v>5809</v>
      </c>
      <c r="B596" s="389" t="s">
        <v>4258</v>
      </c>
    </row>
    <row r="597" spans="1:2" ht="13.2">
      <c r="A597" s="401" t="s">
        <v>4262</v>
      </c>
      <c r="B597" s="225" t="s">
        <v>5788</v>
      </c>
    </row>
    <row r="598" spans="1:2" ht="13.2">
      <c r="A598" s="401" t="s">
        <v>4263</v>
      </c>
      <c r="B598" s="225" t="s">
        <v>5788</v>
      </c>
    </row>
    <row r="599" spans="1:2" ht="13.2">
      <c r="A599" s="401" t="s">
        <v>4264</v>
      </c>
      <c r="B599" s="225" t="s">
        <v>5788</v>
      </c>
    </row>
    <row r="600" spans="1:2" ht="13.2">
      <c r="A600" s="401" t="s">
        <v>4265</v>
      </c>
      <c r="B600" s="225" t="s">
        <v>5788</v>
      </c>
    </row>
    <row r="601" spans="1:2" ht="13.2">
      <c r="A601" s="401" t="s">
        <v>4266</v>
      </c>
      <c r="B601" s="225" t="s">
        <v>5788</v>
      </c>
    </row>
    <row r="602" spans="1:2" ht="14.4">
      <c r="A602" s="401" t="s">
        <v>5810</v>
      </c>
      <c r="B602" s="389" t="s">
        <v>4267</v>
      </c>
    </row>
    <row r="603" spans="1:2" ht="14.4">
      <c r="A603" s="377" t="s">
        <v>5811</v>
      </c>
      <c r="B603" s="389" t="s">
        <v>4275</v>
      </c>
    </row>
    <row r="604" spans="1:2" ht="14.4">
      <c r="A604" s="377" t="s">
        <v>5812</v>
      </c>
      <c r="B604" s="389" t="s">
        <v>1871</v>
      </c>
    </row>
    <row r="605" spans="1:2" ht="14.4">
      <c r="A605" s="377" t="s">
        <v>4282</v>
      </c>
      <c r="B605" s="225" t="s">
        <v>5788</v>
      </c>
    </row>
    <row r="606" spans="1:2" ht="14.4">
      <c r="A606" s="377" t="s">
        <v>5813</v>
      </c>
      <c r="B606" s="389" t="s">
        <v>543</v>
      </c>
    </row>
    <row r="607" spans="1:2" ht="14.4">
      <c r="A607" s="377" t="s">
        <v>545</v>
      </c>
      <c r="B607" s="225" t="s">
        <v>5788</v>
      </c>
    </row>
    <row r="608" spans="1:2" ht="14.4">
      <c r="A608" s="377" t="s">
        <v>546</v>
      </c>
      <c r="B608" s="225" t="s">
        <v>5788</v>
      </c>
    </row>
    <row r="609" spans="1:2" ht="14.4">
      <c r="A609" s="377" t="s">
        <v>547</v>
      </c>
      <c r="B609" s="225" t="s">
        <v>5788</v>
      </c>
    </row>
    <row r="610" spans="1:2" ht="14.4">
      <c r="A610" s="377" t="s">
        <v>5814</v>
      </c>
      <c r="B610" s="389" t="s">
        <v>551</v>
      </c>
    </row>
    <row r="611" spans="1:2" ht="14.4">
      <c r="A611" s="377" t="s">
        <v>554</v>
      </c>
      <c r="B611" s="225" t="s">
        <v>5788</v>
      </c>
    </row>
    <row r="612" spans="1:2" ht="14.4">
      <c r="A612" s="377" t="s">
        <v>555</v>
      </c>
      <c r="B612" s="225" t="s">
        <v>5788</v>
      </c>
    </row>
    <row r="613" spans="1:2" ht="14.4">
      <c r="A613" s="377" t="s">
        <v>557</v>
      </c>
      <c r="B613" s="225" t="s">
        <v>5788</v>
      </c>
    </row>
    <row r="614" spans="1:2" ht="14.4">
      <c r="A614" s="377" t="s">
        <v>5815</v>
      </c>
      <c r="B614" s="393" t="s">
        <v>559</v>
      </c>
    </row>
    <row r="615" spans="1:2" ht="14.4">
      <c r="A615" s="377" t="s">
        <v>561</v>
      </c>
      <c r="B615" s="225" t="s">
        <v>5788</v>
      </c>
    </row>
    <row r="616" spans="1:2" ht="14.4">
      <c r="A616" s="377" t="s">
        <v>567</v>
      </c>
      <c r="B616" s="225" t="s">
        <v>5788</v>
      </c>
    </row>
    <row r="617" spans="1:2" ht="14.4">
      <c r="A617" s="377" t="s">
        <v>568</v>
      </c>
      <c r="B617" s="225" t="s">
        <v>5788</v>
      </c>
    </row>
    <row r="618" spans="1:2" ht="14.4">
      <c r="A618" s="377" t="s">
        <v>569</v>
      </c>
      <c r="B618" s="225" t="s">
        <v>5788</v>
      </c>
    </row>
    <row r="619" spans="1:2" ht="14.4">
      <c r="A619" s="377" t="s">
        <v>570</v>
      </c>
      <c r="B619" s="225" t="s">
        <v>5788</v>
      </c>
    </row>
    <row r="620" spans="1:2" ht="14.4">
      <c r="A620" s="377" t="s">
        <v>571</v>
      </c>
      <c r="B620" s="225" t="s">
        <v>5788</v>
      </c>
    </row>
    <row r="621" spans="1:2" ht="14.4">
      <c r="A621" s="377" t="s">
        <v>5816</v>
      </c>
      <c r="B621" s="389" t="s">
        <v>572</v>
      </c>
    </row>
    <row r="622" spans="1:2" ht="14.4">
      <c r="A622" s="402" t="s">
        <v>5817</v>
      </c>
      <c r="B622" s="389" t="s">
        <v>1402</v>
      </c>
    </row>
    <row r="623" spans="1:2" ht="14.4">
      <c r="A623" s="388" t="s">
        <v>5818</v>
      </c>
      <c r="B623" s="389" t="s">
        <v>1404</v>
      </c>
    </row>
    <row r="624" spans="1:2" ht="14.4">
      <c r="A624" s="388" t="s">
        <v>5819</v>
      </c>
      <c r="B624" s="389" t="s">
        <v>1407</v>
      </c>
    </row>
    <row r="625" spans="1:2" ht="13.2">
      <c r="A625" s="388" t="s">
        <v>1410</v>
      </c>
      <c r="B625" s="225" t="s">
        <v>5788</v>
      </c>
    </row>
    <row r="626" spans="1:2" ht="14.4">
      <c r="A626" s="388" t="s">
        <v>5820</v>
      </c>
      <c r="B626" s="389" t="s">
        <v>1412</v>
      </c>
    </row>
    <row r="627" spans="1:2" ht="13.2">
      <c r="A627" s="388" t="s">
        <v>1423</v>
      </c>
      <c r="B627" s="225" t="s">
        <v>5788</v>
      </c>
    </row>
    <row r="628" spans="1:2" ht="13.2">
      <c r="A628" s="388" t="s">
        <v>1424</v>
      </c>
      <c r="B628" s="225" t="s">
        <v>5788</v>
      </c>
    </row>
    <row r="629" spans="1:2" ht="14.4">
      <c r="A629" s="388" t="s">
        <v>5821</v>
      </c>
      <c r="B629" s="389" t="s">
        <v>1442</v>
      </c>
    </row>
    <row r="630" spans="1:2" ht="14.4">
      <c r="A630" s="388" t="s">
        <v>2337</v>
      </c>
      <c r="B630" s="389" t="s">
        <v>1444</v>
      </c>
    </row>
    <row r="631" spans="1:2" ht="14.4">
      <c r="A631" s="388" t="s">
        <v>5822</v>
      </c>
      <c r="B631" s="389" t="s">
        <v>1456</v>
      </c>
    </row>
    <row r="632" spans="1:2" ht="14.4">
      <c r="A632" s="388" t="s">
        <v>5823</v>
      </c>
      <c r="B632" s="389" t="s">
        <v>1460</v>
      </c>
    </row>
    <row r="633" spans="1:2" ht="14.4">
      <c r="A633" s="388" t="s">
        <v>5824</v>
      </c>
      <c r="B633" s="273" t="s">
        <v>5668</v>
      </c>
    </row>
    <row r="634" spans="1:2" ht="14.4">
      <c r="A634" s="388" t="s">
        <v>3396</v>
      </c>
      <c r="B634" s="389" t="s">
        <v>1467</v>
      </c>
    </row>
    <row r="635" spans="1:2" ht="14.4">
      <c r="A635" s="388" t="s">
        <v>5825</v>
      </c>
      <c r="B635" s="389" t="s">
        <v>1482</v>
      </c>
    </row>
    <row r="636" spans="1:2" ht="13.2">
      <c r="A636" s="388" t="s">
        <v>5825</v>
      </c>
      <c r="B636" s="225" t="s">
        <v>5788</v>
      </c>
    </row>
    <row r="637" spans="1:2" ht="13.2">
      <c r="A637" s="388" t="s">
        <v>1484</v>
      </c>
      <c r="B637" s="225" t="s">
        <v>5788</v>
      </c>
    </row>
    <row r="638" spans="1:2" ht="14.4">
      <c r="A638" s="388" t="s">
        <v>5826</v>
      </c>
      <c r="B638" s="389" t="s">
        <v>1527</v>
      </c>
    </row>
    <row r="639" spans="1:2" ht="14.4">
      <c r="A639" s="388" t="s">
        <v>5827</v>
      </c>
      <c r="B639" s="389" t="s">
        <v>1536</v>
      </c>
    </row>
    <row r="640" spans="1:2" ht="14.4">
      <c r="A640" s="388" t="s">
        <v>5828</v>
      </c>
      <c r="B640" s="389" t="s">
        <v>1538</v>
      </c>
    </row>
    <row r="641" spans="1:2" ht="14.4">
      <c r="A641" s="388" t="s">
        <v>5829</v>
      </c>
      <c r="B641" s="389" t="s">
        <v>1542</v>
      </c>
    </row>
    <row r="642" spans="1:2" ht="13.2">
      <c r="A642" s="388" t="s">
        <v>1544</v>
      </c>
      <c r="B642" s="225" t="s">
        <v>5788</v>
      </c>
    </row>
    <row r="643" spans="1:2" ht="13.2">
      <c r="A643" s="388" t="s">
        <v>1545</v>
      </c>
      <c r="B643" s="225" t="s">
        <v>5788</v>
      </c>
    </row>
    <row r="644" spans="1:2" ht="14.4">
      <c r="A644" s="390" t="s">
        <v>5830</v>
      </c>
      <c r="B644" s="389" t="s">
        <v>1556</v>
      </c>
    </row>
    <row r="645" spans="1:2" ht="13.2">
      <c r="A645" s="388" t="s">
        <v>1564</v>
      </c>
      <c r="B645" s="225" t="s">
        <v>5668</v>
      </c>
    </row>
    <row r="646" spans="1:2" ht="14.4">
      <c r="A646" s="388" t="s">
        <v>37</v>
      </c>
      <c r="B646" s="389" t="s">
        <v>5831</v>
      </c>
    </row>
    <row r="647" spans="1:2" ht="14.4">
      <c r="A647" s="388" t="s">
        <v>5832</v>
      </c>
      <c r="B647" s="389" t="s">
        <v>1574</v>
      </c>
    </row>
    <row r="648" spans="1:2" ht="13.2">
      <c r="A648" s="388" t="s">
        <v>1610</v>
      </c>
      <c r="B648" s="225" t="s">
        <v>5668</v>
      </c>
    </row>
    <row r="649" spans="1:2" ht="13.2">
      <c r="A649" s="388" t="s">
        <v>1605</v>
      </c>
      <c r="B649" s="225" t="s">
        <v>5668</v>
      </c>
    </row>
    <row r="650" spans="1:2" ht="13.2">
      <c r="A650" s="388" t="s">
        <v>1615</v>
      </c>
      <c r="B650" s="225" t="s">
        <v>5668</v>
      </c>
    </row>
    <row r="651" spans="1:2" ht="13.2">
      <c r="A651" s="388" t="s">
        <v>1630</v>
      </c>
      <c r="B651" s="225" t="s">
        <v>5668</v>
      </c>
    </row>
    <row r="652" spans="1:2" ht="14.4">
      <c r="A652" s="388" t="s">
        <v>5310</v>
      </c>
      <c r="B652" s="389" t="s">
        <v>1633</v>
      </c>
    </row>
    <row r="653" spans="1:2" ht="13.2">
      <c r="A653" s="388" t="s">
        <v>1664</v>
      </c>
      <c r="B653" s="225" t="s">
        <v>5668</v>
      </c>
    </row>
    <row r="654" spans="1:2" ht="13.2">
      <c r="A654" s="388" t="s">
        <v>1672</v>
      </c>
      <c r="B654" s="225" t="s">
        <v>5668</v>
      </c>
    </row>
    <row r="655" spans="1:2" ht="14.4">
      <c r="A655" s="388" t="s">
        <v>5833</v>
      </c>
      <c r="B655" s="389" t="s">
        <v>1714</v>
      </c>
    </row>
    <row r="656" spans="1:2" ht="13.2">
      <c r="A656" s="388" t="s">
        <v>1717</v>
      </c>
      <c r="B656" s="225" t="s">
        <v>5668</v>
      </c>
    </row>
    <row r="657" spans="1:2" ht="14.4">
      <c r="A657" s="388" t="s">
        <v>5834</v>
      </c>
      <c r="B657" s="389" t="s">
        <v>1720</v>
      </c>
    </row>
    <row r="658" spans="1:2" ht="14.4">
      <c r="A658" s="388" t="s">
        <v>5835</v>
      </c>
      <c r="B658" s="389" t="s">
        <v>1727</v>
      </c>
    </row>
    <row r="659" spans="1:2" ht="13.2">
      <c r="A659" s="388" t="s">
        <v>1729</v>
      </c>
      <c r="B659" s="225" t="s">
        <v>5668</v>
      </c>
    </row>
    <row r="660" spans="1:2" ht="14.4">
      <c r="A660" s="388" t="s">
        <v>5836</v>
      </c>
      <c r="B660" s="389" t="s">
        <v>1730</v>
      </c>
    </row>
    <row r="661" spans="1:2" ht="14.4">
      <c r="A661" s="388" t="s">
        <v>5837</v>
      </c>
      <c r="B661" s="389" t="s">
        <v>1744</v>
      </c>
    </row>
    <row r="662" spans="1:2" ht="14.4">
      <c r="A662" s="388" t="s">
        <v>5838</v>
      </c>
      <c r="B662" s="389" t="s">
        <v>1748</v>
      </c>
    </row>
    <row r="663" spans="1:2" ht="14.4">
      <c r="A663" s="388" t="s">
        <v>5839</v>
      </c>
      <c r="B663" s="389" t="s">
        <v>1753</v>
      </c>
    </row>
    <row r="664" spans="1:2" ht="14.4">
      <c r="A664" s="388" t="s">
        <v>5840</v>
      </c>
      <c r="B664" s="389" t="s">
        <v>1755</v>
      </c>
    </row>
    <row r="665" spans="1:2" ht="13.2">
      <c r="A665" s="388" t="s">
        <v>1757</v>
      </c>
      <c r="B665" s="225" t="s">
        <v>5668</v>
      </c>
    </row>
    <row r="666" spans="1:2" ht="14.4">
      <c r="A666" s="377" t="s">
        <v>5841</v>
      </c>
      <c r="B666" s="389" t="s">
        <v>4289</v>
      </c>
    </row>
    <row r="667" spans="1:2" ht="14.4">
      <c r="A667" s="377" t="s">
        <v>5842</v>
      </c>
      <c r="B667" s="389" t="s">
        <v>4295</v>
      </c>
    </row>
    <row r="668" spans="1:2" ht="14.4">
      <c r="A668" s="377" t="s">
        <v>4297</v>
      </c>
      <c r="B668" s="225" t="s">
        <v>5668</v>
      </c>
    </row>
    <row r="669" spans="1:2" ht="14.4">
      <c r="A669" s="377" t="s">
        <v>4315</v>
      </c>
      <c r="B669" s="225" t="s">
        <v>5668</v>
      </c>
    </row>
    <row r="670" spans="1:2" ht="14.4">
      <c r="A670" s="377" t="s">
        <v>5843</v>
      </c>
      <c r="B670" s="389" t="s">
        <v>4330</v>
      </c>
    </row>
    <row r="671" spans="1:2" ht="14.4">
      <c r="A671" s="377" t="s">
        <v>728</v>
      </c>
      <c r="B671" s="389" t="s">
        <v>4332</v>
      </c>
    </row>
    <row r="672" spans="1:2" ht="14.4">
      <c r="A672" s="377" t="s">
        <v>5844</v>
      </c>
      <c r="B672" s="389" t="s">
        <v>4334</v>
      </c>
    </row>
    <row r="673" spans="1:2" ht="14.4">
      <c r="A673" s="377" t="s">
        <v>4336</v>
      </c>
      <c r="B673" s="225" t="s">
        <v>5668</v>
      </c>
    </row>
    <row r="674" spans="1:2" ht="14.4">
      <c r="A674" s="377" t="s">
        <v>736</v>
      </c>
      <c r="B674" s="389" t="s">
        <v>4337</v>
      </c>
    </row>
    <row r="675" spans="1:2" ht="14.4">
      <c r="A675" s="377" t="s">
        <v>750</v>
      </c>
      <c r="B675" s="225" t="s">
        <v>5668</v>
      </c>
    </row>
    <row r="676" spans="1:2" ht="14.4">
      <c r="A676" s="377" t="s">
        <v>5845</v>
      </c>
      <c r="B676" s="389" t="s">
        <v>4349</v>
      </c>
    </row>
    <row r="677" spans="1:2" ht="14.4">
      <c r="A677" s="377" t="s">
        <v>4355</v>
      </c>
      <c r="B677" s="225" t="s">
        <v>5668</v>
      </c>
    </row>
    <row r="678" spans="1:2" ht="14.4">
      <c r="A678" s="377" t="s">
        <v>5846</v>
      </c>
      <c r="B678" s="389" t="s">
        <v>4356</v>
      </c>
    </row>
    <row r="679" spans="1:2" ht="14.4">
      <c r="A679" s="377" t="s">
        <v>4358</v>
      </c>
      <c r="B679" s="225" t="s">
        <v>5668</v>
      </c>
    </row>
    <row r="680" spans="1:2" ht="13.2">
      <c r="A680" s="401" t="s">
        <v>4367</v>
      </c>
      <c r="B680" s="225" t="s">
        <v>5668</v>
      </c>
    </row>
    <row r="681" spans="1:2" ht="14.4">
      <c r="A681" s="377" t="s">
        <v>5234</v>
      </c>
      <c r="B681" s="225" t="s">
        <v>5668</v>
      </c>
    </row>
    <row r="682" spans="1:2" ht="14.4">
      <c r="A682" s="377" t="s">
        <v>5240</v>
      </c>
      <c r="B682" s="225" t="s">
        <v>5668</v>
      </c>
    </row>
    <row r="683" spans="1:2" ht="14.4">
      <c r="A683" s="377" t="s">
        <v>5242</v>
      </c>
      <c r="B683" s="225" t="s">
        <v>5668</v>
      </c>
    </row>
    <row r="684" spans="1:2" ht="14.4">
      <c r="A684" s="377" t="s">
        <v>1576</v>
      </c>
      <c r="B684" s="389" t="s">
        <v>5847</v>
      </c>
    </row>
    <row r="685" spans="1:2" ht="14.4">
      <c r="A685" s="377" t="s">
        <v>5254</v>
      </c>
      <c r="B685" s="225" t="s">
        <v>5668</v>
      </c>
    </row>
    <row r="686" spans="1:2" ht="14.4">
      <c r="A686" s="377" t="s">
        <v>5255</v>
      </c>
      <c r="B686" s="389" t="s">
        <v>5848</v>
      </c>
    </row>
    <row r="687" spans="1:2" ht="14.4">
      <c r="A687" s="377" t="s">
        <v>5258</v>
      </c>
      <c r="B687" s="389" t="s">
        <v>5849</v>
      </c>
    </row>
    <row r="688" spans="1:2" ht="14.4">
      <c r="A688" s="377" t="s">
        <v>1587</v>
      </c>
      <c r="B688" s="225" t="s">
        <v>5668</v>
      </c>
    </row>
    <row r="689" spans="1:2" ht="14.4">
      <c r="A689" s="377" t="s">
        <v>5262</v>
      </c>
      <c r="B689" s="389" t="s">
        <v>5850</v>
      </c>
    </row>
    <row r="690" spans="1:2" ht="14.4">
      <c r="A690" s="377" t="s">
        <v>3527</v>
      </c>
      <c r="B690" s="389" t="s">
        <v>5851</v>
      </c>
    </row>
    <row r="691" spans="1:2" ht="14.4">
      <c r="A691" s="377" t="s">
        <v>5263</v>
      </c>
      <c r="B691" s="389" t="s">
        <v>5852</v>
      </c>
    </row>
    <row r="692" spans="1:2" ht="14.4">
      <c r="A692" s="377" t="s">
        <v>5264</v>
      </c>
      <c r="B692" s="389" t="s">
        <v>5853</v>
      </c>
    </row>
    <row r="693" spans="1:2" ht="14.4">
      <c r="A693" s="377" t="s">
        <v>5267</v>
      </c>
      <c r="B693" s="389" t="s">
        <v>5854</v>
      </c>
    </row>
    <row r="694" spans="1:2" ht="14.4">
      <c r="A694" s="377" t="s">
        <v>5268</v>
      </c>
      <c r="B694" s="225" t="s">
        <v>5668</v>
      </c>
    </row>
    <row r="695" spans="1:2" ht="14.4">
      <c r="A695" s="377" t="s">
        <v>5269</v>
      </c>
      <c r="B695" s="389" t="s">
        <v>1598</v>
      </c>
    </row>
    <row r="696" spans="1:2" ht="14.4">
      <c r="A696" s="377" t="s">
        <v>5272</v>
      </c>
      <c r="B696" s="389" t="s">
        <v>5855</v>
      </c>
    </row>
    <row r="697" spans="1:2" ht="14.4">
      <c r="A697" s="377" t="s">
        <v>5274</v>
      </c>
      <c r="B697" s="393" t="s">
        <v>5856</v>
      </c>
    </row>
    <row r="698" spans="1:2" ht="14.4">
      <c r="A698" s="388" t="s">
        <v>5857</v>
      </c>
      <c r="B698" s="389" t="s">
        <v>1486</v>
      </c>
    </row>
    <row r="699" spans="1:2" ht="14.4">
      <c r="A699" s="388" t="s">
        <v>5858</v>
      </c>
      <c r="B699" s="389" t="s">
        <v>1489</v>
      </c>
    </row>
    <row r="700" spans="1:2" ht="14.4">
      <c r="A700" s="392" t="s">
        <v>5277</v>
      </c>
      <c r="B700" s="389" t="s">
        <v>5859</v>
      </c>
    </row>
    <row r="701" spans="1:2" ht="14.4">
      <c r="A701" s="400" t="s">
        <v>5283</v>
      </c>
      <c r="B701" s="225" t="s">
        <v>5668</v>
      </c>
    </row>
    <row r="702" spans="1:2" ht="14.4">
      <c r="A702" s="401" t="s">
        <v>5860</v>
      </c>
      <c r="B702" s="389" t="s">
        <v>4371</v>
      </c>
    </row>
    <row r="703" spans="1:2" ht="13.2">
      <c r="A703" s="401" t="s">
        <v>4373</v>
      </c>
      <c r="B703" s="225" t="s">
        <v>5668</v>
      </c>
    </row>
    <row r="704" spans="1:2" ht="13.2">
      <c r="A704" s="401" t="s">
        <v>4377</v>
      </c>
      <c r="B704" s="225" t="s">
        <v>5668</v>
      </c>
    </row>
    <row r="705" spans="1:2" ht="13.2">
      <c r="A705" s="401" t="s">
        <v>4384</v>
      </c>
      <c r="B705" s="225" t="s">
        <v>5668</v>
      </c>
    </row>
    <row r="706" spans="1:2" ht="14.4">
      <c r="A706" s="401" t="s">
        <v>5861</v>
      </c>
      <c r="B706" s="389" t="s">
        <v>4388</v>
      </c>
    </row>
    <row r="707" spans="1:2" ht="14.4">
      <c r="A707" s="401" t="s">
        <v>5862</v>
      </c>
      <c r="B707" s="389" t="s">
        <v>4392</v>
      </c>
    </row>
    <row r="708" spans="1:2" ht="13.2">
      <c r="A708" s="401" t="s">
        <v>4394</v>
      </c>
      <c r="B708" s="225" t="s">
        <v>5668</v>
      </c>
    </row>
    <row r="709" spans="1:2" ht="14.4">
      <c r="A709" s="401" t="s">
        <v>5863</v>
      </c>
      <c r="B709" s="389" t="s">
        <v>4395</v>
      </c>
    </row>
    <row r="710" spans="1:2" ht="14.4">
      <c r="A710" s="401" t="s">
        <v>5864</v>
      </c>
      <c r="B710" s="273" t="s">
        <v>5604</v>
      </c>
    </row>
    <row r="711" spans="1:2" ht="14.4">
      <c r="A711" s="388" t="s">
        <v>5865</v>
      </c>
      <c r="B711" s="389" t="s">
        <v>1454</v>
      </c>
    </row>
    <row r="712" spans="1:2" ht="14.4">
      <c r="A712" s="388" t="s">
        <v>5866</v>
      </c>
      <c r="B712" s="389" t="s">
        <v>1508</v>
      </c>
    </row>
    <row r="713" spans="1:2" ht="13.2">
      <c r="A713" s="388" t="s">
        <v>1510</v>
      </c>
      <c r="B713" s="225" t="s">
        <v>5668</v>
      </c>
    </row>
    <row r="714" spans="1:2" ht="13.2">
      <c r="A714" s="388" t="s">
        <v>1511</v>
      </c>
      <c r="B714" s="225" t="s">
        <v>5668</v>
      </c>
    </row>
    <row r="715" spans="1:2" ht="14.4">
      <c r="A715" s="388" t="s">
        <v>5867</v>
      </c>
      <c r="B715" s="389" t="s">
        <v>1517</v>
      </c>
    </row>
    <row r="716" spans="1:2" ht="14.4">
      <c r="A716" s="404" t="s">
        <v>5868</v>
      </c>
      <c r="B716" s="389" t="s">
        <v>1548</v>
      </c>
    </row>
    <row r="717" spans="1:2" ht="13.2">
      <c r="A717" s="388" t="s">
        <v>1555</v>
      </c>
      <c r="B717" s="225" t="s">
        <v>5668</v>
      </c>
    </row>
    <row r="718" spans="1:2" ht="14.4">
      <c r="A718" s="377" t="s">
        <v>577</v>
      </c>
      <c r="B718" s="225" t="s">
        <v>5668</v>
      </c>
    </row>
    <row r="719" spans="1:2" ht="14.4">
      <c r="A719" s="377" t="s">
        <v>578</v>
      </c>
      <c r="B719" s="225" t="s">
        <v>5668</v>
      </c>
    </row>
    <row r="720" spans="1:2" ht="14.4">
      <c r="A720" s="388" t="s">
        <v>5869</v>
      </c>
      <c r="B720" s="389" t="s">
        <v>1569</v>
      </c>
    </row>
    <row r="721" spans="1:2" ht="14.4">
      <c r="A721" s="377" t="s">
        <v>5016</v>
      </c>
      <c r="B721" s="225" t="s">
        <v>5668</v>
      </c>
    </row>
    <row r="722" spans="1:2" ht="14.4">
      <c r="A722" s="377" t="s">
        <v>581</v>
      </c>
      <c r="B722" s="225" t="s">
        <v>5668</v>
      </c>
    </row>
    <row r="723" spans="1:2" ht="13.2">
      <c r="A723" s="388" t="s">
        <v>1573</v>
      </c>
      <c r="B723" s="185" t="s">
        <v>5668</v>
      </c>
    </row>
    <row r="724" spans="1:2" ht="13.2">
      <c r="A724" s="388" t="s">
        <v>1622</v>
      </c>
      <c r="B724" s="185" t="s">
        <v>5668</v>
      </c>
    </row>
    <row r="725" spans="1:2" ht="13.2">
      <c r="A725" s="388" t="s">
        <v>1635</v>
      </c>
      <c r="B725" s="185" t="s">
        <v>5668</v>
      </c>
    </row>
    <row r="726" spans="1:2" ht="14.4">
      <c r="A726" s="377" t="s">
        <v>582</v>
      </c>
      <c r="B726" s="225" t="s">
        <v>5668</v>
      </c>
    </row>
    <row r="727" spans="1:2" ht="14.4">
      <c r="A727" s="377" t="s">
        <v>583</v>
      </c>
      <c r="B727" s="225" t="s">
        <v>5668</v>
      </c>
    </row>
    <row r="728" spans="1:2" ht="14.4">
      <c r="A728" s="377" t="s">
        <v>587</v>
      </c>
      <c r="B728" s="225" t="s">
        <v>5668</v>
      </c>
    </row>
    <row r="729" spans="1:2" ht="14.4">
      <c r="A729" s="377" t="s">
        <v>588</v>
      </c>
      <c r="B729" s="225" t="s">
        <v>5668</v>
      </c>
    </row>
    <row r="730" spans="1:2" ht="14.4">
      <c r="A730" s="377" t="s">
        <v>602</v>
      </c>
      <c r="B730" s="225" t="s">
        <v>5668</v>
      </c>
    </row>
    <row r="731" spans="1:2" ht="14.4">
      <c r="A731" s="377" t="s">
        <v>5870</v>
      </c>
      <c r="B731" s="389" t="s">
        <v>603</v>
      </c>
    </row>
    <row r="732" spans="1:2" ht="14.4">
      <c r="A732" s="377" t="s">
        <v>606</v>
      </c>
      <c r="B732" s="225" t="s">
        <v>5668</v>
      </c>
    </row>
    <row r="733" spans="1:2" ht="14.4">
      <c r="A733" s="405" t="s">
        <v>5871</v>
      </c>
      <c r="B733" s="389" t="s">
        <v>612</v>
      </c>
    </row>
    <row r="734" spans="1:2" ht="14.4">
      <c r="A734" s="405" t="s">
        <v>616</v>
      </c>
      <c r="B734" s="225" t="s">
        <v>5668</v>
      </c>
    </row>
    <row r="735" spans="1:2" ht="14.4">
      <c r="A735" s="405" t="s">
        <v>5872</v>
      </c>
      <c r="B735" s="389" t="s">
        <v>617</v>
      </c>
    </row>
    <row r="736" spans="1:2" ht="14.4">
      <c r="A736" s="405" t="s">
        <v>5873</v>
      </c>
      <c r="B736" s="389" t="s">
        <v>620</v>
      </c>
    </row>
    <row r="737" spans="1:2" ht="14.4">
      <c r="A737" s="405" t="s">
        <v>623</v>
      </c>
      <c r="B737" s="225" t="s">
        <v>5668</v>
      </c>
    </row>
    <row r="738" spans="1:2" ht="14.4">
      <c r="A738" s="405" t="s">
        <v>5758</v>
      </c>
      <c r="B738" s="389" t="s">
        <v>625</v>
      </c>
    </row>
    <row r="739" spans="1:2" ht="14.4">
      <c r="A739" s="377" t="s">
        <v>5874</v>
      </c>
      <c r="B739" s="389" t="s">
        <v>607</v>
      </c>
    </row>
    <row r="740" spans="1:2" ht="14.4">
      <c r="A740" s="405" t="s">
        <v>5875</v>
      </c>
      <c r="B740" s="389" t="s">
        <v>629</v>
      </c>
    </row>
    <row r="741" spans="1:2" ht="14.4">
      <c r="A741" s="405" t="s">
        <v>5876</v>
      </c>
      <c r="B741" s="389" t="s">
        <v>650</v>
      </c>
    </row>
    <row r="742" spans="1:2" ht="14.4">
      <c r="A742" s="405" t="s">
        <v>5877</v>
      </c>
      <c r="B742" s="389" t="s">
        <v>656</v>
      </c>
    </row>
    <row r="743" spans="1:2" ht="14.4">
      <c r="A743" s="405" t="s">
        <v>672</v>
      </c>
      <c r="B743" s="185" t="s">
        <v>5668</v>
      </c>
    </row>
    <row r="744" spans="1:2" ht="14.4">
      <c r="A744" s="405" t="s">
        <v>5878</v>
      </c>
      <c r="B744" s="389" t="s">
        <v>673</v>
      </c>
    </row>
    <row r="745" spans="1:2" ht="14.4">
      <c r="A745" s="405" t="s">
        <v>684</v>
      </c>
      <c r="B745" s="185" t="s">
        <v>5668</v>
      </c>
    </row>
    <row r="746" spans="1:2" ht="14.4">
      <c r="A746" s="405" t="s">
        <v>5879</v>
      </c>
      <c r="B746" s="389" t="s">
        <v>685</v>
      </c>
    </row>
    <row r="747" spans="1:2" ht="14.4">
      <c r="A747" s="405" t="s">
        <v>687</v>
      </c>
      <c r="B747" s="185" t="s">
        <v>5668</v>
      </c>
    </row>
    <row r="748" spans="1:2" ht="14.4">
      <c r="A748" s="405" t="s">
        <v>5880</v>
      </c>
      <c r="B748" s="389" t="s">
        <v>688</v>
      </c>
    </row>
    <row r="749" spans="1:2" ht="14.4">
      <c r="A749" s="405" t="s">
        <v>5881</v>
      </c>
      <c r="B749" s="389" t="s">
        <v>691</v>
      </c>
    </row>
    <row r="750" spans="1:2" ht="14.4">
      <c r="A750" s="405" t="s">
        <v>693</v>
      </c>
      <c r="B750" s="185" t="s">
        <v>5668</v>
      </c>
    </row>
    <row r="751" spans="1:2" ht="14.4">
      <c r="A751" s="405" t="s">
        <v>700</v>
      </c>
      <c r="B751" s="185" t="s">
        <v>5668</v>
      </c>
    </row>
    <row r="752" spans="1:2" ht="14.4">
      <c r="A752" s="405" t="s">
        <v>708</v>
      </c>
      <c r="B752" s="185" t="s">
        <v>5668</v>
      </c>
    </row>
    <row r="753" spans="1:2" ht="14.4">
      <c r="A753" s="405" t="s">
        <v>709</v>
      </c>
      <c r="B753" s="185" t="s">
        <v>5668</v>
      </c>
    </row>
    <row r="754" spans="1:2" ht="14.4">
      <c r="A754" s="405" t="s">
        <v>710</v>
      </c>
      <c r="B754" s="185" t="s">
        <v>5668</v>
      </c>
    </row>
    <row r="755" spans="1:2" ht="14.4">
      <c r="A755" s="405" t="s">
        <v>5882</v>
      </c>
      <c r="B755" s="389" t="s">
        <v>711</v>
      </c>
    </row>
    <row r="756" spans="1:2" ht="14.4">
      <c r="A756" s="405" t="s">
        <v>5821</v>
      </c>
      <c r="B756" s="389" t="s">
        <v>723</v>
      </c>
    </row>
    <row r="757" spans="1:2" ht="14.4">
      <c r="A757" s="405" t="s">
        <v>728</v>
      </c>
      <c r="B757" s="185" t="s">
        <v>5668</v>
      </c>
    </row>
    <row r="758" spans="1:2" ht="14.4">
      <c r="A758" s="405" t="s">
        <v>5883</v>
      </c>
      <c r="B758" s="389" t="s">
        <v>729</v>
      </c>
    </row>
    <row r="759" spans="1:2" ht="14.4">
      <c r="A759" s="405" t="s">
        <v>732</v>
      </c>
      <c r="B759" s="185" t="s">
        <v>5668</v>
      </c>
    </row>
    <row r="760" spans="1:2" ht="14.4">
      <c r="A760" s="405" t="s">
        <v>5884</v>
      </c>
      <c r="B760" s="389" t="s">
        <v>733</v>
      </c>
    </row>
    <row r="761" spans="1:2" ht="14.4">
      <c r="A761" s="405" t="s">
        <v>736</v>
      </c>
      <c r="B761" s="185" t="s">
        <v>5668</v>
      </c>
    </row>
    <row r="762" spans="1:2" ht="14.4">
      <c r="A762" s="405" t="s">
        <v>3415</v>
      </c>
      <c r="B762" s="389" t="s">
        <v>740</v>
      </c>
    </row>
    <row r="763" spans="1:2" ht="14.4">
      <c r="A763" s="405" t="s">
        <v>5885</v>
      </c>
      <c r="B763" s="389" t="s">
        <v>746</v>
      </c>
    </row>
    <row r="764" spans="1:2" ht="14.4">
      <c r="A764" s="405" t="s">
        <v>749</v>
      </c>
      <c r="B764" s="185" t="s">
        <v>5668</v>
      </c>
    </row>
    <row r="765" spans="1:2" ht="14.4">
      <c r="A765" s="405" t="s">
        <v>750</v>
      </c>
      <c r="B765" s="185" t="s">
        <v>5668</v>
      </c>
    </row>
    <row r="766" spans="1:2" ht="14.4">
      <c r="A766" s="405" t="s">
        <v>5886</v>
      </c>
      <c r="B766" s="389" t="s">
        <v>753</v>
      </c>
    </row>
    <row r="767" spans="1:2" ht="14.4">
      <c r="A767" s="405" t="s">
        <v>756</v>
      </c>
      <c r="B767" s="185" t="s">
        <v>5668</v>
      </c>
    </row>
    <row r="768" spans="1:2" ht="14.4">
      <c r="A768" s="405" t="s">
        <v>757</v>
      </c>
      <c r="B768" s="273" t="s">
        <v>5668</v>
      </c>
    </row>
    <row r="769" spans="1:2" ht="14.4">
      <c r="A769" s="405" t="s">
        <v>758</v>
      </c>
      <c r="B769" s="185" t="s">
        <v>5668</v>
      </c>
    </row>
    <row r="770" spans="1:2" ht="14.4">
      <c r="A770" s="405" t="s">
        <v>759</v>
      </c>
      <c r="B770" s="185" t="s">
        <v>5668</v>
      </c>
    </row>
    <row r="771" spans="1:2" ht="14.4">
      <c r="A771" s="405" t="s">
        <v>5887</v>
      </c>
      <c r="B771" s="389" t="s">
        <v>760</v>
      </c>
    </row>
    <row r="772" spans="1:2" ht="14.4">
      <c r="A772" s="405" t="s">
        <v>5888</v>
      </c>
      <c r="B772" s="389" t="s">
        <v>764</v>
      </c>
    </row>
    <row r="773" spans="1:2" ht="14.4">
      <c r="A773" s="405" t="s">
        <v>767</v>
      </c>
      <c r="B773" s="185" t="s">
        <v>5668</v>
      </c>
    </row>
    <row r="774" spans="1:2" ht="14.4">
      <c r="A774" s="405" t="s">
        <v>776</v>
      </c>
      <c r="B774" s="185" t="s">
        <v>5668</v>
      </c>
    </row>
    <row r="775" spans="1:2" ht="14.4">
      <c r="A775" s="405" t="s">
        <v>5889</v>
      </c>
      <c r="B775" s="389" t="s">
        <v>777</v>
      </c>
    </row>
    <row r="776" spans="1:2" ht="14.4">
      <c r="A776" s="405" t="s">
        <v>5890</v>
      </c>
      <c r="B776" s="389" t="s">
        <v>790</v>
      </c>
    </row>
    <row r="777" spans="1:2" ht="14.4">
      <c r="A777" s="405" t="s">
        <v>5891</v>
      </c>
      <c r="B777" s="389" t="s">
        <v>800</v>
      </c>
    </row>
    <row r="778" spans="1:2" ht="14.4">
      <c r="A778" s="405" t="s">
        <v>5892</v>
      </c>
      <c r="B778" s="389" t="s">
        <v>802</v>
      </c>
    </row>
    <row r="779" spans="1:2" ht="14.4">
      <c r="A779" s="405" t="s">
        <v>804</v>
      </c>
      <c r="B779" s="185" t="s">
        <v>5668</v>
      </c>
    </row>
    <row r="780" spans="1:2" ht="14.4">
      <c r="A780" s="405" t="s">
        <v>5893</v>
      </c>
      <c r="B780" s="389" t="s">
        <v>805</v>
      </c>
    </row>
    <row r="781" spans="1:2" ht="14.4">
      <c r="A781" s="377" t="s">
        <v>5894</v>
      </c>
      <c r="B781" s="389" t="s">
        <v>290</v>
      </c>
    </row>
    <row r="782" spans="1:2" ht="14.4">
      <c r="A782" s="377" t="s">
        <v>296</v>
      </c>
      <c r="B782" s="185" t="s">
        <v>5668</v>
      </c>
    </row>
    <row r="783" spans="1:2" ht="14.4">
      <c r="A783" s="377" t="s">
        <v>299</v>
      </c>
      <c r="B783" s="185" t="s">
        <v>5668</v>
      </c>
    </row>
    <row r="784" spans="1:2" ht="14.4">
      <c r="A784" s="405" t="s">
        <v>5895</v>
      </c>
      <c r="B784" s="389" t="s">
        <v>811</v>
      </c>
    </row>
    <row r="785" spans="1:2" ht="14.4">
      <c r="A785" s="405" t="s">
        <v>5896</v>
      </c>
      <c r="B785" s="389" t="s">
        <v>813</v>
      </c>
    </row>
    <row r="786" spans="1:2" ht="14.4">
      <c r="A786" s="405" t="s">
        <v>5897</v>
      </c>
      <c r="B786" s="389" t="s">
        <v>815</v>
      </c>
    </row>
    <row r="787" spans="1:2" ht="14.4">
      <c r="A787" s="405" t="s">
        <v>831</v>
      </c>
      <c r="B787" s="185" t="s">
        <v>5668</v>
      </c>
    </row>
    <row r="788" spans="1:2" ht="14.4">
      <c r="A788" s="405" t="s">
        <v>5898</v>
      </c>
      <c r="B788" s="389" t="s">
        <v>835</v>
      </c>
    </row>
    <row r="789" spans="1:2" ht="14.4">
      <c r="A789" s="405" t="s">
        <v>5899</v>
      </c>
      <c r="B789" s="389" t="s">
        <v>841</v>
      </c>
    </row>
    <row r="790" spans="1:2" ht="14.4">
      <c r="A790" s="405" t="s">
        <v>5900</v>
      </c>
      <c r="B790" s="389" t="s">
        <v>6</v>
      </c>
    </row>
    <row r="791" spans="1:2" ht="14.4">
      <c r="A791" s="405" t="s">
        <v>5901</v>
      </c>
      <c r="B791" s="389" t="s">
        <v>8</v>
      </c>
    </row>
    <row r="792" spans="1:2" ht="14.4">
      <c r="A792" s="405" t="s">
        <v>13</v>
      </c>
      <c r="B792" s="185" t="s">
        <v>5668</v>
      </c>
    </row>
    <row r="793" spans="1:2" ht="14.4">
      <c r="A793" s="405" t="s">
        <v>5902</v>
      </c>
      <c r="B793" s="389" t="s">
        <v>14</v>
      </c>
    </row>
    <row r="794" spans="1:2" ht="14.4">
      <c r="A794" s="405" t="s">
        <v>5903</v>
      </c>
      <c r="B794" s="389" t="s">
        <v>19</v>
      </c>
    </row>
    <row r="795" spans="1:2" ht="14.4">
      <c r="A795" s="405" t="s">
        <v>23</v>
      </c>
      <c r="B795" s="185" t="s">
        <v>5668</v>
      </c>
    </row>
    <row r="796" spans="1:2" ht="14.4">
      <c r="A796" s="405" t="s">
        <v>24</v>
      </c>
      <c r="B796" s="185" t="s">
        <v>5668</v>
      </c>
    </row>
    <row r="797" spans="1:2" ht="14.4">
      <c r="A797" s="405" t="s">
        <v>36</v>
      </c>
      <c r="B797" s="185" t="s">
        <v>5668</v>
      </c>
    </row>
    <row r="798" spans="1:2" ht="14.4">
      <c r="A798" s="405" t="s">
        <v>37</v>
      </c>
      <c r="B798" s="185" t="s">
        <v>5668</v>
      </c>
    </row>
    <row r="799" spans="1:2" ht="14.4">
      <c r="A799" s="405" t="s">
        <v>38</v>
      </c>
      <c r="B799" s="185" t="s">
        <v>5668</v>
      </c>
    </row>
    <row r="800" spans="1:2" ht="14.4">
      <c r="A800" s="405" t="s">
        <v>39</v>
      </c>
      <c r="B800" s="185" t="s">
        <v>5668</v>
      </c>
    </row>
    <row r="801" spans="1:2" ht="14.4">
      <c r="A801" s="405" t="s">
        <v>40</v>
      </c>
      <c r="B801" s="185" t="s">
        <v>5668</v>
      </c>
    </row>
    <row r="802" spans="1:2" ht="14.4">
      <c r="A802" s="377" t="s">
        <v>5904</v>
      </c>
      <c r="B802" s="389" t="s">
        <v>54</v>
      </c>
    </row>
    <row r="803" spans="1:2" ht="14.4">
      <c r="A803" s="377" t="s">
        <v>59</v>
      </c>
      <c r="B803" s="185" t="s">
        <v>5668</v>
      </c>
    </row>
    <row r="804" spans="1:2" ht="14.4">
      <c r="A804" s="377" t="s">
        <v>5905</v>
      </c>
      <c r="B804" s="389" t="s">
        <v>63</v>
      </c>
    </row>
    <row r="805" spans="1:2" ht="14.4">
      <c r="A805" s="377" t="s">
        <v>5906</v>
      </c>
      <c r="B805" s="389" t="s">
        <v>88</v>
      </c>
    </row>
    <row r="806" spans="1:2" ht="14.4">
      <c r="A806" s="377" t="s">
        <v>5907</v>
      </c>
      <c r="B806" s="389" t="s">
        <v>90</v>
      </c>
    </row>
    <row r="807" spans="1:2" ht="14.4">
      <c r="A807" s="377" t="s">
        <v>5908</v>
      </c>
      <c r="B807" s="389" t="s">
        <v>107</v>
      </c>
    </row>
    <row r="808" spans="1:2" ht="14.4">
      <c r="A808" s="377" t="s">
        <v>1622</v>
      </c>
      <c r="B808" s="389" t="s">
        <v>120</v>
      </c>
    </row>
    <row r="809" spans="1:2" ht="14.4">
      <c r="A809" s="377" t="s">
        <v>5909</v>
      </c>
      <c r="B809" s="389" t="s">
        <v>129</v>
      </c>
    </row>
    <row r="810" spans="1:2" ht="14.4">
      <c r="A810" s="377" t="s">
        <v>5910</v>
      </c>
      <c r="B810" s="389" t="s">
        <v>147</v>
      </c>
    </row>
    <row r="811" spans="1:2" ht="14.4">
      <c r="A811" s="377" t="s">
        <v>5911</v>
      </c>
      <c r="B811" s="393" t="s">
        <v>152</v>
      </c>
    </row>
    <row r="812" spans="1:2" ht="14.4">
      <c r="A812" s="377" t="s">
        <v>5912</v>
      </c>
      <c r="B812" s="389" t="s">
        <v>154</v>
      </c>
    </row>
    <row r="813" spans="1:2" ht="14.4">
      <c r="A813" s="377" t="s">
        <v>167</v>
      </c>
      <c r="B813" s="185" t="s">
        <v>5668</v>
      </c>
    </row>
    <row r="814" spans="1:2" ht="14.4">
      <c r="A814" s="377" t="s">
        <v>5913</v>
      </c>
      <c r="B814" s="389" t="s">
        <v>168</v>
      </c>
    </row>
    <row r="815" spans="1:2" ht="14.4">
      <c r="A815" s="377" t="s">
        <v>175</v>
      </c>
      <c r="B815" s="185" t="s">
        <v>5668</v>
      </c>
    </row>
    <row r="816" spans="1:2" ht="14.4">
      <c r="A816" s="377" t="s">
        <v>5914</v>
      </c>
      <c r="B816" s="389" t="s">
        <v>176</v>
      </c>
    </row>
    <row r="817" spans="1:2" ht="14.4">
      <c r="A817" s="377" t="s">
        <v>2280</v>
      </c>
      <c r="B817" s="185" t="s">
        <v>5668</v>
      </c>
    </row>
    <row r="818" spans="1:2" ht="14.4">
      <c r="A818" s="377" t="s">
        <v>2282</v>
      </c>
      <c r="B818" s="185" t="s">
        <v>5668</v>
      </c>
    </row>
    <row r="819" spans="1:2" ht="14.4">
      <c r="A819" s="377" t="s">
        <v>2294</v>
      </c>
      <c r="B819" s="185" t="s">
        <v>5668</v>
      </c>
    </row>
    <row r="820" spans="1:2" ht="14.4">
      <c r="A820" s="377" t="s">
        <v>2313</v>
      </c>
      <c r="B820" s="185" t="s">
        <v>5668</v>
      </c>
    </row>
    <row r="821" spans="1:2" ht="14.4">
      <c r="A821" s="377" t="s">
        <v>5915</v>
      </c>
      <c r="B821" s="389" t="s">
        <v>2319</v>
      </c>
    </row>
    <row r="822" spans="1:2" ht="14.4">
      <c r="A822" s="377" t="s">
        <v>5916</v>
      </c>
      <c r="B822" s="389" t="s">
        <v>2342</v>
      </c>
    </row>
    <row r="823" spans="1:2" ht="14.4">
      <c r="A823" s="377" t="s">
        <v>5917</v>
      </c>
      <c r="B823" s="389" t="s">
        <v>2344</v>
      </c>
    </row>
    <row r="824" spans="1:2" ht="14.4">
      <c r="A824" s="377" t="s">
        <v>2346</v>
      </c>
      <c r="B824" s="185" t="s">
        <v>5668</v>
      </c>
    </row>
    <row r="825" spans="1:2" ht="14.4">
      <c r="A825" s="377" t="s">
        <v>5918</v>
      </c>
      <c r="B825" s="389" t="s">
        <v>2356</v>
      </c>
    </row>
    <row r="826" spans="1:2" ht="14.4">
      <c r="A826" s="377" t="s">
        <v>2363</v>
      </c>
      <c r="B826" s="185" t="s">
        <v>5668</v>
      </c>
    </row>
    <row r="827" spans="1:2" ht="14.4">
      <c r="A827" s="377" t="s">
        <v>5919</v>
      </c>
      <c r="B827" s="389" t="s">
        <v>2364</v>
      </c>
    </row>
    <row r="828" spans="1:2" ht="14.4">
      <c r="A828" s="377" t="s">
        <v>5920</v>
      </c>
      <c r="B828" s="389" t="s">
        <v>2367</v>
      </c>
    </row>
    <row r="829" spans="1:2" ht="14.4">
      <c r="A829" s="377" t="s">
        <v>5921</v>
      </c>
      <c r="B829" s="389" t="s">
        <v>2369</v>
      </c>
    </row>
    <row r="830" spans="1:2" ht="14.4">
      <c r="A830" s="377" t="s">
        <v>2380</v>
      </c>
      <c r="B830" s="185" t="s">
        <v>5668</v>
      </c>
    </row>
    <row r="831" spans="1:2" ht="14.4">
      <c r="A831" s="377" t="s">
        <v>5922</v>
      </c>
      <c r="B831" s="389" t="s">
        <v>2385</v>
      </c>
    </row>
    <row r="832" spans="1:2" ht="14.4">
      <c r="A832" s="377" t="s">
        <v>5923</v>
      </c>
      <c r="B832" s="389" t="s">
        <v>2393</v>
      </c>
    </row>
    <row r="833" spans="1:2" ht="14.4">
      <c r="A833" s="377" t="s">
        <v>5924</v>
      </c>
      <c r="B833" s="389" t="s">
        <v>2402</v>
      </c>
    </row>
    <row r="834" spans="1:2" ht="14.4">
      <c r="A834" s="377" t="s">
        <v>5925</v>
      </c>
      <c r="B834" s="389" t="s">
        <v>2405</v>
      </c>
    </row>
    <row r="835" spans="1:2" ht="14.4">
      <c r="A835" s="377" t="s">
        <v>2410</v>
      </c>
      <c r="B835" s="185" t="s">
        <v>5668</v>
      </c>
    </row>
    <row r="836" spans="1:2" ht="14.4">
      <c r="A836" s="377" t="s">
        <v>5926</v>
      </c>
      <c r="B836" s="389" t="s">
        <v>2420</v>
      </c>
    </row>
    <row r="837" spans="1:2" ht="14.4">
      <c r="A837" s="377" t="s">
        <v>2429</v>
      </c>
      <c r="B837" s="185" t="s">
        <v>5668</v>
      </c>
    </row>
    <row r="838" spans="1:2" ht="14.4">
      <c r="A838" s="377" t="s">
        <v>2430</v>
      </c>
      <c r="B838" s="185" t="s">
        <v>5668</v>
      </c>
    </row>
    <row r="839" spans="1:2" ht="14.4">
      <c r="A839" s="377" t="s">
        <v>2436</v>
      </c>
      <c r="B839" s="185" t="s">
        <v>5668</v>
      </c>
    </row>
    <row r="840" spans="1:2" ht="14.4">
      <c r="A840" s="377" t="s">
        <v>2440</v>
      </c>
      <c r="B840" s="185" t="s">
        <v>5668</v>
      </c>
    </row>
    <row r="841" spans="1:2" ht="14.4">
      <c r="A841" s="377" t="s">
        <v>5927</v>
      </c>
      <c r="B841" s="389" t="s">
        <v>2446</v>
      </c>
    </row>
    <row r="842" spans="1:2" ht="14.4">
      <c r="A842" s="377" t="s">
        <v>2448</v>
      </c>
      <c r="B842" s="185" t="s">
        <v>5668</v>
      </c>
    </row>
    <row r="843" spans="1:2" ht="14.4">
      <c r="A843" s="377" t="s">
        <v>2451</v>
      </c>
      <c r="B843" s="185" t="s">
        <v>5668</v>
      </c>
    </row>
    <row r="844" spans="1:2" ht="14.4">
      <c r="A844" s="377" t="s">
        <v>2455</v>
      </c>
      <c r="B844" s="185" t="s">
        <v>5668</v>
      </c>
    </row>
    <row r="845" spans="1:2" ht="14.4">
      <c r="A845" s="377" t="s">
        <v>2539</v>
      </c>
      <c r="B845" s="185" t="s">
        <v>5668</v>
      </c>
    </row>
    <row r="846" spans="1:2" ht="14.4">
      <c r="A846" s="377" t="s">
        <v>5928</v>
      </c>
      <c r="B846" s="389" t="s">
        <v>2540</v>
      </c>
    </row>
    <row r="847" spans="1:2" ht="14.4">
      <c r="A847" s="377" t="s">
        <v>5929</v>
      </c>
      <c r="B847" s="389" t="s">
        <v>2563</v>
      </c>
    </row>
    <row r="848" spans="1:2" ht="14.4">
      <c r="A848" s="377" t="s">
        <v>5930</v>
      </c>
      <c r="B848" s="273" t="s">
        <v>5668</v>
      </c>
    </row>
    <row r="849" spans="1:2" ht="14.4">
      <c r="A849" s="377" t="s">
        <v>5931</v>
      </c>
      <c r="B849" s="389" t="s">
        <v>2577</v>
      </c>
    </row>
    <row r="850" spans="1:2" ht="14.4">
      <c r="A850" s="377" t="s">
        <v>2582</v>
      </c>
      <c r="B850" s="185" t="s">
        <v>5668</v>
      </c>
    </row>
    <row r="851" spans="1:2" ht="14.4">
      <c r="A851" s="377" t="s">
        <v>5932</v>
      </c>
      <c r="B851" s="389" t="s">
        <v>1692</v>
      </c>
    </row>
    <row r="852" spans="1:2" ht="14.4">
      <c r="A852" s="377" t="s">
        <v>5933</v>
      </c>
      <c r="B852" s="389" t="s">
        <v>2589</v>
      </c>
    </row>
    <row r="853" spans="1:2" ht="14.4">
      <c r="A853" s="377" t="s">
        <v>2593</v>
      </c>
      <c r="B853" s="185" t="s">
        <v>5668</v>
      </c>
    </row>
    <row r="854" spans="1:2" ht="14.4">
      <c r="A854" s="377" t="s">
        <v>2615</v>
      </c>
      <c r="B854" s="185" t="s">
        <v>5668</v>
      </c>
    </row>
    <row r="855" spans="1:2" ht="14.4">
      <c r="A855" s="377" t="s">
        <v>5934</v>
      </c>
      <c r="B855" s="389" t="s">
        <v>2647</v>
      </c>
    </row>
    <row r="856" spans="1:2" ht="14.4">
      <c r="A856" s="377" t="s">
        <v>2655</v>
      </c>
      <c r="B856" s="185" t="s">
        <v>5668</v>
      </c>
    </row>
    <row r="857" spans="1:2" ht="13.2">
      <c r="A857" s="401" t="s">
        <v>4410</v>
      </c>
      <c r="B857" s="185" t="s">
        <v>5668</v>
      </c>
    </row>
    <row r="858" spans="1:2" ht="16.5" customHeight="1">
      <c r="A858" s="401" t="s">
        <v>4411</v>
      </c>
      <c r="B858" s="185" t="s">
        <v>5668</v>
      </c>
    </row>
    <row r="859" spans="1:2" ht="13.2">
      <c r="A859" s="401" t="s">
        <v>3460</v>
      </c>
      <c r="B859" s="185" t="s">
        <v>5668</v>
      </c>
    </row>
    <row r="860" spans="1:2" ht="14.4">
      <c r="A860" s="401" t="s">
        <v>5935</v>
      </c>
      <c r="B860" s="389" t="s">
        <v>4427</v>
      </c>
    </row>
    <row r="861" spans="1:2" ht="14.4">
      <c r="A861" s="401" t="s">
        <v>5936</v>
      </c>
      <c r="B861" s="389" t="s">
        <v>4429</v>
      </c>
    </row>
    <row r="862" spans="1:2" ht="14.4">
      <c r="A862" s="400" t="s">
        <v>5295</v>
      </c>
      <c r="B862" s="389" t="s">
        <v>5937</v>
      </c>
    </row>
    <row r="863" spans="1:2" ht="14.4">
      <c r="A863" s="377" t="s">
        <v>5938</v>
      </c>
      <c r="B863" s="389" t="s">
        <v>179</v>
      </c>
    </row>
    <row r="864" spans="1:2" ht="14.4">
      <c r="A864" s="377" t="s">
        <v>5939</v>
      </c>
      <c r="B864" s="389" t="s">
        <v>183</v>
      </c>
    </row>
    <row r="865" spans="1:2" ht="14.4">
      <c r="A865" s="377" t="s">
        <v>186</v>
      </c>
      <c r="B865" s="185" t="s">
        <v>5668</v>
      </c>
    </row>
    <row r="866" spans="1:2" ht="14.4">
      <c r="A866" s="377" t="s">
        <v>193</v>
      </c>
      <c r="B866" s="185" t="s">
        <v>5668</v>
      </c>
    </row>
    <row r="867" spans="1:2" ht="14.4">
      <c r="A867" s="377" t="s">
        <v>198</v>
      </c>
      <c r="B867" s="185" t="s">
        <v>5668</v>
      </c>
    </row>
    <row r="868" spans="1:2" ht="14.4">
      <c r="A868" s="377" t="s">
        <v>5940</v>
      </c>
      <c r="B868" s="389" t="s">
        <v>211</v>
      </c>
    </row>
    <row r="869" spans="1:2" ht="14.4">
      <c r="A869" s="377" t="s">
        <v>5941</v>
      </c>
      <c r="B869" s="389" t="s">
        <v>214</v>
      </c>
    </row>
    <row r="870" spans="1:2" ht="14.4">
      <c r="A870" s="377" t="s">
        <v>5942</v>
      </c>
      <c r="B870" s="389" t="s">
        <v>217</v>
      </c>
    </row>
    <row r="871" spans="1:2" ht="14.4">
      <c r="A871" s="377" t="s">
        <v>5943</v>
      </c>
      <c r="B871" s="389" t="s">
        <v>219</v>
      </c>
    </row>
    <row r="872" spans="1:2" ht="14.4">
      <c r="A872" s="377" t="s">
        <v>222</v>
      </c>
      <c r="B872" s="185" t="s">
        <v>5668</v>
      </c>
    </row>
    <row r="873" spans="1:2" ht="14.4">
      <c r="A873" s="377" t="s">
        <v>223</v>
      </c>
      <c r="B873" s="185" t="s">
        <v>5668</v>
      </c>
    </row>
    <row r="874" spans="1:2" ht="14.4">
      <c r="A874" s="377" t="s">
        <v>231</v>
      </c>
      <c r="B874" s="185" t="s">
        <v>5668</v>
      </c>
    </row>
    <row r="875" spans="1:2" ht="14.4">
      <c r="A875" s="377" t="s">
        <v>5944</v>
      </c>
      <c r="B875" s="389" t="s">
        <v>267</v>
      </c>
    </row>
    <row r="876" spans="1:2" ht="14.4">
      <c r="A876" s="377" t="s">
        <v>5945</v>
      </c>
      <c r="B876" s="389" t="s">
        <v>280</v>
      </c>
    </row>
    <row r="877" spans="1:2" ht="14.4">
      <c r="A877" s="377" t="s">
        <v>5946</v>
      </c>
      <c r="B877" s="389" t="s">
        <v>288</v>
      </c>
    </row>
    <row r="878" spans="1:2" ht="14.4">
      <c r="A878" s="400" t="s">
        <v>5300</v>
      </c>
      <c r="B878" s="389" t="s">
        <v>5947</v>
      </c>
    </row>
    <row r="879" spans="1:2" ht="14.4">
      <c r="A879" s="400" t="s">
        <v>5303</v>
      </c>
      <c r="B879" s="389" t="s">
        <v>5948</v>
      </c>
    </row>
    <row r="880" spans="1:2" ht="14.4">
      <c r="A880" s="400" t="s">
        <v>5305</v>
      </c>
      <c r="B880" s="389" t="s">
        <v>5949</v>
      </c>
    </row>
    <row r="881" spans="1:2" ht="14.4">
      <c r="A881" s="400" t="s">
        <v>3623</v>
      </c>
      <c r="B881" s="185" t="s">
        <v>5668</v>
      </c>
    </row>
    <row r="882" spans="1:2" ht="14.4">
      <c r="A882" s="400" t="s">
        <v>5306</v>
      </c>
      <c r="B882" s="389" t="s">
        <v>5950</v>
      </c>
    </row>
    <row r="883" spans="1:2" ht="14.4">
      <c r="A883" s="400" t="s">
        <v>136</v>
      </c>
      <c r="B883" s="389" t="s">
        <v>5951</v>
      </c>
    </row>
    <row r="884" spans="1:2" ht="14.4">
      <c r="A884" s="400" t="s">
        <v>5312</v>
      </c>
      <c r="B884" s="389" t="s">
        <v>5952</v>
      </c>
    </row>
    <row r="885" spans="1:2" ht="14.4">
      <c r="A885" s="400" t="s">
        <v>5313</v>
      </c>
      <c r="B885" s="389" t="s">
        <v>5953</v>
      </c>
    </row>
    <row r="886" spans="1:2" ht="14.4">
      <c r="A886" s="400" t="s">
        <v>1636</v>
      </c>
      <c r="B886" s="389" t="s">
        <v>5954</v>
      </c>
    </row>
    <row r="887" spans="1:2" ht="14.4">
      <c r="A887" s="400" t="s">
        <v>5315</v>
      </c>
      <c r="B887" s="389" t="s">
        <v>5955</v>
      </c>
    </row>
    <row r="888" spans="1:2" ht="14.4">
      <c r="A888" s="400" t="s">
        <v>5316</v>
      </c>
      <c r="B888" s="185" t="s">
        <v>5668</v>
      </c>
    </row>
    <row r="889" spans="1:2" ht="14.4">
      <c r="A889" s="400" t="s">
        <v>5317</v>
      </c>
      <c r="B889" s="185" t="s">
        <v>5668</v>
      </c>
    </row>
    <row r="890" spans="1:2" ht="14.4">
      <c r="A890" s="400" t="s">
        <v>5319</v>
      </c>
      <c r="B890" s="389" t="s">
        <v>5956</v>
      </c>
    </row>
    <row r="891" spans="1:2" ht="14.4">
      <c r="A891" s="400" t="s">
        <v>5322</v>
      </c>
      <c r="B891" s="393" t="s">
        <v>5957</v>
      </c>
    </row>
    <row r="892" spans="1:2" ht="14.4">
      <c r="A892" s="400" t="s">
        <v>5323</v>
      </c>
      <c r="B892" s="185" t="s">
        <v>5668</v>
      </c>
    </row>
    <row r="893" spans="1:2" ht="14.4">
      <c r="A893" s="400" t="s">
        <v>5325</v>
      </c>
      <c r="B893" s="389" t="s">
        <v>5958</v>
      </c>
    </row>
    <row r="894" spans="1:2" ht="14.4">
      <c r="A894" s="400" t="s">
        <v>5326</v>
      </c>
      <c r="B894" s="389" t="s">
        <v>5959</v>
      </c>
    </row>
    <row r="895" spans="1:2" ht="14.4">
      <c r="A895" s="400" t="s">
        <v>5327</v>
      </c>
      <c r="B895" s="393" t="s">
        <v>5960</v>
      </c>
    </row>
    <row r="896" spans="1:2" ht="14.4">
      <c r="A896" s="400" t="s">
        <v>5332</v>
      </c>
      <c r="B896" s="389" t="s">
        <v>5961</v>
      </c>
    </row>
    <row r="897" spans="1:2" ht="14.4">
      <c r="A897" s="377" t="s">
        <v>2473</v>
      </c>
      <c r="B897" s="185" t="s">
        <v>5668</v>
      </c>
    </row>
    <row r="898" spans="1:2" ht="14.4">
      <c r="A898" s="377" t="s">
        <v>5962</v>
      </c>
      <c r="B898" s="389" t="s">
        <v>2475</v>
      </c>
    </row>
    <row r="899" spans="1:2" ht="14.4">
      <c r="A899" s="377" t="s">
        <v>5963</v>
      </c>
      <c r="B899" s="389" t="s">
        <v>2484</v>
      </c>
    </row>
    <row r="900" spans="1:2" ht="14.4">
      <c r="A900" s="377" t="s">
        <v>2501</v>
      </c>
      <c r="B900" s="185" t="s">
        <v>5668</v>
      </c>
    </row>
    <row r="901" spans="1:2" ht="14.4">
      <c r="A901" s="377" t="s">
        <v>5964</v>
      </c>
      <c r="B901" s="389" t="s">
        <v>2510</v>
      </c>
    </row>
    <row r="902" spans="1:2" ht="14.4">
      <c r="A902" s="388" t="s">
        <v>5965</v>
      </c>
      <c r="B902" s="389" t="s">
        <v>1653</v>
      </c>
    </row>
    <row r="903" spans="1:2" ht="14.4">
      <c r="A903" s="388" t="s">
        <v>196</v>
      </c>
      <c r="B903" s="389" t="s">
        <v>1656</v>
      </c>
    </row>
    <row r="904" spans="1:2" ht="13.2">
      <c r="A904" s="388" t="s">
        <v>1657</v>
      </c>
      <c r="B904" s="185" t="s">
        <v>5668</v>
      </c>
    </row>
    <row r="905" spans="1:2" ht="14.4">
      <c r="A905" s="388" t="s">
        <v>5966</v>
      </c>
      <c r="B905" s="389" t="s">
        <v>1660</v>
      </c>
    </row>
    <row r="906" spans="1:2" ht="13.2">
      <c r="A906" s="401" t="s">
        <v>4435</v>
      </c>
      <c r="B906" s="185" t="s">
        <v>5668</v>
      </c>
    </row>
    <row r="907" spans="1:2" ht="13.2">
      <c r="A907" s="401" t="s">
        <v>4436</v>
      </c>
      <c r="B907" s="185" t="s">
        <v>5668</v>
      </c>
    </row>
    <row r="908" spans="1:2" ht="13.2">
      <c r="A908" s="401" t="s">
        <v>4439</v>
      </c>
      <c r="B908" s="185" t="s">
        <v>5668</v>
      </c>
    </row>
    <row r="909" spans="1:2" ht="13.2">
      <c r="A909" s="401" t="s">
        <v>4448</v>
      </c>
      <c r="B909" s="185" t="s">
        <v>5668</v>
      </c>
    </row>
    <row r="910" spans="1:2" ht="13.2">
      <c r="A910" s="401" t="s">
        <v>4449</v>
      </c>
      <c r="B910" s="185" t="s">
        <v>5668</v>
      </c>
    </row>
    <row r="911" spans="1:2" ht="14.4">
      <c r="A911" s="401" t="s">
        <v>4450</v>
      </c>
      <c r="B911" s="389" t="s">
        <v>5967</v>
      </c>
    </row>
    <row r="912" spans="1:2" ht="14.4">
      <c r="A912" s="401" t="s">
        <v>3518</v>
      </c>
      <c r="B912" s="389" t="s">
        <v>5968</v>
      </c>
    </row>
    <row r="913" spans="1:2" ht="14.4">
      <c r="A913" s="401" t="s">
        <v>5969</v>
      </c>
      <c r="B913" s="389" t="s">
        <v>4451</v>
      </c>
    </row>
    <row r="914" spans="1:2" ht="14.4">
      <c r="A914" s="401" t="s">
        <v>5970</v>
      </c>
      <c r="B914" s="389" t="s">
        <v>4453</v>
      </c>
    </row>
    <row r="915" spans="1:2" ht="13.2">
      <c r="A915" s="401" t="s">
        <v>4455</v>
      </c>
      <c r="B915" s="185" t="s">
        <v>5971</v>
      </c>
    </row>
    <row r="916" spans="1:2" ht="14.4">
      <c r="A916" s="392" t="s">
        <v>5337</v>
      </c>
      <c r="B916" s="389" t="s">
        <v>5972</v>
      </c>
    </row>
    <row r="917" spans="1:2" ht="14.4">
      <c r="A917" s="400" t="s">
        <v>5338</v>
      </c>
      <c r="B917" s="185" t="s">
        <v>5971</v>
      </c>
    </row>
    <row r="918" spans="1:2" ht="14.4">
      <c r="A918" s="400" t="s">
        <v>5339</v>
      </c>
      <c r="B918" s="185" t="s">
        <v>5971</v>
      </c>
    </row>
    <row r="919" spans="1:2" ht="14.4">
      <c r="A919" s="400" t="s">
        <v>5340</v>
      </c>
      <c r="B919" s="185" t="s">
        <v>5668</v>
      </c>
    </row>
    <row r="920" spans="1:2" ht="14.4">
      <c r="A920" s="400" t="s">
        <v>1673</v>
      </c>
      <c r="B920" s="393" t="s">
        <v>5973</v>
      </c>
    </row>
    <row r="921" spans="1:2" ht="14.4">
      <c r="A921" s="400" t="s">
        <v>1675</v>
      </c>
      <c r="B921" s="185" t="s">
        <v>5668</v>
      </c>
    </row>
    <row r="922" spans="1:2" ht="14.4">
      <c r="A922" s="400" t="s">
        <v>5345</v>
      </c>
      <c r="B922" s="389" t="s">
        <v>5974</v>
      </c>
    </row>
    <row r="923" spans="1:2" ht="14.4">
      <c r="A923" s="400" t="s">
        <v>5346</v>
      </c>
      <c r="B923" s="389" t="s">
        <v>5975</v>
      </c>
    </row>
    <row r="924" spans="1:2" ht="14.4">
      <c r="A924" s="400" t="s">
        <v>5351</v>
      </c>
      <c r="B924" s="389" t="s">
        <v>5976</v>
      </c>
    </row>
    <row r="925" spans="1:2" ht="14.4">
      <c r="A925" s="400" t="s">
        <v>5352</v>
      </c>
      <c r="B925" s="389" t="s">
        <v>5977</v>
      </c>
    </row>
    <row r="926" spans="1:2" ht="14.4">
      <c r="A926" s="400" t="s">
        <v>5356</v>
      </c>
      <c r="B926" s="185" t="s">
        <v>5668</v>
      </c>
    </row>
    <row r="927" spans="1:2" ht="14.4">
      <c r="A927" s="400" t="s">
        <v>5358</v>
      </c>
      <c r="B927" s="389" t="s">
        <v>5978</v>
      </c>
    </row>
    <row r="928" spans="1:2" ht="14.4">
      <c r="A928" s="400" t="s">
        <v>5381</v>
      </c>
      <c r="B928" s="185" t="s">
        <v>5668</v>
      </c>
    </row>
    <row r="929" spans="1:2" ht="14.4">
      <c r="A929" s="400" t="s">
        <v>5388</v>
      </c>
      <c r="B929" s="389" t="s">
        <v>5979</v>
      </c>
    </row>
    <row r="930" spans="1:2" ht="14.4">
      <c r="A930" s="400" t="s">
        <v>3793</v>
      </c>
      <c r="B930" s="389" t="s">
        <v>5980</v>
      </c>
    </row>
    <row r="931" spans="1:2" ht="14.4">
      <c r="A931" s="400" t="s">
        <v>5410</v>
      </c>
      <c r="B931" s="185" t="s">
        <v>5668</v>
      </c>
    </row>
    <row r="932" spans="1:2" ht="14.4">
      <c r="A932" s="400" t="s">
        <v>5411</v>
      </c>
      <c r="B932" s="185" t="s">
        <v>5668</v>
      </c>
    </row>
    <row r="933" spans="1:2" ht="14.4">
      <c r="A933" s="400" t="s">
        <v>5412</v>
      </c>
      <c r="B933" s="389" t="s">
        <v>5981</v>
      </c>
    </row>
    <row r="934" spans="1:2" ht="14.4">
      <c r="A934" s="400" t="s">
        <v>5413</v>
      </c>
      <c r="B934" s="389" t="s">
        <v>5982</v>
      </c>
    </row>
    <row r="935" spans="1:2" ht="14.4">
      <c r="A935" s="400" t="s">
        <v>5414</v>
      </c>
      <c r="B935" s="185" t="s">
        <v>5668</v>
      </c>
    </row>
    <row r="936" spans="1:2" ht="14.4">
      <c r="A936" s="400" t="s">
        <v>5419</v>
      </c>
      <c r="B936" s="185" t="s">
        <v>5668</v>
      </c>
    </row>
    <row r="937" spans="1:2" ht="14.4">
      <c r="A937" s="377" t="s">
        <v>2524</v>
      </c>
      <c r="B937" s="185" t="s">
        <v>5668</v>
      </c>
    </row>
    <row r="938" spans="1:2" ht="14.4">
      <c r="A938" s="377" t="s">
        <v>2537</v>
      </c>
      <c r="B938" s="185" t="s">
        <v>5668</v>
      </c>
    </row>
    <row r="939" spans="1:2" ht="14.4">
      <c r="A939" s="377" t="s">
        <v>2553</v>
      </c>
      <c r="B939" s="185" t="s">
        <v>5668</v>
      </c>
    </row>
    <row r="940" spans="1:2" ht="14.4">
      <c r="A940" s="377" t="s">
        <v>2565</v>
      </c>
      <c r="B940" s="185" t="s">
        <v>5668</v>
      </c>
    </row>
    <row r="941" spans="1:2" ht="14.4">
      <c r="A941" s="377" t="s">
        <v>5983</v>
      </c>
      <c r="B941" s="389" t="s">
        <v>2566</v>
      </c>
    </row>
    <row r="942" spans="1:2" ht="14.4">
      <c r="A942" s="377" t="s">
        <v>2581</v>
      </c>
      <c r="B942" s="185" t="s">
        <v>5668</v>
      </c>
    </row>
    <row r="943" spans="1:2" ht="14.4">
      <c r="A943" s="377" t="s">
        <v>2585</v>
      </c>
      <c r="B943" s="185" t="s">
        <v>5668</v>
      </c>
    </row>
    <row r="944" spans="1:2" ht="14.4">
      <c r="A944" s="377" t="s">
        <v>5984</v>
      </c>
      <c r="B944" s="389" t="s">
        <v>2600</v>
      </c>
    </row>
    <row r="945" spans="1:2" ht="14.4">
      <c r="A945" s="377" t="s">
        <v>2639</v>
      </c>
      <c r="B945" s="185" t="s">
        <v>5668</v>
      </c>
    </row>
    <row r="946" spans="1:2" ht="14.4">
      <c r="A946" s="377" t="s">
        <v>5985</v>
      </c>
      <c r="B946" s="393" t="s">
        <v>2642</v>
      </c>
    </row>
    <row r="947" spans="1:2" ht="14.4">
      <c r="A947" s="406" t="s">
        <v>5986</v>
      </c>
      <c r="B947" s="389" t="s">
        <v>297</v>
      </c>
    </row>
    <row r="948" spans="1:2" ht="14.4">
      <c r="A948" s="399" t="s">
        <v>5099</v>
      </c>
      <c r="B948" s="185" t="s">
        <v>5668</v>
      </c>
    </row>
    <row r="949" spans="1:2" ht="14.4">
      <c r="A949" s="400" t="s">
        <v>5237</v>
      </c>
      <c r="B949" s="185" t="s">
        <v>5668</v>
      </c>
    </row>
    <row r="950" spans="1:2" ht="14.4">
      <c r="A950" s="377" t="s">
        <v>5987</v>
      </c>
      <c r="B950" s="389" t="s">
        <v>2094</v>
      </c>
    </row>
    <row r="951" spans="1:2" ht="14.4">
      <c r="A951" s="377" t="s">
        <v>5988</v>
      </c>
      <c r="B951" s="389" t="s">
        <v>2180</v>
      </c>
    </row>
    <row r="952" spans="1:2" ht="14.4">
      <c r="A952" s="377" t="s">
        <v>5989</v>
      </c>
      <c r="B952" s="407" t="s">
        <v>5990</v>
      </c>
    </row>
    <row r="953" spans="1:2" ht="14.4">
      <c r="A953" s="377" t="s">
        <v>5991</v>
      </c>
      <c r="B953" s="389" t="s">
        <v>2230</v>
      </c>
    </row>
    <row r="954" spans="1:2" ht="14.4">
      <c r="A954" s="377" t="s">
        <v>5992</v>
      </c>
      <c r="B954" s="389" t="s">
        <v>2236</v>
      </c>
    </row>
    <row r="955" spans="1:2" ht="14.4">
      <c r="A955" s="377" t="s">
        <v>2261</v>
      </c>
      <c r="B955" s="185" t="s">
        <v>5668</v>
      </c>
    </row>
    <row r="956" spans="1:2" ht="14.4">
      <c r="A956" s="377" t="s">
        <v>5993</v>
      </c>
      <c r="B956" s="389" t="s">
        <v>2275</v>
      </c>
    </row>
    <row r="957" spans="1:2" ht="14.4">
      <c r="A957" s="377" t="s">
        <v>2279</v>
      </c>
      <c r="B957" s="185" t="s">
        <v>5668</v>
      </c>
    </row>
    <row r="958" spans="1:2" ht="14.4">
      <c r="A958" s="377" t="s">
        <v>5994</v>
      </c>
      <c r="B958" s="389" t="s">
        <v>2403</v>
      </c>
    </row>
    <row r="959" spans="1:2" ht="13.2">
      <c r="A959" s="408" t="s">
        <v>2134</v>
      </c>
      <c r="B959" s="185" t="s">
        <v>5668</v>
      </c>
    </row>
    <row r="960" spans="1:2" ht="13.2">
      <c r="A960" s="401" t="s">
        <v>4462</v>
      </c>
      <c r="B960" s="185" t="s">
        <v>5668</v>
      </c>
    </row>
    <row r="961" spans="1:2" ht="13.2">
      <c r="A961" s="401" t="s">
        <v>4464</v>
      </c>
      <c r="B961" s="185" t="s">
        <v>5668</v>
      </c>
    </row>
    <row r="962" spans="1:2" ht="14.4">
      <c r="A962" s="401" t="s">
        <v>5995</v>
      </c>
      <c r="B962" s="393" t="s">
        <v>4465</v>
      </c>
    </row>
    <row r="963" spans="1:2" ht="14.4">
      <c r="A963" s="401" t="s">
        <v>5996</v>
      </c>
      <c r="B963" s="389" t="s">
        <v>4467</v>
      </c>
    </row>
    <row r="964" spans="1:2" ht="14.4">
      <c r="A964" s="401" t="s">
        <v>5997</v>
      </c>
      <c r="B964" s="389" t="s">
        <v>4472</v>
      </c>
    </row>
    <row r="965" spans="1:2" ht="13.2">
      <c r="A965" s="401" t="s">
        <v>4474</v>
      </c>
      <c r="B965" s="185" t="s">
        <v>5668</v>
      </c>
    </row>
    <row r="966" spans="1:2" ht="14.4">
      <c r="A966" s="401" t="s">
        <v>5998</v>
      </c>
      <c r="B966" s="389" t="s">
        <v>4477</v>
      </c>
    </row>
    <row r="967" spans="1:2" ht="14.4">
      <c r="A967" s="388" t="s">
        <v>5999</v>
      </c>
      <c r="B967" s="389" t="s">
        <v>1688</v>
      </c>
    </row>
    <row r="968" spans="1:2" ht="13.2">
      <c r="A968" s="388" t="s">
        <v>1752</v>
      </c>
      <c r="B968" s="185" t="s">
        <v>5668</v>
      </c>
    </row>
    <row r="969" spans="1:2" ht="14.4">
      <c r="A969" s="406" t="s">
        <v>6000</v>
      </c>
      <c r="B969" s="389" t="s">
        <v>232</v>
      </c>
    </row>
    <row r="970" spans="1:2" ht="14.4">
      <c r="A970" s="406" t="s">
        <v>6001</v>
      </c>
      <c r="B970" s="389" t="s">
        <v>307</v>
      </c>
    </row>
    <row r="971" spans="1:2" ht="14.4">
      <c r="A971" s="406" t="s">
        <v>844</v>
      </c>
      <c r="B971" s="185" t="s">
        <v>5668</v>
      </c>
    </row>
    <row r="972" spans="1:2" ht="13.2">
      <c r="A972" s="388" t="s">
        <v>1743</v>
      </c>
      <c r="B972" s="185" t="s">
        <v>6002</v>
      </c>
    </row>
    <row r="973" spans="1:2" ht="13.2">
      <c r="A973" s="388" t="s">
        <v>1492</v>
      </c>
      <c r="B973" s="185" t="s">
        <v>6002</v>
      </c>
    </row>
    <row r="974" spans="1:2" ht="13.2">
      <c r="A974" s="388" t="s">
        <v>1336</v>
      </c>
      <c r="B974" s="185" t="s">
        <v>5668</v>
      </c>
    </row>
    <row r="975" spans="1:2" ht="17.25" customHeight="1">
      <c r="A975" s="401" t="s">
        <v>6003</v>
      </c>
      <c r="B975" s="389" t="s">
        <v>4486</v>
      </c>
    </row>
    <row r="976" spans="1:2" ht="14.4">
      <c r="A976" s="401" t="s">
        <v>6004</v>
      </c>
      <c r="B976" s="389" t="s">
        <v>4493</v>
      </c>
    </row>
    <row r="977" spans="1:2" ht="14.4">
      <c r="A977" s="401" t="s">
        <v>6005</v>
      </c>
      <c r="B977" s="389" t="s">
        <v>4499</v>
      </c>
    </row>
    <row r="978" spans="1:2" ht="13.2">
      <c r="A978" s="401" t="s">
        <v>4506</v>
      </c>
      <c r="B978" s="185" t="s">
        <v>5668</v>
      </c>
    </row>
    <row r="979" spans="1:2" ht="14.4">
      <c r="A979" s="401" t="s">
        <v>6006</v>
      </c>
      <c r="B979" s="389" t="s">
        <v>4507</v>
      </c>
    </row>
    <row r="980" spans="1:2" ht="14.4">
      <c r="A980" s="401" t="s">
        <v>6007</v>
      </c>
      <c r="B980" s="389" t="s">
        <v>4511</v>
      </c>
    </row>
    <row r="981" spans="1:2" ht="13.2">
      <c r="A981" s="401" t="s">
        <v>4633</v>
      </c>
      <c r="B981" s="185" t="s">
        <v>5668</v>
      </c>
    </row>
    <row r="982" spans="1:2" ht="13.2">
      <c r="A982" s="401" t="s">
        <v>4636</v>
      </c>
      <c r="B982" s="185" t="s">
        <v>5668</v>
      </c>
    </row>
    <row r="983" spans="1:2" ht="14.4">
      <c r="A983" s="401" t="s">
        <v>6008</v>
      </c>
      <c r="B983" s="389" t="s">
        <v>4637</v>
      </c>
    </row>
    <row r="984" spans="1:2" ht="13.2">
      <c r="A984" s="401" t="s">
        <v>4640</v>
      </c>
      <c r="B984" s="185" t="s">
        <v>5788</v>
      </c>
    </row>
    <row r="985" spans="1:2" ht="14.4">
      <c r="A985" s="400" t="s">
        <v>5392</v>
      </c>
      <c r="B985" s="389" t="s">
        <v>6009</v>
      </c>
    </row>
    <row r="986" spans="1:2" ht="13.2">
      <c r="A986" s="388" t="s">
        <v>1162</v>
      </c>
      <c r="B986" s="185" t="s">
        <v>5668</v>
      </c>
    </row>
    <row r="987" spans="1:2" ht="13.2">
      <c r="A987" s="388" t="s">
        <v>1202</v>
      </c>
      <c r="B987" s="185" t="s">
        <v>5668</v>
      </c>
    </row>
    <row r="988" spans="1:2" ht="14.4">
      <c r="A988" s="377" t="s">
        <v>6010</v>
      </c>
      <c r="B988" s="389" t="s">
        <v>2504</v>
      </c>
    </row>
    <row r="989" spans="1:2" ht="14.4">
      <c r="A989" s="377" t="s">
        <v>2529</v>
      </c>
      <c r="B989" s="185" t="s">
        <v>5668</v>
      </c>
    </row>
    <row r="990" spans="1:2" ht="14.4">
      <c r="A990" s="377" t="s">
        <v>6011</v>
      </c>
      <c r="B990" s="389" t="s">
        <v>2530</v>
      </c>
    </row>
    <row r="991" spans="1:2" ht="13.2">
      <c r="A991" s="409" t="s">
        <v>2871</v>
      </c>
      <c r="B991" s="185" t="s">
        <v>5604</v>
      </c>
    </row>
    <row r="992" spans="1:2" ht="13.2">
      <c r="A992" s="409" t="s">
        <v>1070</v>
      </c>
      <c r="B992" s="185" t="s">
        <v>5604</v>
      </c>
    </row>
    <row r="993" spans="1:2" ht="14.4">
      <c r="A993" s="396" t="s">
        <v>6012</v>
      </c>
      <c r="B993" s="391" t="s">
        <v>3029</v>
      </c>
    </row>
    <row r="994" spans="1:2" ht="14.4">
      <c r="A994" s="377" t="s">
        <v>6013</v>
      </c>
      <c r="B994" s="389" t="s">
        <v>2619</v>
      </c>
    </row>
    <row r="995" spans="1:2" ht="14.4">
      <c r="A995" s="377" t="s">
        <v>6014</v>
      </c>
      <c r="B995" s="389" t="s">
        <v>2586</v>
      </c>
    </row>
    <row r="996" spans="1:2" ht="14.4">
      <c r="A996" s="396" t="s">
        <v>6015</v>
      </c>
      <c r="B996" s="391" t="s">
        <v>3035</v>
      </c>
    </row>
    <row r="997" spans="1:2" ht="14.4">
      <c r="A997" s="396" t="s">
        <v>3037</v>
      </c>
      <c r="B997" s="185" t="s">
        <v>5668</v>
      </c>
    </row>
    <row r="998" spans="1:2" ht="14.4">
      <c r="A998" s="396" t="s">
        <v>6016</v>
      </c>
      <c r="B998" s="389" t="s">
        <v>3039</v>
      </c>
    </row>
    <row r="999" spans="1:2" ht="14.4">
      <c r="A999" s="396" t="s">
        <v>3043</v>
      </c>
      <c r="B999" s="185" t="s">
        <v>5668</v>
      </c>
    </row>
    <row r="1000" spans="1:2" ht="13.2">
      <c r="A1000" s="404" t="s">
        <v>3045</v>
      </c>
      <c r="B1000" s="185" t="s">
        <v>5668</v>
      </c>
    </row>
    <row r="1001" spans="1:2" ht="14.4">
      <c r="A1001" s="396" t="s">
        <v>3047</v>
      </c>
      <c r="B1001" s="185" t="s">
        <v>5788</v>
      </c>
    </row>
    <row r="1002" spans="1:2" ht="14.4">
      <c r="A1002" s="396" t="s">
        <v>3053</v>
      </c>
      <c r="B1002" s="185" t="s">
        <v>5668</v>
      </c>
    </row>
    <row r="1003" spans="1:2" ht="14.4">
      <c r="A1003" s="396" t="s">
        <v>3055</v>
      </c>
      <c r="B1003" s="185" t="s">
        <v>5668</v>
      </c>
    </row>
    <row r="1004" spans="1:2" ht="14.4">
      <c r="A1004" s="396" t="s">
        <v>3065</v>
      </c>
      <c r="B1004" s="185" t="s">
        <v>5668</v>
      </c>
    </row>
    <row r="1005" spans="1:2" ht="14.4">
      <c r="A1005" s="396" t="s">
        <v>3066</v>
      </c>
      <c r="B1005" s="185" t="s">
        <v>5668</v>
      </c>
    </row>
    <row r="1006" spans="1:2" ht="14.4">
      <c r="A1006" s="396" t="s">
        <v>3068</v>
      </c>
      <c r="B1006" s="185" t="s">
        <v>5668</v>
      </c>
    </row>
    <row r="1007" spans="1:2" ht="14.4">
      <c r="A1007" s="396" t="s">
        <v>3070</v>
      </c>
      <c r="B1007" s="185" t="s">
        <v>5668</v>
      </c>
    </row>
    <row r="1008" spans="1:2" ht="14.4">
      <c r="A1008" s="396" t="s">
        <v>6017</v>
      </c>
      <c r="B1008" s="389" t="s">
        <v>3075</v>
      </c>
    </row>
    <row r="1009" spans="1:2" ht="14.4">
      <c r="A1009" s="396" t="s">
        <v>3081</v>
      </c>
      <c r="B1009" s="185" t="s">
        <v>5668</v>
      </c>
    </row>
    <row r="1010" spans="1:2" ht="14.4">
      <c r="A1010" s="396" t="s">
        <v>3087</v>
      </c>
      <c r="B1010" s="185" t="s">
        <v>5668</v>
      </c>
    </row>
    <row r="1011" spans="1:2" ht="14.4">
      <c r="A1011" s="396" t="s">
        <v>3089</v>
      </c>
      <c r="B1011" s="185" t="s">
        <v>5668</v>
      </c>
    </row>
    <row r="1012" spans="1:2" ht="14.4">
      <c r="A1012" s="396" t="s">
        <v>3091</v>
      </c>
      <c r="B1012" s="185" t="s">
        <v>5668</v>
      </c>
    </row>
    <row r="1013" spans="1:2" ht="14.4">
      <c r="A1013" s="396" t="s">
        <v>6018</v>
      </c>
      <c r="B1013" s="389" t="s">
        <v>3101</v>
      </c>
    </row>
    <row r="1014" spans="1:2" ht="14.4">
      <c r="A1014" s="396" t="s">
        <v>6019</v>
      </c>
      <c r="B1014" s="389" t="s">
        <v>3104</v>
      </c>
    </row>
    <row r="1015" spans="1:2" ht="14.4">
      <c r="A1015" s="396" t="s">
        <v>3106</v>
      </c>
      <c r="B1015" s="185" t="s">
        <v>5668</v>
      </c>
    </row>
    <row r="1016" spans="1:2" ht="14.4">
      <c r="A1016" s="396" t="s">
        <v>3111</v>
      </c>
      <c r="B1016" s="185" t="s">
        <v>5668</v>
      </c>
    </row>
    <row r="1017" spans="1:2" ht="14.4">
      <c r="A1017" s="396" t="s">
        <v>3113</v>
      </c>
      <c r="B1017" s="185" t="s">
        <v>5668</v>
      </c>
    </row>
    <row r="1018" spans="1:2" ht="14.4">
      <c r="A1018" s="396" t="s">
        <v>3114</v>
      </c>
      <c r="B1018" s="185" t="s">
        <v>5668</v>
      </c>
    </row>
    <row r="1019" spans="1:2" ht="14.4">
      <c r="A1019" s="396" t="s">
        <v>3118</v>
      </c>
      <c r="B1019" s="185" t="s">
        <v>5668</v>
      </c>
    </row>
    <row r="1020" spans="1:2" ht="14.4">
      <c r="A1020" s="396" t="s">
        <v>3120</v>
      </c>
      <c r="B1020" s="185" t="s">
        <v>5668</v>
      </c>
    </row>
    <row r="1021" spans="1:2" ht="14.4">
      <c r="A1021" s="396" t="s">
        <v>6020</v>
      </c>
      <c r="B1021" s="389" t="s">
        <v>3122</v>
      </c>
    </row>
    <row r="1022" spans="1:2" ht="14.4">
      <c r="A1022" s="396" t="s">
        <v>3130</v>
      </c>
      <c r="B1022" s="185" t="s">
        <v>5668</v>
      </c>
    </row>
    <row r="1023" spans="1:2" ht="14.4">
      <c r="A1023" s="396" t="s">
        <v>6021</v>
      </c>
      <c r="B1023" s="389" t="s">
        <v>3132</v>
      </c>
    </row>
    <row r="1024" spans="1:2" ht="14.4">
      <c r="A1024" s="396" t="s">
        <v>3134</v>
      </c>
      <c r="B1024" s="185" t="s">
        <v>5668</v>
      </c>
    </row>
    <row r="1025" spans="1:2" ht="14.4">
      <c r="A1025" s="396" t="s">
        <v>6022</v>
      </c>
      <c r="B1025" s="389" t="s">
        <v>3135</v>
      </c>
    </row>
    <row r="1026" spans="1:2" ht="14.4">
      <c r="A1026" s="396" t="s">
        <v>3137</v>
      </c>
      <c r="B1026" s="185" t="s">
        <v>5668</v>
      </c>
    </row>
    <row r="1027" spans="1:2" ht="14.4">
      <c r="A1027" s="396" t="s">
        <v>3143</v>
      </c>
      <c r="B1027" s="185" t="s">
        <v>5668</v>
      </c>
    </row>
    <row r="1028" spans="1:2" ht="14.4">
      <c r="A1028" s="396" t="s">
        <v>6023</v>
      </c>
      <c r="B1028" s="389" t="s">
        <v>3145</v>
      </c>
    </row>
    <row r="1029" spans="1:2" ht="14.4">
      <c r="A1029" s="396" t="s">
        <v>3152</v>
      </c>
      <c r="B1029" s="185" t="s">
        <v>5668</v>
      </c>
    </row>
    <row r="1030" spans="1:2" ht="14.4">
      <c r="A1030" s="396" t="s">
        <v>6024</v>
      </c>
      <c r="B1030" s="389" t="s">
        <v>3154</v>
      </c>
    </row>
    <row r="1031" spans="1:2" ht="14.4">
      <c r="A1031" s="396" t="s">
        <v>3158</v>
      </c>
      <c r="B1031" s="185" t="s">
        <v>5668</v>
      </c>
    </row>
    <row r="1032" spans="1:2" ht="14.4">
      <c r="A1032" s="396" t="s">
        <v>3160</v>
      </c>
      <c r="B1032" s="185" t="s">
        <v>5668</v>
      </c>
    </row>
    <row r="1033" spans="1:2" ht="14.4">
      <c r="A1033" s="396" t="s">
        <v>3166</v>
      </c>
      <c r="B1033" s="185" t="s">
        <v>6025</v>
      </c>
    </row>
    <row r="1034" spans="1:2" ht="14.4">
      <c r="A1034" s="396" t="s">
        <v>6026</v>
      </c>
      <c r="B1034" s="389" t="s">
        <v>3176</v>
      </c>
    </row>
    <row r="1035" spans="1:2" ht="14.4">
      <c r="A1035" s="396" t="s">
        <v>3182</v>
      </c>
      <c r="B1035" s="185" t="s">
        <v>5668</v>
      </c>
    </row>
    <row r="1036" spans="1:2" ht="14.4">
      <c r="A1036" s="396" t="s">
        <v>3183</v>
      </c>
      <c r="B1036" s="185" t="s">
        <v>5668</v>
      </c>
    </row>
    <row r="1037" spans="1:2" ht="14.4">
      <c r="A1037" s="396" t="s">
        <v>6027</v>
      </c>
      <c r="B1037" s="389" t="s">
        <v>3185</v>
      </c>
    </row>
    <row r="1038" spans="1:2" ht="14.4">
      <c r="A1038" s="396" t="s">
        <v>3188</v>
      </c>
      <c r="B1038" s="185" t="s">
        <v>5668</v>
      </c>
    </row>
    <row r="1039" spans="1:2" ht="14.4">
      <c r="A1039" s="396" t="s">
        <v>6028</v>
      </c>
      <c r="B1039" s="389" t="s">
        <v>3193</v>
      </c>
    </row>
    <row r="1040" spans="1:2" ht="14.4">
      <c r="A1040" s="396" t="s">
        <v>6029</v>
      </c>
      <c r="B1040" s="389" t="s">
        <v>3195</v>
      </c>
    </row>
    <row r="1041" spans="1:2" ht="14.4">
      <c r="A1041" s="396" t="s">
        <v>3200</v>
      </c>
      <c r="B1041" s="185" t="s">
        <v>5668</v>
      </c>
    </row>
    <row r="1042" spans="1:2" ht="14.4">
      <c r="A1042" s="396" t="s">
        <v>6030</v>
      </c>
      <c r="B1042" s="389" t="s">
        <v>3202</v>
      </c>
    </row>
    <row r="1043" spans="1:2" ht="14.4">
      <c r="A1043" s="396" t="s">
        <v>5056</v>
      </c>
      <c r="B1043" s="389" t="s">
        <v>3204</v>
      </c>
    </row>
    <row r="1044" spans="1:2" ht="14.4">
      <c r="A1044" s="396" t="s">
        <v>3206</v>
      </c>
      <c r="B1044" s="185" t="s">
        <v>5668</v>
      </c>
    </row>
    <row r="1045" spans="1:2" ht="14.4">
      <c r="A1045" s="396" t="s">
        <v>6031</v>
      </c>
      <c r="B1045" s="389" t="s">
        <v>3208</v>
      </c>
    </row>
    <row r="1046" spans="1:2" ht="14.4">
      <c r="A1046" s="396" t="s">
        <v>3212</v>
      </c>
      <c r="B1046" s="185" t="s">
        <v>5668</v>
      </c>
    </row>
    <row r="1047" spans="1:2" ht="14.4">
      <c r="A1047" s="396" t="s">
        <v>6032</v>
      </c>
      <c r="B1047" s="389" t="s">
        <v>3217</v>
      </c>
    </row>
    <row r="1048" spans="1:2" ht="14.4">
      <c r="A1048" s="396" t="s">
        <v>3229</v>
      </c>
      <c r="B1048" s="185" t="s">
        <v>5668</v>
      </c>
    </row>
    <row r="1049" spans="1:2" ht="14.4">
      <c r="A1049" s="396" t="s">
        <v>3233</v>
      </c>
      <c r="B1049" s="185" t="s">
        <v>5668</v>
      </c>
    </row>
    <row r="1050" spans="1:2" ht="14.4">
      <c r="A1050" s="396" t="s">
        <v>3235</v>
      </c>
      <c r="B1050" s="185" t="s">
        <v>5668</v>
      </c>
    </row>
    <row r="1051" spans="1:2" ht="14.4">
      <c r="A1051" s="396" t="s">
        <v>3236</v>
      </c>
      <c r="B1051" s="185" t="s">
        <v>5668</v>
      </c>
    </row>
    <row r="1052" spans="1:2" ht="14.4">
      <c r="A1052" s="396" t="s">
        <v>3240</v>
      </c>
      <c r="B1052" s="185" t="s">
        <v>5668</v>
      </c>
    </row>
    <row r="1053" spans="1:2" ht="14.4">
      <c r="A1053" s="396" t="s">
        <v>6033</v>
      </c>
      <c r="B1053" s="389" t="s">
        <v>643</v>
      </c>
    </row>
    <row r="1054" spans="1:2" ht="13.2">
      <c r="A1054" s="401" t="s">
        <v>4500</v>
      </c>
      <c r="B1054" s="185" t="s">
        <v>5604</v>
      </c>
    </row>
    <row r="1055" spans="1:2" ht="14.4">
      <c r="A1055" s="401" t="s">
        <v>6034</v>
      </c>
      <c r="B1055" s="389" t="s">
        <v>4523</v>
      </c>
    </row>
    <row r="1056" spans="1:2" ht="14.4">
      <c r="A1056" s="401" t="s">
        <v>6035</v>
      </c>
      <c r="B1056" s="389" t="s">
        <v>4532</v>
      </c>
    </row>
    <row r="1057" spans="1:2" ht="14.4">
      <c r="A1057" s="401" t="s">
        <v>6036</v>
      </c>
      <c r="B1057" s="389" t="s">
        <v>4535</v>
      </c>
    </row>
    <row r="1058" spans="1:2" ht="14.4">
      <c r="A1058" s="401" t="s">
        <v>6037</v>
      </c>
      <c r="B1058" s="389" t="s">
        <v>4539</v>
      </c>
    </row>
    <row r="1059" spans="1:2" ht="14.4">
      <c r="A1059" s="401" t="s">
        <v>6038</v>
      </c>
      <c r="B1059" s="389" t="s">
        <v>4541</v>
      </c>
    </row>
    <row r="1060" spans="1:2" ht="14.4">
      <c r="A1060" s="401" t="s">
        <v>6039</v>
      </c>
      <c r="B1060" s="389" t="s">
        <v>4547</v>
      </c>
    </row>
    <row r="1061" spans="1:2" ht="14.4">
      <c r="A1061" s="401" t="s">
        <v>6040</v>
      </c>
      <c r="B1061" s="389" t="s">
        <v>4556</v>
      </c>
    </row>
    <row r="1062" spans="1:2" ht="14.4">
      <c r="A1062" s="401" t="s">
        <v>6041</v>
      </c>
      <c r="B1062" s="389" t="s">
        <v>4565</v>
      </c>
    </row>
    <row r="1063" spans="1:2" ht="14.4">
      <c r="A1063" s="401" t="s">
        <v>6042</v>
      </c>
      <c r="B1063" s="389" t="s">
        <v>4576</v>
      </c>
    </row>
    <row r="1064" spans="1:2" ht="14.4">
      <c r="A1064" s="401" t="s">
        <v>6043</v>
      </c>
      <c r="B1064" s="389" t="s">
        <v>4583</v>
      </c>
    </row>
    <row r="1065" spans="1:2" ht="14.4">
      <c r="A1065" s="401" t="s">
        <v>6044</v>
      </c>
      <c r="B1065" s="389" t="s">
        <v>4586</v>
      </c>
    </row>
    <row r="1066" spans="1:2" ht="18.75" customHeight="1">
      <c r="A1066" s="401" t="s">
        <v>6045</v>
      </c>
      <c r="B1066" s="389" t="s">
        <v>4588</v>
      </c>
    </row>
    <row r="1067" spans="1:2" ht="14.4">
      <c r="A1067" s="401" t="s">
        <v>6046</v>
      </c>
      <c r="B1067" s="389" t="s">
        <v>4593</v>
      </c>
    </row>
    <row r="1068" spans="1:2" ht="14.4">
      <c r="A1068" s="401" t="s">
        <v>6047</v>
      </c>
      <c r="B1068" s="389" t="s">
        <v>4597</v>
      </c>
    </row>
    <row r="1069" spans="1:2" ht="13.2">
      <c r="A1069" s="401" t="s">
        <v>4599</v>
      </c>
      <c r="B1069" s="185" t="s">
        <v>5668</v>
      </c>
    </row>
    <row r="1070" spans="1:2" ht="14.4">
      <c r="A1070" s="401" t="s">
        <v>6048</v>
      </c>
      <c r="B1070" s="393" t="s">
        <v>4600</v>
      </c>
    </row>
    <row r="1071" spans="1:2" ht="14.4">
      <c r="A1071" s="401" t="s">
        <v>6049</v>
      </c>
      <c r="B1071" s="389" t="s">
        <v>4602</v>
      </c>
    </row>
    <row r="1072" spans="1:2" ht="13.2">
      <c r="A1072" s="401" t="s">
        <v>4605</v>
      </c>
      <c r="B1072" s="185" t="s">
        <v>5668</v>
      </c>
    </row>
    <row r="1073" spans="1:2" ht="14.4">
      <c r="A1073" s="401" t="s">
        <v>6050</v>
      </c>
      <c r="B1073" s="389" t="s">
        <v>4610</v>
      </c>
    </row>
    <row r="1074" spans="1:2" ht="14.4">
      <c r="A1074" s="401" t="s">
        <v>6051</v>
      </c>
      <c r="B1074" s="389" t="s">
        <v>4619</v>
      </c>
    </row>
    <row r="1075" spans="1:2" ht="14.4">
      <c r="A1075" s="401" t="s">
        <v>294</v>
      </c>
      <c r="B1075" s="389" t="s">
        <v>4627</v>
      </c>
    </row>
    <row r="1076" spans="1:2" ht="13.2">
      <c r="A1076" s="401" t="s">
        <v>3790</v>
      </c>
      <c r="B1076" s="185" t="s">
        <v>5668</v>
      </c>
    </row>
    <row r="1077" spans="1:2" ht="13.2">
      <c r="A1077" s="401" t="s">
        <v>4632</v>
      </c>
      <c r="B1077" s="185" t="s">
        <v>5668</v>
      </c>
    </row>
    <row r="1078" spans="1:2" ht="14.4">
      <c r="A1078" s="396" t="s">
        <v>3210</v>
      </c>
      <c r="B1078" s="185" t="s">
        <v>5788</v>
      </c>
    </row>
    <row r="1079" spans="1:2" ht="14.4">
      <c r="A1079" s="396" t="s">
        <v>6052</v>
      </c>
      <c r="B1079" s="389" t="s">
        <v>3214</v>
      </c>
    </row>
    <row r="1080" spans="1:2" ht="14.4">
      <c r="A1080" s="396" t="s">
        <v>3250</v>
      </c>
      <c r="B1080" s="185" t="s">
        <v>5668</v>
      </c>
    </row>
    <row r="1081" spans="1:2" ht="14.4">
      <c r="A1081" s="396" t="s">
        <v>3257</v>
      </c>
      <c r="B1081" s="185" t="s">
        <v>5668</v>
      </c>
    </row>
    <row r="1082" spans="1:2" ht="14.4">
      <c r="A1082" s="396" t="s">
        <v>6053</v>
      </c>
      <c r="B1082" s="389" t="s">
        <v>3258</v>
      </c>
    </row>
    <row r="1083" spans="1:2" ht="14.4">
      <c r="A1083" s="396" t="s">
        <v>6054</v>
      </c>
      <c r="B1083" s="389" t="s">
        <v>2738</v>
      </c>
    </row>
    <row r="1084" spans="1:2" ht="14.4">
      <c r="A1084" s="396" t="s">
        <v>3262</v>
      </c>
      <c r="B1084" s="185" t="s">
        <v>5668</v>
      </c>
    </row>
    <row r="1085" spans="1:2" ht="14.4">
      <c r="A1085" s="396" t="s">
        <v>3273</v>
      </c>
      <c r="B1085" s="185" t="s">
        <v>5668</v>
      </c>
    </row>
    <row r="1086" spans="1:2" ht="14.4">
      <c r="A1086" s="396" t="s">
        <v>3291</v>
      </c>
      <c r="B1086" s="185" t="s">
        <v>5668</v>
      </c>
    </row>
    <row r="1087" spans="1:2" ht="14.4">
      <c r="A1087" s="396" t="s">
        <v>6055</v>
      </c>
      <c r="B1087" s="389" t="s">
        <v>3296</v>
      </c>
    </row>
    <row r="1088" spans="1:2" ht="14.4">
      <c r="A1088" s="396" t="s">
        <v>6056</v>
      </c>
      <c r="B1088" s="389" t="s">
        <v>3298</v>
      </c>
    </row>
    <row r="1089" spans="1:2" ht="14.4">
      <c r="A1089" s="396" t="s">
        <v>6057</v>
      </c>
      <c r="B1089" s="389" t="s">
        <v>3304</v>
      </c>
    </row>
    <row r="1090" spans="1:2" ht="14.4">
      <c r="A1090" s="396" t="s">
        <v>6058</v>
      </c>
      <c r="B1090" s="389" t="s">
        <v>3306</v>
      </c>
    </row>
    <row r="1091" spans="1:2" ht="14.4">
      <c r="A1091" s="396" t="s">
        <v>6059</v>
      </c>
      <c r="B1091" s="389" t="s">
        <v>3385</v>
      </c>
    </row>
    <row r="1092" spans="1:2" ht="13.8">
      <c r="A1092" s="392" t="s">
        <v>3394</v>
      </c>
      <c r="B1092" s="185" t="s">
        <v>5668</v>
      </c>
    </row>
    <row r="1093" spans="1:2" ht="14.4">
      <c r="A1093" s="396" t="s">
        <v>3399</v>
      </c>
      <c r="B1093" s="185" t="s">
        <v>5668</v>
      </c>
    </row>
    <row r="1094" spans="1:2" ht="14.4">
      <c r="A1094" s="396" t="s">
        <v>6060</v>
      </c>
      <c r="B1094" s="389" t="s">
        <v>3429</v>
      </c>
    </row>
    <row r="1095" spans="1:2" ht="14.4">
      <c r="A1095" s="396" t="s">
        <v>3431</v>
      </c>
      <c r="B1095" s="185" t="s">
        <v>5668</v>
      </c>
    </row>
    <row r="1096" spans="1:2" ht="14.4">
      <c r="A1096" s="396" t="s">
        <v>3439</v>
      </c>
      <c r="B1096" s="185" t="s">
        <v>5668</v>
      </c>
    </row>
    <row r="1097" spans="1:2" ht="14.4">
      <c r="A1097" s="396" t="s">
        <v>3454</v>
      </c>
      <c r="B1097" s="185" t="s">
        <v>5668</v>
      </c>
    </row>
    <row r="1098" spans="1:2" ht="14.4">
      <c r="A1098" s="396" t="s">
        <v>3456</v>
      </c>
      <c r="B1098" s="185" t="s">
        <v>5668</v>
      </c>
    </row>
    <row r="1099" spans="1:2" ht="14.4">
      <c r="A1099" s="396" t="s">
        <v>3459</v>
      </c>
      <c r="B1099" s="273" t="s">
        <v>5668</v>
      </c>
    </row>
    <row r="1100" spans="1:2" ht="14.4">
      <c r="A1100" s="396" t="s">
        <v>6061</v>
      </c>
      <c r="B1100" s="389" t="s">
        <v>3463</v>
      </c>
    </row>
    <row r="1101" spans="1:2" ht="14.4">
      <c r="A1101" s="396" t="s">
        <v>3469</v>
      </c>
      <c r="B1101" s="273" t="s">
        <v>5668</v>
      </c>
    </row>
    <row r="1102" spans="1:2" ht="14.4">
      <c r="A1102" s="396" t="s">
        <v>6062</v>
      </c>
      <c r="B1102" s="389" t="s">
        <v>3471</v>
      </c>
    </row>
    <row r="1103" spans="1:2" ht="14.4">
      <c r="A1103" s="396" t="s">
        <v>6063</v>
      </c>
      <c r="B1103" s="389" t="s">
        <v>3473</v>
      </c>
    </row>
    <row r="1104" spans="1:2" ht="14.4">
      <c r="A1104" s="396" t="s">
        <v>6064</v>
      </c>
      <c r="B1104" s="389" t="s">
        <v>3486</v>
      </c>
    </row>
    <row r="1105" spans="1:2" ht="14.4">
      <c r="A1105" s="396" t="s">
        <v>3498</v>
      </c>
      <c r="B1105" s="185" t="s">
        <v>5668</v>
      </c>
    </row>
    <row r="1106" spans="1:2" ht="14.4">
      <c r="A1106" s="396" t="s">
        <v>6065</v>
      </c>
      <c r="B1106" s="407" t="s">
        <v>3509</v>
      </c>
    </row>
    <row r="1107" spans="1:2" ht="14.4">
      <c r="A1107" s="396" t="s">
        <v>3511</v>
      </c>
      <c r="B1107" s="185" t="s">
        <v>5668</v>
      </c>
    </row>
    <row r="1108" spans="1:2" ht="14.4">
      <c r="A1108" s="396" t="s">
        <v>3551</v>
      </c>
      <c r="B1108" s="185" t="s">
        <v>5668</v>
      </c>
    </row>
    <row r="1109" spans="1:2" ht="14.4">
      <c r="A1109" s="396" t="s">
        <v>6066</v>
      </c>
      <c r="B1109" s="407" t="s">
        <v>3588</v>
      </c>
    </row>
    <row r="1110" spans="1:2" ht="14.4">
      <c r="A1110" s="396" t="s">
        <v>6067</v>
      </c>
      <c r="B1110" s="407" t="s">
        <v>3651</v>
      </c>
    </row>
    <row r="1111" spans="1:2" ht="14.4">
      <c r="A1111" s="396" t="s">
        <v>6068</v>
      </c>
      <c r="B1111" s="407" t="s">
        <v>3658</v>
      </c>
    </row>
    <row r="1112" spans="1:2" ht="14.4">
      <c r="A1112" s="396" t="s">
        <v>3674</v>
      </c>
      <c r="B1112" s="185" t="s">
        <v>5668</v>
      </c>
    </row>
    <row r="1113" spans="1:2" ht="14.4">
      <c r="A1113" s="396" t="s">
        <v>6069</v>
      </c>
      <c r="B1113" s="407" t="s">
        <v>3690</v>
      </c>
    </row>
    <row r="1114" spans="1:2" ht="14.4">
      <c r="A1114" s="396" t="s">
        <v>3743</v>
      </c>
      <c r="B1114" s="185" t="s">
        <v>5668</v>
      </c>
    </row>
    <row r="1115" spans="1:2" ht="14.4">
      <c r="A1115" s="396" t="s">
        <v>6070</v>
      </c>
      <c r="B1115" s="407" t="s">
        <v>3744</v>
      </c>
    </row>
    <row r="1116" spans="1:2" ht="14.4">
      <c r="A1116" s="396" t="s">
        <v>6071</v>
      </c>
      <c r="B1116" s="407" t="s">
        <v>3746</v>
      </c>
    </row>
    <row r="1117" spans="1:2" ht="14.4">
      <c r="A1117" s="396" t="s">
        <v>6072</v>
      </c>
      <c r="B1117" s="407" t="s">
        <v>3749</v>
      </c>
    </row>
    <row r="1118" spans="1:2" ht="14.4">
      <c r="A1118" s="396" t="s">
        <v>5373</v>
      </c>
      <c r="B1118" s="407" t="s">
        <v>3755</v>
      </c>
    </row>
    <row r="1119" spans="1:2" ht="14.4">
      <c r="A1119" s="396" t="s">
        <v>6073</v>
      </c>
      <c r="B1119" s="407" t="s">
        <v>3773</v>
      </c>
    </row>
    <row r="1120" spans="1:2" ht="14.4">
      <c r="A1120" s="410" t="s">
        <v>3777</v>
      </c>
      <c r="B1120" s="185" t="s">
        <v>5668</v>
      </c>
    </row>
    <row r="1121" spans="1:2" ht="14.4">
      <c r="A1121" s="396" t="s">
        <v>6074</v>
      </c>
      <c r="B1121" s="407" t="s">
        <v>3785</v>
      </c>
    </row>
    <row r="1122" spans="1:2" ht="13.2">
      <c r="A1122" s="404" t="s">
        <v>5422</v>
      </c>
      <c r="B1122" s="185" t="s">
        <v>5668</v>
      </c>
    </row>
    <row r="1123" spans="1:2" ht="14.4">
      <c r="A1123" s="404" t="s">
        <v>5423</v>
      </c>
      <c r="B1123" s="407" t="s">
        <v>6075</v>
      </c>
    </row>
    <row r="1124" spans="1:2" ht="13.2">
      <c r="A1124" s="404" t="s">
        <v>5428</v>
      </c>
      <c r="B1124" s="185" t="s">
        <v>5668</v>
      </c>
    </row>
    <row r="1125" spans="1:2" ht="13.2">
      <c r="A1125" s="404" t="s">
        <v>5429</v>
      </c>
      <c r="B1125" s="185" t="s">
        <v>5668</v>
      </c>
    </row>
    <row r="1126" spans="1:2" ht="13.2">
      <c r="A1126" s="404" t="s">
        <v>5430</v>
      </c>
      <c r="B1126" s="185" t="s">
        <v>5668</v>
      </c>
    </row>
    <row r="1127" spans="1:2" ht="13.2">
      <c r="A1127" s="404" t="s">
        <v>5435</v>
      </c>
      <c r="B1127" s="185" t="s">
        <v>5668</v>
      </c>
    </row>
    <row r="1128" spans="1:2" ht="14.4">
      <c r="A1128" s="404" t="s">
        <v>3816</v>
      </c>
      <c r="B1128" s="407" t="s">
        <v>6076</v>
      </c>
    </row>
    <row r="1129" spans="1:2" ht="13.2">
      <c r="A1129" s="404" t="s">
        <v>5437</v>
      </c>
      <c r="B1129" s="185" t="s">
        <v>5668</v>
      </c>
    </row>
    <row r="1130" spans="1:2" ht="14.4">
      <c r="A1130" s="404" t="s">
        <v>5448</v>
      </c>
      <c r="B1130" s="407" t="s">
        <v>6077</v>
      </c>
    </row>
    <row r="1131" spans="1:2" ht="13.2">
      <c r="A1131" s="404" t="s">
        <v>5452</v>
      </c>
      <c r="B1131" s="185" t="s">
        <v>5668</v>
      </c>
    </row>
    <row r="1132" spans="1:2" ht="13.2">
      <c r="A1132" s="404" t="s">
        <v>5453</v>
      </c>
      <c r="B1132" s="185" t="s">
        <v>5668</v>
      </c>
    </row>
    <row r="1133" spans="1:2" ht="14.4">
      <c r="A1133" s="404" t="s">
        <v>1795</v>
      </c>
      <c r="B1133" s="407" t="s">
        <v>6078</v>
      </c>
    </row>
    <row r="1134" spans="1:2" ht="14.4">
      <c r="A1134" s="404" t="s">
        <v>5462</v>
      </c>
      <c r="B1134" s="407" t="s">
        <v>6079</v>
      </c>
    </row>
    <row r="1135" spans="1:2" ht="13.2">
      <c r="A1135" s="404" t="s">
        <v>5464</v>
      </c>
      <c r="B1135" s="185" t="s">
        <v>5668</v>
      </c>
    </row>
    <row r="1136" spans="1:2" ht="13.2">
      <c r="A1136" s="404" t="s">
        <v>5471</v>
      </c>
      <c r="B1136" s="185" t="s">
        <v>5668</v>
      </c>
    </row>
    <row r="1137" spans="1:2" ht="14.4">
      <c r="A1137" s="404" t="s">
        <v>5474</v>
      </c>
      <c r="B1137" s="407" t="s">
        <v>6080</v>
      </c>
    </row>
    <row r="1138" spans="1:2" ht="13.2">
      <c r="A1138" s="404" t="s">
        <v>5478</v>
      </c>
      <c r="B1138" s="185" t="s">
        <v>5668</v>
      </c>
    </row>
    <row r="1139" spans="1:2" ht="13.2">
      <c r="A1139" s="411" t="s">
        <v>4687</v>
      </c>
      <c r="B1139" s="185" t="s">
        <v>5668</v>
      </c>
    </row>
    <row r="1140" spans="1:2" ht="14.4">
      <c r="A1140" s="404" t="s">
        <v>5479</v>
      </c>
      <c r="B1140" s="407" t="s">
        <v>6081</v>
      </c>
    </row>
    <row r="1141" spans="1:2" ht="14.4">
      <c r="A1141" s="404" t="s">
        <v>5563</v>
      </c>
      <c r="B1141" s="407" t="s">
        <v>6082</v>
      </c>
    </row>
    <row r="1142" spans="1:2" ht="14.4">
      <c r="A1142" s="404" t="s">
        <v>3985</v>
      </c>
      <c r="B1142" s="407" t="s">
        <v>6083</v>
      </c>
    </row>
    <row r="1143" spans="1:2" ht="13.2">
      <c r="A1143" s="404" t="s">
        <v>5574</v>
      </c>
      <c r="B1143" s="185" t="s">
        <v>5668</v>
      </c>
    </row>
    <row r="1144" spans="1:2" ht="14.4">
      <c r="A1144" s="404" t="s">
        <v>5585</v>
      </c>
      <c r="B1144" s="407" t="s">
        <v>6084</v>
      </c>
    </row>
    <row r="1145" spans="1:2" ht="14.4">
      <c r="A1145" s="404" t="s">
        <v>5593</v>
      </c>
      <c r="B1145" s="407" t="s">
        <v>6085</v>
      </c>
    </row>
    <row r="1146" spans="1:2" ht="13.2">
      <c r="A1146" s="404" t="s">
        <v>5481</v>
      </c>
      <c r="B1146" s="185" t="s">
        <v>5668</v>
      </c>
    </row>
    <row r="1147" spans="1:2" ht="13.2">
      <c r="A1147" s="404" t="s">
        <v>5482</v>
      </c>
      <c r="B1147" s="185" t="s">
        <v>5668</v>
      </c>
    </row>
    <row r="1148" spans="1:2" ht="14.4">
      <c r="A1148" s="404" t="s">
        <v>5484</v>
      </c>
      <c r="B1148" s="407" t="s">
        <v>6086</v>
      </c>
    </row>
    <row r="1149" spans="1:2" ht="14.4">
      <c r="A1149" s="404" t="s">
        <v>5486</v>
      </c>
      <c r="B1149" s="407" t="s">
        <v>6087</v>
      </c>
    </row>
    <row r="1150" spans="1:2" ht="14.4">
      <c r="A1150" s="404" t="s">
        <v>5488</v>
      </c>
      <c r="B1150" s="407" t="s">
        <v>6088</v>
      </c>
    </row>
    <row r="1151" spans="1:2" ht="13.2">
      <c r="A1151" s="404" t="s">
        <v>5496</v>
      </c>
      <c r="B1151" s="185" t="s">
        <v>5668</v>
      </c>
    </row>
    <row r="1152" spans="1:2" ht="14.4">
      <c r="A1152" s="404" t="s">
        <v>5497</v>
      </c>
      <c r="B1152" s="407" t="s">
        <v>6089</v>
      </c>
    </row>
    <row r="1153" spans="1:2" ht="13.2">
      <c r="A1153" s="404" t="s">
        <v>1850</v>
      </c>
      <c r="B1153" s="185" t="s">
        <v>5668</v>
      </c>
    </row>
    <row r="1154" spans="1:2" ht="14.4">
      <c r="A1154" s="404" t="s">
        <v>5501</v>
      </c>
      <c r="B1154" s="407" t="s">
        <v>6090</v>
      </c>
    </row>
    <row r="1155" spans="1:2" ht="14.4">
      <c r="A1155" s="404" t="s">
        <v>5515</v>
      </c>
      <c r="B1155" s="407" t="s">
        <v>6091</v>
      </c>
    </row>
    <row r="1156" spans="1:2" ht="14.4">
      <c r="A1156" s="404" t="s">
        <v>5525</v>
      </c>
      <c r="B1156" s="407" t="s">
        <v>6092</v>
      </c>
    </row>
    <row r="1157" spans="1:2" ht="14.4">
      <c r="A1157" s="404" t="s">
        <v>5529</v>
      </c>
      <c r="B1157" s="407" t="s">
        <v>972</v>
      </c>
    </row>
    <row r="1158" spans="1:2" ht="13.2">
      <c r="A1158" s="404" t="s">
        <v>5544</v>
      </c>
      <c r="B1158" s="185" t="s">
        <v>5668</v>
      </c>
    </row>
    <row r="1159" spans="1:2" ht="14.4">
      <c r="A1159" s="404" t="s">
        <v>5556</v>
      </c>
      <c r="B1159" s="407" t="s">
        <v>6093</v>
      </c>
    </row>
    <row r="1160" spans="1:2" ht="13.2">
      <c r="A1160" s="401" t="s">
        <v>4644</v>
      </c>
      <c r="B1160" s="185" t="s">
        <v>5668</v>
      </c>
    </row>
    <row r="1161" spans="1:2" ht="13.2">
      <c r="A1161" s="401" t="s">
        <v>849</v>
      </c>
      <c r="B1161" s="185" t="s">
        <v>5668</v>
      </c>
    </row>
    <row r="1162" spans="1:2" ht="13.2">
      <c r="A1162" s="401" t="s">
        <v>4645</v>
      </c>
      <c r="B1162" s="185" t="s">
        <v>5668</v>
      </c>
    </row>
    <row r="1163" spans="1:2" ht="13.2">
      <c r="A1163" s="401" t="s">
        <v>4646</v>
      </c>
      <c r="B1163" s="185" t="s">
        <v>5668</v>
      </c>
    </row>
    <row r="1164" spans="1:2" ht="13.2">
      <c r="A1164" s="401" t="s">
        <v>4648</v>
      </c>
      <c r="B1164" s="185" t="s">
        <v>5668</v>
      </c>
    </row>
    <row r="1165" spans="1:2" ht="13.2">
      <c r="A1165" s="401" t="s">
        <v>1776</v>
      </c>
      <c r="B1165" s="185" t="s">
        <v>5668</v>
      </c>
    </row>
    <row r="1166" spans="1:2" ht="13.2">
      <c r="A1166" s="401" t="s">
        <v>4657</v>
      </c>
      <c r="B1166" s="185" t="s">
        <v>5668</v>
      </c>
    </row>
    <row r="1167" spans="1:2" ht="13.2">
      <c r="A1167" s="401" t="s">
        <v>4665</v>
      </c>
      <c r="B1167" s="185" t="s">
        <v>5668</v>
      </c>
    </row>
    <row r="1168" spans="1:2" ht="13.2">
      <c r="A1168" s="401" t="s">
        <v>4666</v>
      </c>
      <c r="B1168" s="185" t="s">
        <v>5668</v>
      </c>
    </row>
    <row r="1169" spans="1:2" ht="13.2">
      <c r="A1169" s="401" t="s">
        <v>4679</v>
      </c>
      <c r="B1169" s="185" t="s">
        <v>5668</v>
      </c>
    </row>
    <row r="1170" spans="1:2" ht="14.4">
      <c r="A1170" s="401" t="s">
        <v>6094</v>
      </c>
      <c r="B1170" s="407" t="s">
        <v>4684</v>
      </c>
    </row>
    <row r="1171" spans="1:2" ht="13.2">
      <c r="A1171" s="401" t="s">
        <v>4686</v>
      </c>
      <c r="B1171" s="185" t="s">
        <v>5668</v>
      </c>
    </row>
    <row r="1172" spans="1:2" ht="13.2">
      <c r="A1172" s="401" t="s">
        <v>4687</v>
      </c>
      <c r="B1172" s="185" t="s">
        <v>5668</v>
      </c>
    </row>
    <row r="1173" spans="1:2" ht="14.4">
      <c r="A1173" s="401" t="s">
        <v>6095</v>
      </c>
      <c r="B1173" s="407" t="s">
        <v>4688</v>
      </c>
    </row>
    <row r="1174" spans="1:2" ht="14.4">
      <c r="A1174" s="401" t="s">
        <v>6096</v>
      </c>
      <c r="B1174" s="407" t="s">
        <v>4692</v>
      </c>
    </row>
    <row r="1175" spans="1:2" ht="13.2">
      <c r="A1175" s="401" t="s">
        <v>4697</v>
      </c>
      <c r="B1175" s="185" t="s">
        <v>5668</v>
      </c>
    </row>
    <row r="1176" spans="1:2" ht="13.2">
      <c r="A1176" s="412" t="s">
        <v>4699</v>
      </c>
      <c r="B1176" s="185" t="s">
        <v>5668</v>
      </c>
    </row>
    <row r="1177" spans="1:2" ht="13.2">
      <c r="A1177" s="401" t="s">
        <v>4700</v>
      </c>
      <c r="B1177" s="185" t="s">
        <v>5668</v>
      </c>
    </row>
    <row r="1178" spans="1:2" ht="13.2">
      <c r="A1178" s="401" t="s">
        <v>4705</v>
      </c>
      <c r="B1178" s="185" t="s">
        <v>5668</v>
      </c>
    </row>
    <row r="1179" spans="1:2" ht="14.4">
      <c r="A1179" s="401" t="s">
        <v>6097</v>
      </c>
      <c r="B1179" s="407" t="s">
        <v>4706</v>
      </c>
    </row>
    <row r="1180" spans="1:2" ht="14.4">
      <c r="A1180" s="401" t="s">
        <v>6098</v>
      </c>
      <c r="B1180" s="407" t="s">
        <v>4708</v>
      </c>
    </row>
    <row r="1181" spans="1:2" ht="13.2">
      <c r="A1181" s="401" t="s">
        <v>4714</v>
      </c>
      <c r="B1181" s="185" t="s">
        <v>5788</v>
      </c>
    </row>
    <row r="1182" spans="1:2" ht="13.2">
      <c r="A1182" s="401" t="s">
        <v>4715</v>
      </c>
      <c r="B1182" s="185" t="s">
        <v>5788</v>
      </c>
    </row>
    <row r="1183" spans="1:2" ht="13.2">
      <c r="A1183" s="401" t="s">
        <v>4716</v>
      </c>
      <c r="B1183" s="185" t="s">
        <v>5668</v>
      </c>
    </row>
    <row r="1184" spans="1:2" ht="13.2">
      <c r="A1184" s="388" t="s">
        <v>846</v>
      </c>
      <c r="B1184" s="185" t="s">
        <v>5668</v>
      </c>
    </row>
    <row r="1185" spans="1:2" ht="13.2">
      <c r="A1185" s="388" t="s">
        <v>1768</v>
      </c>
      <c r="B1185" s="185" t="s">
        <v>5668</v>
      </c>
    </row>
    <row r="1186" spans="1:2" ht="13.2">
      <c r="A1186" s="388" t="s">
        <v>1769</v>
      </c>
      <c r="B1186" s="185" t="s">
        <v>5668</v>
      </c>
    </row>
    <row r="1187" spans="1:2" ht="13.2">
      <c r="A1187" s="388" t="s">
        <v>1770</v>
      </c>
      <c r="B1187" s="185" t="s">
        <v>5668</v>
      </c>
    </row>
    <row r="1188" spans="1:2" ht="13.2">
      <c r="A1188" s="388" t="s">
        <v>1771</v>
      </c>
      <c r="B1188" s="185" t="s">
        <v>5668</v>
      </c>
    </row>
    <row r="1189" spans="1:2" ht="13.2">
      <c r="A1189" s="388" t="s">
        <v>1775</v>
      </c>
      <c r="B1189" s="185" t="s">
        <v>5668</v>
      </c>
    </row>
    <row r="1190" spans="1:2" ht="13.2">
      <c r="A1190" s="388" t="s">
        <v>1780</v>
      </c>
      <c r="B1190" s="185" t="s">
        <v>5668</v>
      </c>
    </row>
    <row r="1191" spans="1:2" ht="13.2">
      <c r="A1191" s="388" t="s">
        <v>1781</v>
      </c>
      <c r="B1191" s="185" t="s">
        <v>5668</v>
      </c>
    </row>
    <row r="1192" spans="1:2" ht="13.2">
      <c r="A1192" s="388" t="s">
        <v>1784</v>
      </c>
      <c r="B1192" s="185" t="s">
        <v>5668</v>
      </c>
    </row>
    <row r="1193" spans="1:2" ht="13.2">
      <c r="A1193" s="388" t="s">
        <v>1793</v>
      </c>
      <c r="B1193" s="185" t="s">
        <v>5668</v>
      </c>
    </row>
    <row r="1194" spans="1:2" ht="13.2">
      <c r="A1194" s="388" t="s">
        <v>1794</v>
      </c>
      <c r="B1194" s="185" t="s">
        <v>5668</v>
      </c>
    </row>
    <row r="1195" spans="1:2" ht="14.4">
      <c r="A1195" s="388" t="s">
        <v>6099</v>
      </c>
      <c r="B1195" s="407" t="s">
        <v>1796</v>
      </c>
    </row>
    <row r="1196" spans="1:2" ht="13.2">
      <c r="A1196" s="388" t="s">
        <v>1798</v>
      </c>
      <c r="B1196" s="185" t="s">
        <v>5668</v>
      </c>
    </row>
    <row r="1197" spans="1:2" ht="14.4">
      <c r="A1197" s="388" t="s">
        <v>6100</v>
      </c>
      <c r="B1197" s="407" t="s">
        <v>1801</v>
      </c>
    </row>
    <row r="1198" spans="1:2" ht="14.4">
      <c r="A1198" s="388" t="s">
        <v>6101</v>
      </c>
      <c r="B1198" s="407" t="s">
        <v>1802</v>
      </c>
    </row>
    <row r="1199" spans="1:2" ht="14.4">
      <c r="A1199" s="388" t="s">
        <v>6102</v>
      </c>
      <c r="B1199" s="407" t="s">
        <v>1804</v>
      </c>
    </row>
    <row r="1200" spans="1:2" ht="13.2">
      <c r="A1200" s="388" t="s">
        <v>1811</v>
      </c>
      <c r="B1200" s="185" t="s">
        <v>5668</v>
      </c>
    </row>
    <row r="1201" spans="1:2" ht="13.2">
      <c r="A1201" s="388" t="s">
        <v>922</v>
      </c>
      <c r="B1201" s="185" t="s">
        <v>5668</v>
      </c>
    </row>
    <row r="1202" spans="1:2" ht="13.2">
      <c r="A1202" s="388" t="s">
        <v>1821</v>
      </c>
      <c r="B1202" s="185" t="s">
        <v>5604</v>
      </c>
    </row>
    <row r="1203" spans="1:2" ht="13.2">
      <c r="A1203" s="388" t="s">
        <v>1823</v>
      </c>
      <c r="B1203" s="185" t="s">
        <v>5604</v>
      </c>
    </row>
    <row r="1204" spans="1:2" ht="14.4">
      <c r="A1204" s="388" t="s">
        <v>6103</v>
      </c>
      <c r="B1204" s="407" t="s">
        <v>1826</v>
      </c>
    </row>
    <row r="1205" spans="1:2" ht="14.4">
      <c r="A1205" s="388" t="s">
        <v>6104</v>
      </c>
      <c r="B1205" s="407" t="s">
        <v>1828</v>
      </c>
    </row>
    <row r="1206" spans="1:2" ht="13.2">
      <c r="A1206" s="388" t="s">
        <v>1834</v>
      </c>
      <c r="B1206" s="185" t="s">
        <v>5668</v>
      </c>
    </row>
    <row r="1207" spans="1:2" ht="14.4">
      <c r="A1207" s="388" t="s">
        <v>6105</v>
      </c>
      <c r="B1207" s="407" t="s">
        <v>1835</v>
      </c>
    </row>
    <row r="1208" spans="1:2" ht="14.4">
      <c r="A1208" s="388" t="s">
        <v>6106</v>
      </c>
      <c r="B1208" s="407" t="s">
        <v>1839</v>
      </c>
    </row>
    <row r="1209" spans="1:2" ht="14.4">
      <c r="A1209" s="388" t="s">
        <v>6107</v>
      </c>
      <c r="B1209" s="407" t="s">
        <v>1841</v>
      </c>
    </row>
    <row r="1210" spans="1:2" ht="13.2">
      <c r="A1210" s="388" t="s">
        <v>1845</v>
      </c>
      <c r="B1210" s="185" t="s">
        <v>5668</v>
      </c>
    </row>
    <row r="1211" spans="1:2" ht="14.4">
      <c r="A1211" s="388" t="s">
        <v>6108</v>
      </c>
      <c r="B1211" s="407" t="s">
        <v>1853</v>
      </c>
    </row>
    <row r="1212" spans="1:2" ht="13.2">
      <c r="A1212" s="388" t="s">
        <v>1857</v>
      </c>
      <c r="B1212" s="185" t="s">
        <v>5668</v>
      </c>
    </row>
    <row r="1213" spans="1:2" ht="13.2">
      <c r="A1213" s="388" t="s">
        <v>1867</v>
      </c>
      <c r="B1213" s="185" t="s">
        <v>5668</v>
      </c>
    </row>
    <row r="1214" spans="1:2" ht="13.2">
      <c r="A1214" s="388" t="s">
        <v>1874</v>
      </c>
      <c r="B1214" s="185" t="s">
        <v>5668</v>
      </c>
    </row>
    <row r="1215" spans="1:2" ht="13.2">
      <c r="A1215" s="388" t="s">
        <v>1886</v>
      </c>
      <c r="B1215" s="185" t="s">
        <v>5668</v>
      </c>
    </row>
    <row r="1216" spans="1:2" ht="13.2">
      <c r="A1216" s="388" t="s">
        <v>1900</v>
      </c>
      <c r="B1216" s="185" t="s">
        <v>5668</v>
      </c>
    </row>
    <row r="1217" spans="1:2" ht="13.2">
      <c r="A1217" s="388" t="s">
        <v>1902</v>
      </c>
      <c r="B1217" s="185" t="s">
        <v>5668</v>
      </c>
    </row>
    <row r="1218" spans="1:2" ht="14.4">
      <c r="A1218" s="388" t="s">
        <v>6109</v>
      </c>
      <c r="B1218" s="407" t="s">
        <v>1912</v>
      </c>
    </row>
    <row r="1219" spans="1:2" ht="14.4">
      <c r="A1219" s="388" t="s">
        <v>1920</v>
      </c>
      <c r="B1219" s="273" t="s">
        <v>5604</v>
      </c>
    </row>
    <row r="1220" spans="1:2" ht="13.2">
      <c r="A1220" s="388" t="s">
        <v>1921</v>
      </c>
      <c r="B1220" s="185" t="s">
        <v>5604</v>
      </c>
    </row>
    <row r="1221" spans="1:2" ht="14.4">
      <c r="A1221" s="388" t="s">
        <v>6110</v>
      </c>
      <c r="B1221" s="407" t="s">
        <v>1934</v>
      </c>
    </row>
    <row r="1222" spans="1:2" ht="13.2">
      <c r="A1222" s="388" t="s">
        <v>1941</v>
      </c>
      <c r="B1222" s="185" t="s">
        <v>5668</v>
      </c>
    </row>
    <row r="1223" spans="1:2" ht="14.4">
      <c r="A1223" s="388" t="s">
        <v>6111</v>
      </c>
      <c r="B1223" s="407" t="s">
        <v>1946</v>
      </c>
    </row>
    <row r="1224" spans="1:2" ht="14.4">
      <c r="A1224" s="413" t="s">
        <v>845</v>
      </c>
      <c r="B1224" s="185" t="s">
        <v>5668</v>
      </c>
    </row>
    <row r="1225" spans="1:2" ht="14.4">
      <c r="A1225" s="413" t="s">
        <v>846</v>
      </c>
      <c r="B1225" s="185" t="s">
        <v>5668</v>
      </c>
    </row>
    <row r="1226" spans="1:2" ht="14.4">
      <c r="A1226" s="413" t="s">
        <v>847</v>
      </c>
      <c r="B1226" s="185" t="s">
        <v>5668</v>
      </c>
    </row>
    <row r="1227" spans="1:2" ht="14.4">
      <c r="A1227" s="413" t="s">
        <v>848</v>
      </c>
      <c r="B1227" s="185" t="s">
        <v>5668</v>
      </c>
    </row>
    <row r="1228" spans="1:2" ht="14.4">
      <c r="A1228" s="413" t="s">
        <v>851</v>
      </c>
      <c r="B1228" s="185" t="s">
        <v>5668</v>
      </c>
    </row>
    <row r="1229" spans="1:2" ht="14.4">
      <c r="A1229" s="413" t="s">
        <v>872</v>
      </c>
      <c r="B1229" s="185" t="s">
        <v>5668</v>
      </c>
    </row>
    <row r="1230" spans="1:2" ht="14.4">
      <c r="A1230" s="413" t="s">
        <v>6112</v>
      </c>
      <c r="B1230" s="407" t="s">
        <v>874</v>
      </c>
    </row>
    <row r="1231" spans="1:2" ht="14.4">
      <c r="A1231" s="413" t="s">
        <v>880</v>
      </c>
      <c r="B1231" s="185" t="s">
        <v>5668</v>
      </c>
    </row>
    <row r="1232" spans="1:2" ht="14.4">
      <c r="A1232" s="413" t="s">
        <v>857</v>
      </c>
      <c r="B1232" s="185" t="s">
        <v>5668</v>
      </c>
    </row>
    <row r="1233" spans="1:2" ht="14.4">
      <c r="A1233" s="413" t="s">
        <v>858</v>
      </c>
      <c r="B1233" s="185" t="s">
        <v>5668</v>
      </c>
    </row>
    <row r="1234" spans="1:2" ht="14.4">
      <c r="A1234" s="413" t="s">
        <v>859</v>
      </c>
      <c r="B1234" s="185" t="s">
        <v>5668</v>
      </c>
    </row>
    <row r="1235" spans="1:2" ht="14.4">
      <c r="A1235" s="413" t="s">
        <v>881</v>
      </c>
      <c r="B1235" s="185" t="s">
        <v>5668</v>
      </c>
    </row>
    <row r="1236" spans="1:2" ht="14.4">
      <c r="A1236" s="413" t="s">
        <v>6113</v>
      </c>
      <c r="B1236" s="407" t="s">
        <v>887</v>
      </c>
    </row>
    <row r="1237" spans="1:2" ht="14.4">
      <c r="A1237" s="413" t="s">
        <v>6114</v>
      </c>
      <c r="B1237" s="407" t="s">
        <v>890</v>
      </c>
    </row>
    <row r="1238" spans="1:2" ht="14.4">
      <c r="A1238" s="413" t="s">
        <v>6115</v>
      </c>
      <c r="B1238" s="407" t="s">
        <v>892</v>
      </c>
    </row>
    <row r="1239" spans="1:2" ht="14.4">
      <c r="A1239" s="413" t="s">
        <v>6116</v>
      </c>
      <c r="B1239" s="407" t="s">
        <v>894</v>
      </c>
    </row>
    <row r="1240" spans="1:2" ht="14.4">
      <c r="A1240" s="413" t="s">
        <v>902</v>
      </c>
      <c r="B1240" s="185" t="s">
        <v>5668</v>
      </c>
    </row>
    <row r="1241" spans="1:2" ht="14.4">
      <c r="A1241" s="413" t="s">
        <v>903</v>
      </c>
      <c r="B1241" s="185" t="s">
        <v>5668</v>
      </c>
    </row>
    <row r="1242" spans="1:2" ht="14.4">
      <c r="A1242" s="413" t="s">
        <v>905</v>
      </c>
      <c r="B1242" s="185" t="s">
        <v>5668</v>
      </c>
    </row>
    <row r="1243" spans="1:2" ht="14.4">
      <c r="A1243" s="413" t="s">
        <v>908</v>
      </c>
      <c r="B1243" s="185" t="s">
        <v>5668</v>
      </c>
    </row>
    <row r="1244" spans="1:2" ht="14.4">
      <c r="A1244" s="413" t="s">
        <v>911</v>
      </c>
      <c r="B1244" s="185" t="s">
        <v>5668</v>
      </c>
    </row>
    <row r="1245" spans="1:2" ht="14.4">
      <c r="A1245" s="413" t="s">
        <v>6117</v>
      </c>
      <c r="B1245" s="407" t="s">
        <v>913</v>
      </c>
    </row>
    <row r="1246" spans="1:2" ht="14.4">
      <c r="A1246" s="413" t="s">
        <v>915</v>
      </c>
      <c r="B1246" s="185" t="s">
        <v>5668</v>
      </c>
    </row>
    <row r="1247" spans="1:2" ht="14.4">
      <c r="A1247" s="413" t="s">
        <v>916</v>
      </c>
      <c r="B1247" s="185" t="s">
        <v>5668</v>
      </c>
    </row>
    <row r="1248" spans="1:2" ht="14.4">
      <c r="A1248" s="413" t="s">
        <v>922</v>
      </c>
      <c r="B1248" s="185" t="s">
        <v>5668</v>
      </c>
    </row>
    <row r="1249" spans="1:2" ht="14.4">
      <c r="A1249" s="413" t="s">
        <v>927</v>
      </c>
      <c r="B1249" s="185" t="s">
        <v>5668</v>
      </c>
    </row>
    <row r="1250" spans="1:2" ht="14.4">
      <c r="A1250" s="413" t="s">
        <v>931</v>
      </c>
      <c r="B1250" s="185" t="s">
        <v>5668</v>
      </c>
    </row>
    <row r="1251" spans="1:2" ht="14.4">
      <c r="A1251" s="413" t="s">
        <v>934</v>
      </c>
      <c r="B1251" s="185" t="s">
        <v>5668</v>
      </c>
    </row>
    <row r="1252" spans="1:2" ht="14.4">
      <c r="A1252" s="413" t="s">
        <v>935</v>
      </c>
      <c r="B1252" s="185" t="s">
        <v>5668</v>
      </c>
    </row>
    <row r="1253" spans="1:2" ht="14.4">
      <c r="A1253" s="413" t="s">
        <v>6118</v>
      </c>
      <c r="B1253" s="407" t="s">
        <v>937</v>
      </c>
    </row>
    <row r="1254" spans="1:2" ht="14.4">
      <c r="A1254" s="413" t="s">
        <v>940</v>
      </c>
      <c r="B1254" s="185" t="s">
        <v>5668</v>
      </c>
    </row>
    <row r="1255" spans="1:2" ht="13.2">
      <c r="A1255" s="401" t="s">
        <v>4643</v>
      </c>
      <c r="B1255" s="185" t="s">
        <v>5668</v>
      </c>
    </row>
    <row r="1256" spans="1:2" ht="13.2">
      <c r="A1256" s="401" t="s">
        <v>4647</v>
      </c>
      <c r="B1256" s="185" t="s">
        <v>5668</v>
      </c>
    </row>
    <row r="1257" spans="1:2" ht="13.2">
      <c r="A1257" s="401" t="s">
        <v>4662</v>
      </c>
      <c r="B1257" s="185" t="s">
        <v>5668</v>
      </c>
    </row>
    <row r="1258" spans="1:2" ht="14.4">
      <c r="A1258" s="401" t="s">
        <v>6119</v>
      </c>
      <c r="B1258" s="407" t="s">
        <v>4694</v>
      </c>
    </row>
    <row r="1259" spans="1:2" ht="13.2">
      <c r="A1259" s="401" t="s">
        <v>4719</v>
      </c>
      <c r="B1259" s="185" t="s">
        <v>5668</v>
      </c>
    </row>
    <row r="1260" spans="1:2" ht="14.4">
      <c r="A1260" s="401" t="s">
        <v>6120</v>
      </c>
      <c r="B1260" s="407" t="s">
        <v>4720</v>
      </c>
    </row>
    <row r="1261" spans="1:2" ht="14.4">
      <c r="A1261" s="401" t="s">
        <v>6121</v>
      </c>
      <c r="B1261" s="407" t="s">
        <v>4736</v>
      </c>
    </row>
    <row r="1262" spans="1:2" ht="13.2">
      <c r="A1262" s="401" t="s">
        <v>4750</v>
      </c>
      <c r="B1262" s="185" t="s">
        <v>5668</v>
      </c>
    </row>
    <row r="1263" spans="1:2" ht="13.2">
      <c r="A1263" s="401" t="s">
        <v>4753</v>
      </c>
      <c r="B1263" s="185" t="s">
        <v>5668</v>
      </c>
    </row>
    <row r="1264" spans="1:2" ht="14.4">
      <c r="A1264" s="401" t="s">
        <v>680</v>
      </c>
      <c r="B1264" s="407" t="s">
        <v>4754</v>
      </c>
    </row>
    <row r="1265" spans="1:2" ht="14.4">
      <c r="A1265" s="401" t="s">
        <v>6122</v>
      </c>
      <c r="B1265" s="407" t="s">
        <v>2779</v>
      </c>
    </row>
    <row r="1266" spans="1:2" ht="14.4">
      <c r="A1266" s="401" t="s">
        <v>6123</v>
      </c>
      <c r="B1266" s="407" t="s">
        <v>2783</v>
      </c>
    </row>
    <row r="1267" spans="1:2" ht="14.4">
      <c r="A1267" s="401" t="s">
        <v>6124</v>
      </c>
      <c r="B1267" s="407" t="s">
        <v>4780</v>
      </c>
    </row>
    <row r="1268" spans="1:2" ht="14.4">
      <c r="A1268" s="401" t="s">
        <v>6125</v>
      </c>
      <c r="B1268" s="407" t="s">
        <v>4790</v>
      </c>
    </row>
    <row r="1269" spans="1:2" ht="14.4">
      <c r="A1269" s="401" t="s">
        <v>6126</v>
      </c>
      <c r="B1269" s="407" t="s">
        <v>4792</v>
      </c>
    </row>
    <row r="1270" spans="1:2" ht="14.4">
      <c r="A1270" s="401" t="s">
        <v>5570</v>
      </c>
      <c r="B1270" s="407" t="s">
        <v>4800</v>
      </c>
    </row>
    <row r="1271" spans="1:2" ht="14.4">
      <c r="A1271" s="401" t="s">
        <v>6127</v>
      </c>
      <c r="B1271" s="407" t="s">
        <v>4803</v>
      </c>
    </row>
    <row r="1272" spans="1:2" ht="14.4">
      <c r="A1272" s="401" t="s">
        <v>6128</v>
      </c>
      <c r="B1272" s="407" t="s">
        <v>4806</v>
      </c>
    </row>
    <row r="1273" spans="1:2" ht="14.4">
      <c r="A1273" s="401" t="s">
        <v>6129</v>
      </c>
      <c r="B1273" s="407" t="s">
        <v>4812</v>
      </c>
    </row>
    <row r="1274" spans="1:2" ht="14.4">
      <c r="A1274" s="401" t="s">
        <v>6130</v>
      </c>
      <c r="B1274" s="407" t="s">
        <v>4821</v>
      </c>
    </row>
    <row r="1275" spans="1:2" ht="13.2">
      <c r="A1275" s="401" t="s">
        <v>4823</v>
      </c>
      <c r="B1275" s="185" t="s">
        <v>5668</v>
      </c>
    </row>
    <row r="1276" spans="1:2" ht="14.4">
      <c r="A1276" s="401" t="s">
        <v>6131</v>
      </c>
      <c r="B1276" s="407" t="s">
        <v>4824</v>
      </c>
    </row>
    <row r="1277" spans="1:2" ht="13.2">
      <c r="A1277" s="401" t="s">
        <v>4827</v>
      </c>
      <c r="B1277" s="185" t="s">
        <v>5668</v>
      </c>
    </row>
    <row r="1278" spans="1:2" ht="13.2">
      <c r="A1278" s="388" t="s">
        <v>1863</v>
      </c>
      <c r="B1278" s="185" t="s">
        <v>5668</v>
      </c>
    </row>
    <row r="1279" spans="1:2" ht="14.4">
      <c r="A1279" s="413" t="s">
        <v>944</v>
      </c>
      <c r="B1279" s="185" t="s">
        <v>5668</v>
      </c>
    </row>
    <row r="1280" spans="1:2" ht="14.4">
      <c r="A1280" s="413" t="s">
        <v>6132</v>
      </c>
      <c r="B1280" s="407" t="s">
        <v>949</v>
      </c>
    </row>
    <row r="1281" spans="1:2" ht="14.4">
      <c r="A1281" s="413" t="s">
        <v>6133</v>
      </c>
      <c r="B1281" s="407" t="s">
        <v>951</v>
      </c>
    </row>
    <row r="1282" spans="1:2" ht="14.4">
      <c r="A1282" s="413" t="s">
        <v>956</v>
      </c>
      <c r="B1282" s="185" t="s">
        <v>5668</v>
      </c>
    </row>
    <row r="1283" spans="1:2" ht="14.4">
      <c r="A1283" s="413" t="s">
        <v>6134</v>
      </c>
      <c r="B1283" s="407" t="s">
        <v>957</v>
      </c>
    </row>
    <row r="1284" spans="1:2" ht="14.4">
      <c r="A1284" s="413" t="s">
        <v>6135</v>
      </c>
      <c r="B1284" s="407" t="s">
        <v>962</v>
      </c>
    </row>
    <row r="1285" spans="1:2" ht="14.4">
      <c r="A1285" s="413" t="s">
        <v>6136</v>
      </c>
      <c r="B1285" s="407" t="s">
        <v>965</v>
      </c>
    </row>
    <row r="1286" spans="1:2" ht="14.4">
      <c r="A1286" s="413" t="s">
        <v>967</v>
      </c>
      <c r="B1286" s="185" t="s">
        <v>5668</v>
      </c>
    </row>
    <row r="1287" spans="1:2" ht="14.4">
      <c r="A1287" s="413" t="s">
        <v>977</v>
      </c>
      <c r="B1287" s="185" t="s">
        <v>5668</v>
      </c>
    </row>
    <row r="1288" spans="1:2" ht="14.4">
      <c r="A1288" s="413" t="s">
        <v>6137</v>
      </c>
      <c r="B1288" s="407" t="s">
        <v>984</v>
      </c>
    </row>
    <row r="1289" spans="1:2" ht="14.4">
      <c r="A1289" s="413" t="s">
        <v>989</v>
      </c>
      <c r="B1289" s="185" t="s">
        <v>5668</v>
      </c>
    </row>
    <row r="1290" spans="1:2" ht="14.4">
      <c r="A1290" s="413" t="s">
        <v>990</v>
      </c>
      <c r="B1290" s="185" t="s">
        <v>5668</v>
      </c>
    </row>
    <row r="1291" spans="1:2" ht="14.4">
      <c r="A1291" s="413" t="s">
        <v>6138</v>
      </c>
      <c r="B1291" s="407" t="s">
        <v>1000</v>
      </c>
    </row>
    <row r="1292" spans="1:2" ht="14.4">
      <c r="A1292" s="413" t="s">
        <v>6139</v>
      </c>
      <c r="B1292" s="407" t="s">
        <v>1008</v>
      </c>
    </row>
    <row r="1293" spans="1:2" ht="14.4">
      <c r="A1293" s="413" t="s">
        <v>1010</v>
      </c>
      <c r="B1293" s="185" t="s">
        <v>5668</v>
      </c>
    </row>
    <row r="1294" spans="1:2" ht="14.4">
      <c r="A1294" s="413" t="s">
        <v>1011</v>
      </c>
      <c r="B1294" s="185" t="s">
        <v>5668</v>
      </c>
    </row>
    <row r="1295" spans="1:2" ht="14.4">
      <c r="A1295" s="413" t="s">
        <v>1012</v>
      </c>
      <c r="B1295" s="185" t="s">
        <v>5668</v>
      </c>
    </row>
    <row r="1296" spans="1:2" ht="14.4">
      <c r="A1296" s="413" t="s">
        <v>6140</v>
      </c>
      <c r="B1296" s="407" t="s">
        <v>1013</v>
      </c>
    </row>
    <row r="1297" spans="1:2" ht="14.4">
      <c r="A1297" s="413" t="s">
        <v>6141</v>
      </c>
      <c r="B1297" s="407" t="s">
        <v>1021</v>
      </c>
    </row>
    <row r="1298" spans="1:2" ht="14.4">
      <c r="A1298" s="413" t="s">
        <v>6142</v>
      </c>
      <c r="B1298" s="407" t="s">
        <v>1027</v>
      </c>
    </row>
    <row r="1299" spans="1:2" ht="14.4">
      <c r="A1299" s="413" t="s">
        <v>1029</v>
      </c>
      <c r="B1299" s="185" t="s">
        <v>5668</v>
      </c>
    </row>
    <row r="1300" spans="1:2" ht="14.4">
      <c r="A1300" s="413" t="s">
        <v>6143</v>
      </c>
      <c r="B1300" s="407" t="s">
        <v>1030</v>
      </c>
    </row>
    <row r="1301" spans="1:2" ht="14.4">
      <c r="A1301" s="413" t="s">
        <v>1037</v>
      </c>
      <c r="B1301" s="185" t="s">
        <v>5668</v>
      </c>
    </row>
    <row r="1302" spans="1:2" ht="14.4">
      <c r="A1302" s="413" t="s">
        <v>6144</v>
      </c>
      <c r="B1302" s="407" t="s">
        <v>1038</v>
      </c>
    </row>
    <row r="1303" spans="1:2" ht="14.4">
      <c r="A1303" s="413" t="s">
        <v>1040</v>
      </c>
      <c r="B1303" s="185" t="s">
        <v>5668</v>
      </c>
    </row>
    <row r="1304" spans="1:2" ht="14.4">
      <c r="A1304" s="413" t="s">
        <v>6145</v>
      </c>
      <c r="B1304" s="407" t="s">
        <v>1041</v>
      </c>
    </row>
    <row r="1305" spans="1:2" ht="14.4">
      <c r="A1305" s="413" t="s">
        <v>6146</v>
      </c>
      <c r="B1305" s="407" t="s">
        <v>1050</v>
      </c>
    </row>
    <row r="1306" spans="1:2" ht="13.2">
      <c r="A1306" s="414" t="s">
        <v>3801</v>
      </c>
      <c r="B1306" s="185" t="s">
        <v>5668</v>
      </c>
    </row>
    <row r="1307" spans="1:2" ht="14.4">
      <c r="A1307" s="415" t="s">
        <v>3810</v>
      </c>
      <c r="B1307" s="185" t="s">
        <v>5668</v>
      </c>
    </row>
    <row r="1308" spans="1:2" ht="14.4">
      <c r="A1308" s="415" t="s">
        <v>3818</v>
      </c>
      <c r="B1308" s="185" t="s">
        <v>5668</v>
      </c>
    </row>
    <row r="1309" spans="1:2" ht="14.4">
      <c r="A1309" s="415" t="s">
        <v>3825</v>
      </c>
      <c r="B1309" s="185" t="s">
        <v>5668</v>
      </c>
    </row>
    <row r="1310" spans="1:2" ht="14.4">
      <c r="A1310" s="415" t="s">
        <v>3831</v>
      </c>
      <c r="B1310" s="185" t="s">
        <v>5668</v>
      </c>
    </row>
    <row r="1311" spans="1:2" ht="14.4">
      <c r="A1311" s="415" t="s">
        <v>3836</v>
      </c>
      <c r="B1311" s="185" t="s">
        <v>5668</v>
      </c>
    </row>
    <row r="1312" spans="1:2" ht="14.4">
      <c r="A1312" s="415" t="s">
        <v>6147</v>
      </c>
      <c r="B1312" s="407" t="s">
        <v>3837</v>
      </c>
    </row>
    <row r="1313" spans="1:2" ht="14.4">
      <c r="A1313" s="415" t="s">
        <v>3842</v>
      </c>
      <c r="B1313" s="185" t="s">
        <v>5668</v>
      </c>
    </row>
    <row r="1314" spans="1:2" ht="14.4">
      <c r="A1314" s="415" t="s">
        <v>6148</v>
      </c>
      <c r="B1314" s="407" t="s">
        <v>3848</v>
      </c>
    </row>
    <row r="1315" spans="1:2" ht="14.4">
      <c r="A1315" s="415" t="s">
        <v>3863</v>
      </c>
      <c r="B1315" s="185" t="s">
        <v>5668</v>
      </c>
    </row>
    <row r="1316" spans="1:2" ht="13.2">
      <c r="A1316" s="414" t="s">
        <v>3801</v>
      </c>
      <c r="B1316" s="185" t="s">
        <v>5668</v>
      </c>
    </row>
    <row r="1317" spans="1:2" ht="14.4">
      <c r="A1317" s="415" t="s">
        <v>6149</v>
      </c>
      <c r="B1317" s="407" t="s">
        <v>3865</v>
      </c>
    </row>
    <row r="1318" spans="1:2" ht="14.4">
      <c r="A1318" s="415" t="s">
        <v>3867</v>
      </c>
      <c r="B1318" s="185" t="s">
        <v>5668</v>
      </c>
    </row>
    <row r="1319" spans="1:2" ht="14.4">
      <c r="A1319" s="415" t="s">
        <v>3872</v>
      </c>
      <c r="B1319" s="185" t="s">
        <v>5668</v>
      </c>
    </row>
    <row r="1320" spans="1:2" ht="14.4">
      <c r="A1320" s="415" t="s">
        <v>6150</v>
      </c>
      <c r="B1320" s="407" t="s">
        <v>3875</v>
      </c>
    </row>
    <row r="1321" spans="1:2" ht="14.4">
      <c r="A1321" s="415" t="s">
        <v>3879</v>
      </c>
      <c r="B1321" s="185" t="s">
        <v>5668</v>
      </c>
    </row>
    <row r="1322" spans="1:2" ht="14.4">
      <c r="A1322" s="415" t="s">
        <v>3880</v>
      </c>
      <c r="B1322" s="185" t="s">
        <v>5668</v>
      </c>
    </row>
    <row r="1323" spans="1:2" ht="14.4">
      <c r="A1323" s="415" t="s">
        <v>3881</v>
      </c>
      <c r="B1323" s="185" t="s">
        <v>5668</v>
      </c>
    </row>
    <row r="1324" spans="1:2" ht="14.4">
      <c r="A1324" s="415" t="s">
        <v>6151</v>
      </c>
      <c r="B1324" s="407" t="s">
        <v>3885</v>
      </c>
    </row>
    <row r="1325" spans="1:2" ht="14.4">
      <c r="A1325" s="415" t="s">
        <v>3888</v>
      </c>
      <c r="B1325" s="185" t="s">
        <v>5668</v>
      </c>
    </row>
    <row r="1326" spans="1:2" ht="14.4">
      <c r="A1326" s="415" t="s">
        <v>3889</v>
      </c>
      <c r="B1326" s="185" t="s">
        <v>5668</v>
      </c>
    </row>
    <row r="1327" spans="1:2" ht="14.4">
      <c r="A1327" s="415" t="s">
        <v>3895</v>
      </c>
      <c r="B1327" s="185" t="s">
        <v>5668</v>
      </c>
    </row>
    <row r="1328" spans="1:2" ht="14.4">
      <c r="A1328" s="396" t="s">
        <v>3309</v>
      </c>
      <c r="B1328" s="185" t="s">
        <v>5788</v>
      </c>
    </row>
    <row r="1329" spans="1:2" ht="14.4">
      <c r="A1329" s="396" t="s">
        <v>6152</v>
      </c>
      <c r="B1329" s="407" t="s">
        <v>3639</v>
      </c>
    </row>
    <row r="1330" spans="1:2" ht="14.4">
      <c r="A1330" s="415" t="s">
        <v>3914</v>
      </c>
      <c r="B1330" s="407" t="s">
        <v>6153</v>
      </c>
    </row>
    <row r="1331" spans="1:2" ht="14.4">
      <c r="A1331" s="415" t="s">
        <v>3915</v>
      </c>
      <c r="B1331" s="185" t="s">
        <v>5668</v>
      </c>
    </row>
    <row r="1332" spans="1:2" ht="14.4">
      <c r="A1332" s="415" t="s">
        <v>6154</v>
      </c>
      <c r="B1332" s="407" t="s">
        <v>3919</v>
      </c>
    </row>
    <row r="1333" spans="1:2" ht="14.4">
      <c r="A1333" s="415" t="s">
        <v>3926</v>
      </c>
      <c r="B1333" s="185" t="s">
        <v>5668</v>
      </c>
    </row>
    <row r="1334" spans="1:2" ht="14.4">
      <c r="A1334" s="415" t="s">
        <v>3930</v>
      </c>
      <c r="B1334" s="185" t="s">
        <v>5668</v>
      </c>
    </row>
    <row r="1335" spans="1:2" ht="14.4">
      <c r="A1335" s="415" t="s">
        <v>6155</v>
      </c>
      <c r="B1335" s="407" t="s">
        <v>3940</v>
      </c>
    </row>
    <row r="1336" spans="1:2" ht="14.4">
      <c r="A1336" s="415" t="s">
        <v>6156</v>
      </c>
      <c r="B1336" s="407" t="s">
        <v>3943</v>
      </c>
    </row>
    <row r="1337" spans="1:2" ht="13.2">
      <c r="A1337" s="401" t="s">
        <v>3970</v>
      </c>
      <c r="B1337" s="185" t="s">
        <v>5668</v>
      </c>
    </row>
    <row r="1338" spans="1:2" ht="13.2">
      <c r="A1338" s="401" t="s">
        <v>3977</v>
      </c>
      <c r="B1338" s="185" t="s">
        <v>5668</v>
      </c>
    </row>
    <row r="1339" spans="1:2" ht="13.2">
      <c r="A1339" s="401" t="s">
        <v>3996</v>
      </c>
      <c r="B1339" s="185" t="s">
        <v>5668</v>
      </c>
    </row>
    <row r="1340" spans="1:2" ht="13.2">
      <c r="A1340" s="403" t="s">
        <v>2659</v>
      </c>
      <c r="B1340" s="185" t="s">
        <v>5668</v>
      </c>
    </row>
    <row r="1341" spans="1:2" ht="13.2">
      <c r="A1341" s="403" t="s">
        <v>2666</v>
      </c>
      <c r="B1341" s="185" t="s">
        <v>5668</v>
      </c>
    </row>
    <row r="1342" spans="1:2" ht="13.2">
      <c r="A1342" s="403" t="s">
        <v>2668</v>
      </c>
      <c r="B1342" s="185" t="s">
        <v>5668</v>
      </c>
    </row>
    <row r="1343" spans="1:2" ht="13.2">
      <c r="A1343" s="403" t="s">
        <v>2671</v>
      </c>
      <c r="B1343" s="185" t="s">
        <v>5668</v>
      </c>
    </row>
    <row r="1344" spans="1:2" ht="13.2">
      <c r="A1344" s="403" t="s">
        <v>2673</v>
      </c>
      <c r="B1344" s="185" t="s">
        <v>5668</v>
      </c>
    </row>
    <row r="1345" spans="1:2" ht="13.2">
      <c r="A1345" s="403" t="s">
        <v>2675</v>
      </c>
      <c r="B1345" s="185" t="s">
        <v>5668</v>
      </c>
    </row>
    <row r="1346" spans="1:2" ht="13.2">
      <c r="A1346" s="411" t="s">
        <v>2676</v>
      </c>
      <c r="B1346" s="185" t="s">
        <v>5668</v>
      </c>
    </row>
    <row r="1347" spans="1:2" ht="13.2">
      <c r="A1347" s="403" t="s">
        <v>2677</v>
      </c>
      <c r="B1347" s="185" t="s">
        <v>5668</v>
      </c>
    </row>
    <row r="1348" spans="1:2" ht="13.2">
      <c r="A1348" s="403" t="s">
        <v>2679</v>
      </c>
      <c r="B1348" s="185" t="s">
        <v>5668</v>
      </c>
    </row>
    <row r="1349" spans="1:2" ht="14.4">
      <c r="A1349" s="403" t="s">
        <v>6157</v>
      </c>
      <c r="B1349" s="407" t="s">
        <v>2681</v>
      </c>
    </row>
    <row r="1350" spans="1:2" ht="13.2">
      <c r="A1350" s="403" t="s">
        <v>6158</v>
      </c>
      <c r="B1350" s="185" t="s">
        <v>5604</v>
      </c>
    </row>
    <row r="1351" spans="1:2" ht="13.2">
      <c r="A1351" s="403" t="s">
        <v>2683</v>
      </c>
      <c r="B1351" s="185" t="s">
        <v>5604</v>
      </c>
    </row>
    <row r="1352" spans="1:2" ht="14.4">
      <c r="A1352" s="403" t="s">
        <v>6159</v>
      </c>
      <c r="B1352" s="407" t="s">
        <v>2685</v>
      </c>
    </row>
    <row r="1353" spans="1:2" ht="13.2">
      <c r="A1353" s="403" t="s">
        <v>6160</v>
      </c>
      <c r="B1353" s="185" t="s">
        <v>5604</v>
      </c>
    </row>
    <row r="1354" spans="1:2" ht="13.2">
      <c r="A1354" s="403" t="s">
        <v>2692</v>
      </c>
      <c r="B1354" s="185" t="s">
        <v>5604</v>
      </c>
    </row>
    <row r="1355" spans="1:2" ht="13.2">
      <c r="A1355" s="403" t="s">
        <v>2695</v>
      </c>
      <c r="B1355" s="185" t="s">
        <v>5604</v>
      </c>
    </row>
    <row r="1356" spans="1:2" ht="13.2">
      <c r="A1356" s="403" t="s">
        <v>2696</v>
      </c>
      <c r="B1356" s="185" t="s">
        <v>5604</v>
      </c>
    </row>
    <row r="1357" spans="1:2" ht="14.4">
      <c r="A1357" s="403" t="s">
        <v>6161</v>
      </c>
      <c r="B1357" s="407" t="s">
        <v>2703</v>
      </c>
    </row>
    <row r="1358" spans="1:2" ht="13.2">
      <c r="A1358" s="403" t="s">
        <v>2710</v>
      </c>
      <c r="B1358" s="185" t="s">
        <v>5604</v>
      </c>
    </row>
    <row r="1359" spans="1:2" ht="14.4">
      <c r="A1359" s="403" t="s">
        <v>3861</v>
      </c>
      <c r="B1359" s="407" t="s">
        <v>2711</v>
      </c>
    </row>
    <row r="1360" spans="1:2" ht="13.2">
      <c r="A1360" s="403" t="s">
        <v>2712</v>
      </c>
      <c r="B1360" s="185" t="s">
        <v>5604</v>
      </c>
    </row>
    <row r="1361" spans="1:2" ht="13.2">
      <c r="A1361" s="403" t="s">
        <v>2714</v>
      </c>
      <c r="B1361" s="185" t="s">
        <v>5604</v>
      </c>
    </row>
    <row r="1362" spans="1:2" ht="14.4">
      <c r="A1362" s="403" t="s">
        <v>6162</v>
      </c>
      <c r="B1362" s="407" t="s">
        <v>2715</v>
      </c>
    </row>
    <row r="1363" spans="1:2" ht="13.2">
      <c r="A1363" s="403" t="s">
        <v>2717</v>
      </c>
      <c r="B1363" s="185" t="s">
        <v>5604</v>
      </c>
    </row>
    <row r="1364" spans="1:2" ht="13.2">
      <c r="A1364" s="403" t="s">
        <v>2718</v>
      </c>
      <c r="B1364" s="185" t="s">
        <v>5604</v>
      </c>
    </row>
    <row r="1365" spans="1:2" ht="13.2">
      <c r="A1365" s="403" t="s">
        <v>2719</v>
      </c>
      <c r="B1365" s="185" t="s">
        <v>5604</v>
      </c>
    </row>
    <row r="1366" spans="1:2" ht="13.2">
      <c r="A1366" s="403" t="s">
        <v>2720</v>
      </c>
      <c r="B1366" s="185" t="s">
        <v>5604</v>
      </c>
    </row>
    <row r="1367" spans="1:2" ht="13.2">
      <c r="A1367" s="403" t="s">
        <v>2721</v>
      </c>
      <c r="B1367" s="185" t="s">
        <v>5604</v>
      </c>
    </row>
    <row r="1368" spans="1:2" ht="13.2">
      <c r="A1368" s="403" t="s">
        <v>2728</v>
      </c>
      <c r="B1368" s="185" t="s">
        <v>5604</v>
      </c>
    </row>
    <row r="1369" spans="1:2" ht="13.2">
      <c r="A1369" s="403" t="s">
        <v>2729</v>
      </c>
      <c r="B1369" s="185" t="s">
        <v>5604</v>
      </c>
    </row>
    <row r="1370" spans="1:2" ht="14.4">
      <c r="A1370" s="403" t="s">
        <v>6163</v>
      </c>
      <c r="B1370" s="407" t="s">
        <v>2730</v>
      </c>
    </row>
    <row r="1371" spans="1:2" ht="13.2">
      <c r="A1371" s="403" t="s">
        <v>2733</v>
      </c>
      <c r="B1371" s="185" t="s">
        <v>5604</v>
      </c>
    </row>
    <row r="1372" spans="1:2" ht="13.2">
      <c r="A1372" s="403" t="s">
        <v>2736</v>
      </c>
      <c r="B1372" s="185" t="s">
        <v>5604</v>
      </c>
    </row>
    <row r="1373" spans="1:2" ht="13.2">
      <c r="A1373" s="403" t="s">
        <v>2737</v>
      </c>
      <c r="B1373" s="185" t="s">
        <v>5604</v>
      </c>
    </row>
    <row r="1374" spans="1:2" ht="14.4">
      <c r="A1374" s="403" t="s">
        <v>6164</v>
      </c>
      <c r="B1374" s="407" t="s">
        <v>2738</v>
      </c>
    </row>
    <row r="1375" spans="1:2" ht="13.2">
      <c r="A1375" s="403" t="s">
        <v>2742</v>
      </c>
      <c r="B1375" s="185" t="s">
        <v>5668</v>
      </c>
    </row>
    <row r="1376" spans="1:2" ht="13.2">
      <c r="A1376" s="403" t="s">
        <v>2741</v>
      </c>
      <c r="B1376" s="185" t="s">
        <v>5668</v>
      </c>
    </row>
    <row r="1377" spans="1:2" ht="13.2">
      <c r="A1377" s="403" t="s">
        <v>2743</v>
      </c>
      <c r="B1377" s="185" t="s">
        <v>5668</v>
      </c>
    </row>
    <row r="1378" spans="1:2" ht="14.4">
      <c r="A1378" s="403" t="s">
        <v>6165</v>
      </c>
      <c r="B1378" s="407" t="s">
        <v>2744</v>
      </c>
    </row>
    <row r="1379" spans="1:2" ht="13.2">
      <c r="A1379" s="403" t="s">
        <v>2746</v>
      </c>
      <c r="B1379" s="185" t="s">
        <v>5668</v>
      </c>
    </row>
    <row r="1380" spans="1:2" ht="14.4">
      <c r="A1380" s="403" t="s">
        <v>6166</v>
      </c>
      <c r="B1380" s="407" t="s">
        <v>2749</v>
      </c>
    </row>
    <row r="1381" spans="1:2" ht="13.2">
      <c r="A1381" s="403" t="s">
        <v>2758</v>
      </c>
      <c r="B1381" s="185" t="s">
        <v>5668</v>
      </c>
    </row>
    <row r="1382" spans="1:2" ht="14.4">
      <c r="A1382" s="403" t="s">
        <v>3912</v>
      </c>
      <c r="B1382" s="407" t="s">
        <v>2759</v>
      </c>
    </row>
    <row r="1383" spans="1:2" ht="14.4">
      <c r="A1383" s="403" t="s">
        <v>6167</v>
      </c>
      <c r="B1383" s="407" t="s">
        <v>2762</v>
      </c>
    </row>
    <row r="1384" spans="1:2" ht="13.2">
      <c r="A1384" s="403" t="s">
        <v>2769</v>
      </c>
      <c r="B1384" s="185" t="s">
        <v>5668</v>
      </c>
    </row>
    <row r="1385" spans="1:2" ht="13.2">
      <c r="A1385" s="403" t="s">
        <v>2772</v>
      </c>
      <c r="B1385" s="185" t="s">
        <v>5668</v>
      </c>
    </row>
    <row r="1386" spans="1:2" ht="14.4">
      <c r="A1386" s="403" t="s">
        <v>3932</v>
      </c>
      <c r="B1386" s="407" t="s">
        <v>2774</v>
      </c>
    </row>
    <row r="1387" spans="1:2" ht="14.4">
      <c r="A1387" s="403" t="s">
        <v>6168</v>
      </c>
      <c r="B1387" s="407" t="s">
        <v>2776</v>
      </c>
    </row>
    <row r="1388" spans="1:2" ht="13.2">
      <c r="A1388" s="403" t="s">
        <v>998</v>
      </c>
      <c r="B1388" s="185" t="s">
        <v>5668</v>
      </c>
    </row>
    <row r="1389" spans="1:2" ht="13.2">
      <c r="A1389" s="403" t="s">
        <v>2777</v>
      </c>
      <c r="B1389" s="185" t="s">
        <v>5668</v>
      </c>
    </row>
    <row r="1390" spans="1:2" ht="13.2">
      <c r="A1390" s="403" t="s">
        <v>2778</v>
      </c>
      <c r="B1390" s="185" t="s">
        <v>5668</v>
      </c>
    </row>
    <row r="1391" spans="1:2" ht="14.4">
      <c r="A1391" s="403" t="s">
        <v>6169</v>
      </c>
      <c r="B1391" s="407" t="s">
        <v>2787</v>
      </c>
    </row>
    <row r="1392" spans="1:2" ht="13.2">
      <c r="A1392" s="403" t="s">
        <v>2791</v>
      </c>
      <c r="B1392" s="185" t="s">
        <v>5668</v>
      </c>
    </row>
    <row r="1393" spans="1:2" ht="14.4">
      <c r="A1393" s="403" t="s">
        <v>6170</v>
      </c>
      <c r="B1393" s="407" t="s">
        <v>2792</v>
      </c>
    </row>
    <row r="1394" spans="1:2" ht="14.4">
      <c r="A1394" s="403" t="s">
        <v>3964</v>
      </c>
      <c r="B1394" s="407" t="s">
        <v>2798</v>
      </c>
    </row>
    <row r="1395" spans="1:2" ht="14.4">
      <c r="A1395" s="403" t="s">
        <v>6171</v>
      </c>
      <c r="B1395" s="407" t="s">
        <v>2800</v>
      </c>
    </row>
    <row r="1396" spans="1:2" ht="13.2">
      <c r="A1396" s="403" t="s">
        <v>2805</v>
      </c>
      <c r="B1396" s="185" t="s">
        <v>5668</v>
      </c>
    </row>
    <row r="1397" spans="1:2" ht="14.4">
      <c r="A1397" s="403" t="s">
        <v>6172</v>
      </c>
      <c r="B1397" s="407" t="s">
        <v>2808</v>
      </c>
    </row>
    <row r="1398" spans="1:2" ht="13.2">
      <c r="A1398" s="403" t="s">
        <v>2810</v>
      </c>
      <c r="B1398" s="185" t="s">
        <v>5668</v>
      </c>
    </row>
    <row r="1399" spans="1:2" ht="14.4">
      <c r="A1399" s="403" t="s">
        <v>6173</v>
      </c>
      <c r="B1399" s="407" t="s">
        <v>2818</v>
      </c>
    </row>
    <row r="1400" spans="1:2" ht="13.2">
      <c r="A1400" s="403" t="s">
        <v>2822</v>
      </c>
      <c r="B1400" s="185" t="s">
        <v>5668</v>
      </c>
    </row>
    <row r="1401" spans="1:2" ht="13.2">
      <c r="A1401" s="403" t="s">
        <v>2823</v>
      </c>
      <c r="B1401" s="185" t="s">
        <v>5668</v>
      </c>
    </row>
    <row r="1402" spans="1:2" ht="14.4">
      <c r="A1402" s="403" t="s">
        <v>6174</v>
      </c>
      <c r="B1402" s="407" t="s">
        <v>2824</v>
      </c>
    </row>
    <row r="1403" spans="1:2" ht="14.4">
      <c r="A1403" s="403" t="s">
        <v>1942</v>
      </c>
      <c r="B1403" s="407" t="s">
        <v>2830</v>
      </c>
    </row>
    <row r="1404" spans="1:2" ht="14.4">
      <c r="A1404" s="403" t="s">
        <v>6175</v>
      </c>
      <c r="B1404" s="407" t="s">
        <v>2820</v>
      </c>
    </row>
    <row r="1405" spans="1:2" ht="14.4">
      <c r="A1405" s="403" t="s">
        <v>6176</v>
      </c>
      <c r="B1405" s="407" t="s">
        <v>2693</v>
      </c>
    </row>
    <row r="1406" spans="1:2" ht="14.4">
      <c r="A1406" s="403" t="s">
        <v>6177</v>
      </c>
      <c r="B1406" s="407" t="s">
        <v>2699</v>
      </c>
    </row>
    <row r="1407" spans="1:2" ht="13.2">
      <c r="A1407" s="403" t="s">
        <v>2700</v>
      </c>
      <c r="B1407" s="185" t="s">
        <v>5668</v>
      </c>
    </row>
    <row r="1408" spans="1:2" ht="14.4">
      <c r="A1408" s="403" t="s">
        <v>6178</v>
      </c>
      <c r="B1408" s="407" t="s">
        <v>2701</v>
      </c>
    </row>
    <row r="1409" spans="1:2" ht="14.4">
      <c r="A1409" s="403" t="s">
        <v>6179</v>
      </c>
      <c r="B1409" s="407" t="s">
        <v>2722</v>
      </c>
    </row>
    <row r="1410" spans="1:2" ht="14.4">
      <c r="A1410" s="403" t="s">
        <v>6180</v>
      </c>
      <c r="B1410" s="407" t="s">
        <v>2781</v>
      </c>
    </row>
    <row r="1411" spans="1:2" ht="14.4">
      <c r="A1411" s="396" t="s">
        <v>3051</v>
      </c>
      <c r="B1411" s="185" t="s">
        <v>5604</v>
      </c>
    </row>
    <row r="1412" spans="1:2" ht="14.4">
      <c r="A1412" s="413">
        <v>2</v>
      </c>
      <c r="B1412" s="185" t="s">
        <v>5604</v>
      </c>
    </row>
    <row r="1413" spans="1:2" ht="14.4">
      <c r="A1413" s="415" t="s">
        <v>3864</v>
      </c>
      <c r="B1413" s="185" t="s">
        <v>5604</v>
      </c>
    </row>
    <row r="1414" spans="1:2" ht="14.4">
      <c r="A1414" s="388" t="s">
        <v>6181</v>
      </c>
      <c r="B1414" s="389" t="s">
        <v>1807</v>
      </c>
    </row>
    <row r="1415" spans="1:2" ht="14.4">
      <c r="A1415" s="388" t="s">
        <v>6182</v>
      </c>
      <c r="B1415" s="389" t="s">
        <v>1814</v>
      </c>
    </row>
    <row r="1416" spans="1:2" ht="14.4">
      <c r="A1416" s="401" t="s">
        <v>6183</v>
      </c>
      <c r="B1416" s="389" t="s">
        <v>4768</v>
      </c>
    </row>
    <row r="1417" spans="1:2" ht="14.4">
      <c r="A1417" s="404" t="s">
        <v>6184</v>
      </c>
      <c r="B1417" s="389" t="s">
        <v>5494</v>
      </c>
    </row>
    <row r="1418" spans="1:2" ht="13.2">
      <c r="A1418" s="416" t="s">
        <v>5460</v>
      </c>
      <c r="B1418" s="185" t="s">
        <v>6185</v>
      </c>
    </row>
    <row r="1419" spans="1:2" ht="13.2">
      <c r="A1419" s="388" t="s">
        <v>1820</v>
      </c>
      <c r="B1419" s="185" t="s">
        <v>6185</v>
      </c>
    </row>
    <row r="1420" spans="1:2" ht="14.4">
      <c r="A1420" s="388" t="s">
        <v>6186</v>
      </c>
      <c r="B1420" s="389" t="s">
        <v>1843</v>
      </c>
    </row>
    <row r="1421" spans="1:2" ht="13.2">
      <c r="A1421" s="388" t="s">
        <v>1864</v>
      </c>
      <c r="B1421" s="185" t="s">
        <v>5668</v>
      </c>
    </row>
    <row r="1422" spans="1:2" ht="13.2">
      <c r="A1422" s="388" t="s">
        <v>1871</v>
      </c>
      <c r="B1422" s="185" t="s">
        <v>5668</v>
      </c>
    </row>
    <row r="1423" spans="1:2" ht="13.2">
      <c r="A1423" s="388" t="s">
        <v>1878</v>
      </c>
      <c r="B1423" s="185" t="s">
        <v>5668</v>
      </c>
    </row>
    <row r="1424" spans="1:2" ht="14.4">
      <c r="A1424" s="388" t="s">
        <v>6187</v>
      </c>
      <c r="B1424" s="389" t="s">
        <v>1927</v>
      </c>
    </row>
    <row r="1425" spans="1:2" ht="13.2">
      <c r="A1425" s="404" t="s">
        <v>276</v>
      </c>
      <c r="B1425" s="185" t="s">
        <v>5668</v>
      </c>
    </row>
    <row r="1426" spans="1:2" ht="14.4">
      <c r="A1426" s="406" t="s">
        <v>640</v>
      </c>
      <c r="B1426" s="185" t="s">
        <v>5668</v>
      </c>
    </row>
    <row r="1427" spans="1:2" ht="14.4">
      <c r="A1427" s="406" t="s">
        <v>646</v>
      </c>
      <c r="B1427" s="185" t="s">
        <v>5668</v>
      </c>
    </row>
    <row r="1428" spans="1:2" ht="14.4">
      <c r="A1428" s="406" t="s">
        <v>647</v>
      </c>
      <c r="B1428" s="185" t="s">
        <v>5668</v>
      </c>
    </row>
    <row r="1429" spans="1:2" ht="14.4">
      <c r="A1429" s="406" t="s">
        <v>648</v>
      </c>
      <c r="B1429" s="185" t="s">
        <v>5668</v>
      </c>
    </row>
    <row r="1430" spans="1:2" ht="14.4">
      <c r="A1430" s="404" t="s">
        <v>6188</v>
      </c>
      <c r="B1430" s="389" t="s">
        <v>2688</v>
      </c>
    </row>
    <row r="1431" spans="1:2" ht="14.4">
      <c r="A1431" s="403" t="s">
        <v>6179</v>
      </c>
      <c r="B1431" s="389" t="s">
        <v>6189</v>
      </c>
    </row>
    <row r="1432" spans="1:2" ht="13.2">
      <c r="A1432" s="403" t="s">
        <v>2773</v>
      </c>
      <c r="B1432" s="185" t="s">
        <v>5788</v>
      </c>
    </row>
    <row r="1433" spans="1:2" ht="14.4">
      <c r="A1433" s="396" t="s">
        <v>3174</v>
      </c>
      <c r="B1433" s="185" t="s">
        <v>5788</v>
      </c>
    </row>
    <row r="1434" spans="1:2" ht="14.4">
      <c r="A1434" s="396" t="s">
        <v>3228</v>
      </c>
      <c r="B1434" s="185" t="s">
        <v>5788</v>
      </c>
    </row>
    <row r="1435" spans="1:2" ht="14.4">
      <c r="A1435" s="396" t="s">
        <v>3313</v>
      </c>
      <c r="B1435" s="185" t="s">
        <v>5788</v>
      </c>
    </row>
    <row r="1436" spans="1:2" ht="13.2">
      <c r="A1436" s="404" t="s">
        <v>2152</v>
      </c>
      <c r="B1436" s="185" t="s">
        <v>5788</v>
      </c>
    </row>
    <row r="1437" spans="1:2" ht="14.4">
      <c r="A1437" s="396" t="s">
        <v>6190</v>
      </c>
      <c r="B1437" s="389" t="s">
        <v>3404</v>
      </c>
    </row>
    <row r="1438" spans="1:2" ht="14.4">
      <c r="A1438" s="396" t="s">
        <v>6191</v>
      </c>
      <c r="B1438" s="389" t="s">
        <v>3409</v>
      </c>
    </row>
    <row r="1439" spans="1:2" ht="13.2">
      <c r="A1439" s="404" t="s">
        <v>3452</v>
      </c>
      <c r="B1439" s="185" t="s">
        <v>5604</v>
      </c>
    </row>
    <row r="1440" spans="1:2" ht="14.4">
      <c r="A1440" s="396" t="s">
        <v>3550</v>
      </c>
      <c r="B1440" s="185" t="s">
        <v>5604</v>
      </c>
    </row>
    <row r="1441" spans="1:2" ht="13.2">
      <c r="A1441" s="404" t="s">
        <v>3841</v>
      </c>
      <c r="B1441" s="185" t="s">
        <v>5604</v>
      </c>
    </row>
    <row r="1442" spans="1:2" ht="13.2">
      <c r="A1442" s="404" t="s">
        <v>3929</v>
      </c>
      <c r="B1442" s="185" t="s">
        <v>5604</v>
      </c>
    </row>
    <row r="1443" spans="1:2" ht="14.4">
      <c r="A1443" s="415" t="s">
        <v>3931</v>
      </c>
      <c r="B1443" s="185" t="s">
        <v>5604</v>
      </c>
    </row>
    <row r="1444" spans="1:2" ht="13.2">
      <c r="A1444" s="404" t="s">
        <v>2895</v>
      </c>
      <c r="B1444" s="185" t="s">
        <v>5604</v>
      </c>
    </row>
    <row r="1445" spans="1:2" ht="13.2">
      <c r="A1445" s="401" t="s">
        <v>3947</v>
      </c>
      <c r="B1445" s="185" t="s">
        <v>5604</v>
      </c>
    </row>
    <row r="1446" spans="1:2" ht="13.2">
      <c r="A1446" s="401" t="s">
        <v>3952</v>
      </c>
      <c r="B1446" s="185" t="s">
        <v>5604</v>
      </c>
    </row>
    <row r="1447" spans="1:2" ht="14.4">
      <c r="A1447" s="401" t="s">
        <v>3964</v>
      </c>
      <c r="B1447" s="389" t="s">
        <v>6192</v>
      </c>
    </row>
    <row r="1448" spans="1:2" ht="14.4">
      <c r="A1448" s="406" t="s">
        <v>601</v>
      </c>
      <c r="B1448" s="185" t="s">
        <v>5604</v>
      </c>
    </row>
    <row r="1449" spans="1:2" ht="13.2">
      <c r="A1449" s="388" t="s">
        <v>317</v>
      </c>
      <c r="B1449" s="185" t="s">
        <v>5604</v>
      </c>
    </row>
    <row r="1450" spans="1:2" ht="13.2">
      <c r="A1450" s="388" t="s">
        <v>1078</v>
      </c>
      <c r="B1450" s="185" t="s">
        <v>5604</v>
      </c>
    </row>
    <row r="1451" spans="1:2" ht="13.2">
      <c r="A1451" s="388" t="s">
        <v>1080</v>
      </c>
      <c r="B1451" s="185" t="s">
        <v>5604</v>
      </c>
    </row>
    <row r="1452" spans="1:2" ht="13.2">
      <c r="A1452" s="388" t="s">
        <v>1083</v>
      </c>
      <c r="B1452" s="185" t="s">
        <v>5604</v>
      </c>
    </row>
    <row r="1453" spans="1:2" ht="14.4">
      <c r="A1453" s="396" t="s">
        <v>3674</v>
      </c>
      <c r="B1453" s="185" t="s">
        <v>5604</v>
      </c>
    </row>
    <row r="1454" spans="1:2" ht="14.4">
      <c r="A1454" s="404" t="s">
        <v>3977</v>
      </c>
      <c r="B1454" s="393" t="s">
        <v>6193</v>
      </c>
    </row>
    <row r="1455" spans="1:2" ht="14.4">
      <c r="A1455" s="404" t="s">
        <v>2162</v>
      </c>
      <c r="B1455" s="389" t="s">
        <v>6194</v>
      </c>
    </row>
    <row r="1456" spans="1:2" ht="13.2">
      <c r="A1456" s="403" t="s">
        <v>2678</v>
      </c>
      <c r="B1456" s="185" t="s">
        <v>5604</v>
      </c>
    </row>
    <row r="1457" spans="1:2" ht="13.2">
      <c r="A1457" s="404" t="s">
        <v>387</v>
      </c>
      <c r="B1457" s="185" t="s">
        <v>5604</v>
      </c>
    </row>
    <row r="1458" spans="1:2" ht="13.2">
      <c r="A1458" s="401" t="s">
        <v>4082</v>
      </c>
      <c r="B1458" s="185" t="s">
        <v>5604</v>
      </c>
    </row>
    <row r="1459" spans="1:2" ht="13.2">
      <c r="A1459" s="404" t="s">
        <v>4084</v>
      </c>
      <c r="B1459" s="185" t="s">
        <v>5604</v>
      </c>
    </row>
    <row r="1460" spans="1:2" ht="13.2">
      <c r="A1460" s="401" t="s">
        <v>4235</v>
      </c>
      <c r="B1460" s="185" t="s">
        <v>5604</v>
      </c>
    </row>
    <row r="1461" spans="1:2" ht="14.4">
      <c r="A1461" s="400" t="s">
        <v>4902</v>
      </c>
      <c r="B1461" s="185" t="s">
        <v>5604</v>
      </c>
    </row>
    <row r="1462" spans="1:2" ht="14.4">
      <c r="A1462" s="400" t="s">
        <v>4910</v>
      </c>
      <c r="B1462" s="185" t="s">
        <v>5604</v>
      </c>
    </row>
    <row r="1463" spans="1:2" ht="14.4">
      <c r="A1463" s="400" t="s">
        <v>4919</v>
      </c>
      <c r="B1463" s="185" t="s">
        <v>5604</v>
      </c>
    </row>
    <row r="1464" spans="1:2" ht="14.4">
      <c r="A1464" s="400" t="s">
        <v>4927</v>
      </c>
      <c r="B1464" s="185" t="s">
        <v>5604</v>
      </c>
    </row>
    <row r="1465" spans="1:2" ht="14.4">
      <c r="A1465" s="400" t="s">
        <v>4942</v>
      </c>
      <c r="B1465" s="185" t="s">
        <v>5604</v>
      </c>
    </row>
    <row r="1466" spans="1:2" ht="14.4">
      <c r="A1466" s="399" t="s">
        <v>4961</v>
      </c>
      <c r="B1466" s="185" t="s">
        <v>5604</v>
      </c>
    </row>
    <row r="1467" spans="1:2" ht="14.4">
      <c r="A1467" s="399" t="s">
        <v>4978</v>
      </c>
      <c r="B1467" s="185" t="s">
        <v>5604</v>
      </c>
    </row>
    <row r="1468" spans="1:2" ht="13.2">
      <c r="A1468" s="404" t="s">
        <v>5000</v>
      </c>
      <c r="B1468" s="185" t="s">
        <v>5604</v>
      </c>
    </row>
    <row r="1469" spans="1:2" ht="14.4">
      <c r="A1469" s="399" t="s">
        <v>564</v>
      </c>
      <c r="B1469" s="185" t="s">
        <v>5604</v>
      </c>
    </row>
    <row r="1470" spans="1:2" ht="14.4">
      <c r="A1470" s="399" t="s">
        <v>1304</v>
      </c>
      <c r="B1470" s="389" t="s">
        <v>6195</v>
      </c>
    </row>
    <row r="1471" spans="1:2" ht="14.4">
      <c r="A1471" s="399" t="s">
        <v>3168</v>
      </c>
      <c r="B1471" s="185" t="s">
        <v>5604</v>
      </c>
    </row>
    <row r="1472" spans="1:2" ht="14.4">
      <c r="A1472" s="399" t="s">
        <v>5026</v>
      </c>
      <c r="B1472" s="389" t="s">
        <v>6196</v>
      </c>
    </row>
    <row r="1473" spans="1:2" ht="14.4">
      <c r="A1473" s="399" t="s">
        <v>5041</v>
      </c>
      <c r="B1473" s="389" t="s">
        <v>6197</v>
      </c>
    </row>
    <row r="1474" spans="1:2" ht="14.4">
      <c r="A1474" s="399" t="s">
        <v>5045</v>
      </c>
      <c r="B1474" s="389" t="s">
        <v>6198</v>
      </c>
    </row>
    <row r="1475" spans="1:2" ht="14.4">
      <c r="A1475" s="399" t="s">
        <v>5140</v>
      </c>
    </row>
    <row r="1476" spans="1:2" ht="14.4">
      <c r="A1476" s="400" t="s">
        <v>39</v>
      </c>
    </row>
    <row r="1477" spans="1:2" ht="14.4">
      <c r="A1477" s="400" t="s">
        <v>5259</v>
      </c>
    </row>
    <row r="1478" spans="1:2" ht="14.4">
      <c r="A1478" s="372" t="s">
        <v>5206</v>
      </c>
      <c r="B1478" s="389" t="s">
        <v>6199</v>
      </c>
    </row>
    <row r="1479" spans="1:2" ht="14.4">
      <c r="A1479" s="397" t="s">
        <v>5187</v>
      </c>
      <c r="B1479" s="185" t="s">
        <v>5604</v>
      </c>
    </row>
    <row r="1480" spans="1:2" ht="13.2">
      <c r="A1480" s="372" t="s">
        <v>4108</v>
      </c>
      <c r="B1480" s="185" t="s">
        <v>5604</v>
      </c>
    </row>
  </sheetData>
  <customSheetViews>
    <customSheetView guid="{E3B16FF4-157A-41A8-880D-5DDB83361892}" filter="1" showAutoFilter="1">
      <pageMargins left="0.7" right="0.7" top="0.75" bottom="0.75" header="0.3" footer="0.3"/>
      <autoFilter ref="A10:A314">
        <sortState ref="A10:A314">
          <sortCondition ref="A10:A314"/>
        </sortState>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Coder 1</vt:lpstr>
      <vt:lpstr>Coder 2</vt:lpstr>
      <vt:lpstr>Coder 3</vt:lpstr>
      <vt:lpstr>Coder 4</vt:lpstr>
      <vt:lpstr>Coder 5</vt:lpstr>
      <vt:lpstr>Coder 6</vt:lpstr>
      <vt:lpstr>Data Pengganti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cp:lastModifiedBy>
  <dcterms:modified xsi:type="dcterms:W3CDTF">2020-07-12T18:59:35Z</dcterms:modified>
</cp:coreProperties>
</file>