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activeTab="4"/>
  </bookViews>
  <sheets>
    <sheet name="xxxx成本价格-xxx" sheetId="7" r:id="rId1"/>
    <sheet name="微型加头-真实数据-吸塑" sheetId="5" r:id="rId2"/>
    <sheet name="微型加头-真实数据-简包" sheetId="1" r:id="rId3"/>
    <sheet name="微型加头-非真实-简包" sheetId="6" r:id="rId4"/>
    <sheet name="微型加头-非真实-吸塑" sheetId="4" r:id="rId5"/>
    <sheet name="材料价格" sheetId="2" r:id="rId6"/>
    <sheet name="人工" sheetId="8" r:id="rId7"/>
    <sheet name="BOM" sheetId="9" r:id="rId8"/>
  </sheets>
  <externalReferences>
    <externalReference r:id="rId9"/>
    <externalReference r:id="rId10"/>
  </externalReferences>
  <definedNames>
    <definedName name="_xlnm._FilterDatabase" localSheetId="0" hidden="1">'xxxx成本价格-xxx'!$A$2:$I$14</definedName>
    <definedName name="_xlnm._FilterDatabase" localSheetId="5" hidden="1">材料价格!$A$1:$P$656</definedName>
    <definedName name="_xlnm._FilterDatabase" localSheetId="6" hidden="1">人工!$A$2:$P$33</definedName>
    <definedName name="S">'[1]7'!$C$4:$C$17</definedName>
    <definedName name="采购订单序时簿">#REF!</definedName>
    <definedName name="和">'[1]7'!$C$4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gohon</author>
  </authors>
  <commentList>
    <comment ref="D50" authorId="0">
      <text>
        <r>
          <rPr>
            <b/>
            <sz val="9"/>
            <rFont val="宋体"/>
            <charset val="134"/>
          </rPr>
          <t>Hytrel-非阻燃</t>
        </r>
      </text>
    </comment>
    <comment ref="F66" authorId="0">
      <text>
        <r>
          <rPr>
            <sz val="9"/>
            <rFont val="宋体"/>
            <charset val="134"/>
          </rPr>
          <t>委外加工单价</t>
        </r>
      </text>
    </comment>
    <comment ref="F67" authorId="0">
      <text>
        <r>
          <rPr>
            <sz val="9"/>
            <rFont val="宋体"/>
            <charset val="134"/>
          </rPr>
          <t xml:space="preserve">委外加工单价
</t>
        </r>
      </text>
    </comment>
    <comment ref="D81" authorId="1">
      <text>
        <r>
          <rPr>
            <b/>
            <sz val="9"/>
            <rFont val="宋体"/>
            <charset val="134"/>
          </rPr>
          <t>选取相应的连接头类型的单价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gohon</author>
  </authors>
  <commentList>
    <comment ref="D51" authorId="0">
      <text>
        <r>
          <rPr>
            <b/>
            <sz val="9"/>
            <rFont val="宋体"/>
            <charset val="134"/>
          </rPr>
          <t>Hytrel-非阻燃</t>
        </r>
      </text>
    </comment>
    <comment ref="F67" authorId="0">
      <text>
        <r>
          <rPr>
            <sz val="9"/>
            <rFont val="宋体"/>
            <charset val="134"/>
          </rPr>
          <t>委外加工单价</t>
        </r>
      </text>
    </comment>
    <comment ref="F68" authorId="0">
      <text>
        <r>
          <rPr>
            <sz val="9"/>
            <rFont val="宋体"/>
            <charset val="134"/>
          </rPr>
          <t xml:space="preserve">委外加工单价
</t>
        </r>
      </text>
    </comment>
    <comment ref="D82" authorId="1">
      <text>
        <r>
          <rPr>
            <b/>
            <sz val="9"/>
            <rFont val="宋体"/>
            <charset val="134"/>
          </rPr>
          <t>选取相应的连接头类型的单价</t>
        </r>
      </text>
    </comment>
  </commentList>
</comments>
</file>

<file path=xl/comments3.xml><?xml version="1.0" encoding="utf-8"?>
<comments xmlns="http://schemas.openxmlformats.org/spreadsheetml/2006/main">
  <authors>
    <author>Administrator</author>
    <author>gohon</author>
  </authors>
  <commentList>
    <comment ref="D50" authorId="0">
      <text>
        <r>
          <rPr>
            <b/>
            <sz val="9"/>
            <rFont val="宋体"/>
            <charset val="134"/>
          </rPr>
          <t>Hytrel-非阻燃</t>
        </r>
      </text>
    </comment>
    <comment ref="D81" authorId="1">
      <text>
        <r>
          <rPr>
            <b/>
            <sz val="9"/>
            <rFont val="宋体"/>
            <charset val="134"/>
          </rPr>
          <t>选取相应的连接头类型的单价</t>
        </r>
      </text>
    </comment>
  </commentList>
</comments>
</file>

<file path=xl/comments4.xml><?xml version="1.0" encoding="utf-8"?>
<comments xmlns="http://schemas.openxmlformats.org/spreadsheetml/2006/main">
  <authors>
    <author>Administrator</author>
    <author>gohon</author>
  </authors>
  <commentList>
    <comment ref="D50" authorId="0">
      <text>
        <r>
          <rPr>
            <b/>
            <sz val="9"/>
            <rFont val="宋体"/>
            <charset val="134"/>
          </rPr>
          <t>Hytrel-非阻燃</t>
        </r>
      </text>
    </comment>
    <comment ref="D81" authorId="1">
      <text>
        <r>
          <rPr>
            <b/>
            <sz val="9"/>
            <rFont val="宋体"/>
            <charset val="134"/>
          </rPr>
          <t>选取相应的连接头类型的单价</t>
        </r>
      </text>
    </comment>
  </commentList>
</comments>
</file>

<file path=xl/sharedStrings.xml><?xml version="1.0" encoding="utf-8"?>
<sst xmlns="http://schemas.openxmlformats.org/spreadsheetml/2006/main" count="949">
  <si>
    <t>产品名称</t>
  </si>
  <si>
    <t>产品型号</t>
  </si>
  <si>
    <t>光纤类型</t>
  </si>
  <si>
    <t>输入端长度要求（m）</t>
  </si>
  <si>
    <t>输出端长度要求（m）</t>
  </si>
  <si>
    <t>连接头类型</t>
  </si>
  <si>
    <t>包装要求</t>
  </si>
  <si>
    <t>微型良率</t>
  </si>
  <si>
    <t>加头良率</t>
  </si>
  <si>
    <t>真实数据-简包</t>
  </si>
  <si>
    <t>真实数据-吸塑</t>
  </si>
  <si>
    <t>非真实数据-简包</t>
  </si>
  <si>
    <t>非真实数据-吸塑</t>
  </si>
  <si>
    <t>不含税成本</t>
  </si>
  <si>
    <t>2019年折算成本</t>
  </si>
  <si>
    <t>微型加头</t>
  </si>
  <si>
    <t>1X2</t>
  </si>
  <si>
    <t>光纤，华信藤仓，1芯，G657A1</t>
  </si>
  <si>
    <t>0.9SU</t>
  </si>
  <si>
    <t>非真实数据+吸塑</t>
  </si>
  <si>
    <t>1X4</t>
  </si>
  <si>
    <t>光纤，华信藤仓，4芯，G657A1，灰白红黑</t>
  </si>
  <si>
    <t>0.9FU</t>
  </si>
  <si>
    <t>1X8</t>
  </si>
  <si>
    <t>光纤，华信藤仓，4芯，G657A1</t>
  </si>
  <si>
    <t>0.9SA</t>
  </si>
  <si>
    <t>1X16</t>
  </si>
  <si>
    <t>光纤，康宁，8芯，G657A1 Ultra，华信藤仓并带</t>
  </si>
  <si>
    <t>1X32</t>
  </si>
  <si>
    <t>1X64</t>
  </si>
  <si>
    <t>2X2</t>
  </si>
  <si>
    <t>光纤，康宁，1芯，G657A1 Ultra</t>
  </si>
  <si>
    <t>2X4</t>
  </si>
  <si>
    <t>光纤，康宁，4芯，康宁G657A1,蓝橙绿棕</t>
  </si>
  <si>
    <t>2X8</t>
  </si>
  <si>
    <t>2X16</t>
  </si>
  <si>
    <t>2X32</t>
  </si>
  <si>
    <t>2X64</t>
  </si>
  <si>
    <t>光纤类型？</t>
  </si>
  <si>
    <t>长度？</t>
  </si>
  <si>
    <t>连接头类型？</t>
  </si>
  <si>
    <t>套管类型？</t>
  </si>
  <si>
    <t>插芯+散件？</t>
  </si>
  <si>
    <t>性能指标是否满足客户要求？</t>
  </si>
  <si>
    <t>钢管要求？</t>
  </si>
  <si>
    <t>简包和吸塑盒包装人工费用一样</t>
  </si>
  <si>
    <t>微型不加头成本</t>
  </si>
  <si>
    <t>主材材料</t>
  </si>
  <si>
    <t>胶水辅材</t>
  </si>
  <si>
    <t>人工</t>
  </si>
  <si>
    <t>公摊</t>
  </si>
  <si>
    <t>型号</t>
  </si>
  <si>
    <t>芯片成本</t>
  </si>
  <si>
    <t>FA成本</t>
  </si>
  <si>
    <t>单纤成本</t>
  </si>
  <si>
    <t>（钢管+堵头）成本</t>
  </si>
  <si>
    <t>0.9套管成本</t>
  </si>
  <si>
    <t>辅料（计入BOM部分）</t>
  </si>
  <si>
    <t>计件人工</t>
  </si>
  <si>
    <t>费用公摊</t>
  </si>
  <si>
    <t>原材料
合计</t>
  </si>
  <si>
    <t>计件人工
成本</t>
  </si>
  <si>
    <t>制造
费用</t>
  </si>
  <si>
    <t>分路器良率</t>
  </si>
  <si>
    <t>制造成本</t>
  </si>
  <si>
    <t>1x2</t>
  </si>
  <si>
    <t>1x4</t>
  </si>
  <si>
    <t>1x8-127</t>
  </si>
  <si>
    <t>1x16</t>
  </si>
  <si>
    <t>1x32</t>
  </si>
  <si>
    <t>1x64</t>
  </si>
  <si>
    <t>2x2</t>
  </si>
  <si>
    <t>2x4</t>
  </si>
  <si>
    <t>2x8-127</t>
  </si>
  <si>
    <t>2x16</t>
  </si>
  <si>
    <t>2x32</t>
  </si>
  <si>
    <t>2x64</t>
  </si>
  <si>
    <t>光纤型号</t>
  </si>
  <si>
    <t>材料成本</t>
  </si>
  <si>
    <t>费用公摊（财务）</t>
  </si>
  <si>
    <t>合计</t>
  </si>
  <si>
    <t>含良率折算成本</t>
  </si>
  <si>
    <t>自用标准-不含税成本</t>
  </si>
  <si>
    <r>
      <rPr>
        <b/>
        <sz val="10"/>
        <color theme="1" tint="0.0499893185216834"/>
        <rFont val="宋体"/>
        <charset val="134"/>
        <scheme val="minor"/>
      </rPr>
      <t>光纤长度</t>
    </r>
    <r>
      <rPr>
        <b/>
        <sz val="8"/>
        <color theme="1" tint="0.0499893185216834"/>
        <rFont val="宋体"/>
        <charset val="134"/>
        <scheme val="minor"/>
      </rPr>
      <t>(m)</t>
    </r>
  </si>
  <si>
    <r>
      <rPr>
        <b/>
        <sz val="9"/>
        <color theme="1" tint="0.0499893185216834"/>
        <rFont val="宋体"/>
        <charset val="134"/>
        <scheme val="minor"/>
      </rPr>
      <t>V槽+盖板</t>
    </r>
    <r>
      <rPr>
        <b/>
        <sz val="6"/>
        <color theme="1" tint="0.0499893185216834"/>
        <rFont val="宋体"/>
        <charset val="134"/>
        <scheme val="minor"/>
      </rPr>
      <t>(套）</t>
    </r>
  </si>
  <si>
    <t>头胶+尾胶+辅料</t>
  </si>
  <si>
    <t>光纤价格</t>
  </si>
  <si>
    <r>
      <rPr>
        <b/>
        <sz val="9"/>
        <color theme="1" tint="0.0499893185216834"/>
        <rFont val="宋体"/>
        <charset val="134"/>
        <scheme val="minor"/>
      </rPr>
      <t>长度</t>
    </r>
    <r>
      <rPr>
        <b/>
        <sz val="6"/>
        <color theme="1" tint="0.0499893185216834"/>
        <rFont val="宋体"/>
        <charset val="134"/>
        <scheme val="minor"/>
      </rPr>
      <t>（含公差）</t>
    </r>
  </si>
  <si>
    <t>带纤数量</t>
  </si>
  <si>
    <t>计件人工成本</t>
  </si>
  <si>
    <t>水电+制造费用</t>
  </si>
  <si>
    <t>原材料</t>
  </si>
  <si>
    <t>制造成本合计</t>
  </si>
  <si>
    <t>自用良率</t>
  </si>
  <si>
    <t>外卖良率</t>
  </si>
  <si>
    <t>单纤</t>
  </si>
  <si>
    <t>2chFA</t>
  </si>
  <si>
    <t>产品信息 FA （XXM）</t>
  </si>
  <si>
    <t>成本核算</t>
  </si>
  <si>
    <t>光纤长度m</t>
  </si>
  <si>
    <t>（V槽+盖板）</t>
  </si>
  <si>
    <t>光纤成本</t>
  </si>
  <si>
    <t>长度（含公差）</t>
  </si>
  <si>
    <t>原材料合计</t>
  </si>
  <si>
    <t>自用成本</t>
  </si>
  <si>
    <t>2CH</t>
  </si>
  <si>
    <t>4CH</t>
  </si>
  <si>
    <t>8ch（127）</t>
  </si>
  <si>
    <t>16CH</t>
  </si>
  <si>
    <t>32CH</t>
  </si>
  <si>
    <t>64CH</t>
  </si>
  <si>
    <t>1X8-250</t>
  </si>
  <si>
    <t>光纤，华信藤仓，8芯，G657A1</t>
  </si>
  <si>
    <t>套管成本</t>
  </si>
  <si>
    <t>数量</t>
  </si>
  <si>
    <t>单价</t>
  </si>
  <si>
    <t>输入长度</t>
  </si>
  <si>
    <t>输出长度</t>
  </si>
  <si>
    <t>成本</t>
  </si>
  <si>
    <t>1x8</t>
  </si>
  <si>
    <t>2x8</t>
  </si>
  <si>
    <t>加头成本</t>
  </si>
  <si>
    <t>材料</t>
  </si>
  <si>
    <t>财务</t>
  </si>
  <si>
    <t>单位：元/头</t>
  </si>
  <si>
    <t>散件</t>
  </si>
  <si>
    <t>插芯</t>
  </si>
  <si>
    <t>辅料（计入BOM）</t>
  </si>
  <si>
    <t>测试</t>
  </si>
  <si>
    <t>0.9FA</t>
  </si>
  <si>
    <t>0.9LU</t>
  </si>
  <si>
    <t>0.9LA</t>
  </si>
  <si>
    <t>2.0SU</t>
  </si>
  <si>
    <t>2.0SA</t>
  </si>
  <si>
    <t>2.0FU</t>
  </si>
  <si>
    <t>2.0FA</t>
  </si>
  <si>
    <t>2.0LU</t>
  </si>
  <si>
    <t>2.0LA</t>
  </si>
  <si>
    <t>微型加头成本</t>
  </si>
  <si>
    <t>微型加头部分</t>
  </si>
  <si>
    <t>微型加头包装</t>
  </si>
  <si>
    <t>微型成本
不含头</t>
  </si>
  <si>
    <t>连接头单价</t>
  </si>
  <si>
    <t>良率</t>
  </si>
  <si>
    <t>包装人工</t>
  </si>
  <si>
    <t>耗材费用</t>
  </si>
  <si>
    <t>包装公摊</t>
  </si>
  <si>
    <t>单纤-1X2</t>
  </si>
  <si>
    <t>单纤-1X4</t>
  </si>
  <si>
    <t>单纤-1X8</t>
  </si>
  <si>
    <t>单纤-1X16</t>
  </si>
  <si>
    <t>单纤-1X32</t>
  </si>
  <si>
    <t>单纤-1X64</t>
  </si>
  <si>
    <t>2chFA-2X2</t>
  </si>
  <si>
    <t>2chFA-2X4</t>
  </si>
  <si>
    <t>2chFA-2X8</t>
  </si>
  <si>
    <t>2chFA-2X16</t>
  </si>
  <si>
    <t>2chFA-2X32</t>
  </si>
  <si>
    <t>2chFA-2X64</t>
  </si>
  <si>
    <t>序号</t>
  </si>
  <si>
    <t>物料名称</t>
  </si>
  <si>
    <t>含税单价</t>
  </si>
  <si>
    <t>不含税价格</t>
  </si>
  <si>
    <t>1X2 coupler，50:50，插片，SC/APC</t>
  </si>
  <si>
    <t>外购光驰成品</t>
  </si>
  <si>
    <t>1X2 coupler，奥鑫，康宁G657A1，0.9 hytrel,入水绿出水绿，0.6米</t>
  </si>
  <si>
    <t>50个以下价格 80/含税</t>
  </si>
  <si>
    <t>AFOP指定供应商，所有分光比价格一样</t>
  </si>
  <si>
    <t>1X2 coupler，腾天，G652D，裸纤，2米</t>
  </si>
  <si>
    <t>所有分光比价格一样</t>
  </si>
  <si>
    <t>1X2 coupler，腾天，G657A1，0.9 hytrel,入白出绿/红，1米</t>
  </si>
  <si>
    <t>1X2 coupler，腾天，G657A1，裸纤，1米</t>
  </si>
  <si>
    <t>1X2 coupler，亿可信，G657A1，0.9 hytrel,入白出白，1米</t>
  </si>
  <si>
    <t>1X2 coupler，亿可信，G657A1，裸纤，入2.0米出2.0米,3.0*55钢管</t>
  </si>
  <si>
    <t>1X2 coupler，亿可信，OM3，裸纤，入2.0米出2.0米,3.0*55钢管</t>
  </si>
  <si>
    <t>1X2 coupler，莱特威，G657A1，0.9 hytrel,入白出白，1米</t>
  </si>
  <si>
    <t>回损大于55</t>
  </si>
  <si>
    <t>1X2 coupler，飞波特，G657A1，0.9 hytrel,入白出白，1米</t>
  </si>
  <si>
    <t>方形毛细管，中岩，6mm，孔径125-139，不检</t>
  </si>
  <si>
    <t>V槽+盖板，鑫振华，1*64，127</t>
  </si>
  <si>
    <t>V槽+盖板，鑫振华，1*2-250</t>
  </si>
  <si>
    <t>V槽+盖板，鑫振华，1*4-250</t>
  </si>
  <si>
    <t>V槽+盖板，鑫振华，1*8-127</t>
  </si>
  <si>
    <t>V槽+盖板，鑫振华，1*8，250um,3.0mm宽</t>
  </si>
  <si>
    <t>V槽+盖板，鑫振华，1*16-127</t>
  </si>
  <si>
    <t>V槽+盖板，鑫振华，1*32-127</t>
  </si>
  <si>
    <t>V槽+盖板，鑫振华，1*16，127um,2.65mm宽</t>
  </si>
  <si>
    <t>芯片，仕佳，1*2，250um</t>
  </si>
  <si>
    <t>芯片，仕佳，1*2，250um，T级</t>
  </si>
  <si>
    <t>芯片，仕佳，1*3</t>
  </si>
  <si>
    <t>芯片，仕佳，1*4</t>
  </si>
  <si>
    <t>芯片，仕佳，1*4，T级</t>
  </si>
  <si>
    <t>芯片，仕佳，1*4，250um，T级PDL &lt;0.1</t>
  </si>
  <si>
    <t>芯片，仕佳，1*6</t>
  </si>
  <si>
    <t>芯片，仕佳，1*8，127um</t>
  </si>
  <si>
    <t>芯片，仕佳，1*8，127um，S级</t>
  </si>
  <si>
    <t>芯片，仕佳，1*8，127um，T级PDL &lt;0.1</t>
  </si>
  <si>
    <t>芯片，仕佳，1*8，250um，T级</t>
  </si>
  <si>
    <t>芯片，仕佳，1*12，127</t>
  </si>
  <si>
    <t>芯片，仕佳，1*16</t>
  </si>
  <si>
    <t>芯片，仕佳，1*16，T级</t>
  </si>
  <si>
    <t>芯片，仕佳，1*24，127</t>
  </si>
  <si>
    <t>芯片，仕佳，1*32</t>
  </si>
  <si>
    <t>芯片，仕佳，1*32，T级</t>
  </si>
  <si>
    <t>芯片，仕佳，1*64</t>
  </si>
  <si>
    <t>芯片，仕佳，1*128，127um</t>
  </si>
  <si>
    <t>芯片，仕佳，2*4</t>
  </si>
  <si>
    <t>芯片，仕佳，2*8</t>
  </si>
  <si>
    <t>芯片，仕佳，2*16</t>
  </si>
  <si>
    <t>芯片，仕佳，2*32</t>
  </si>
  <si>
    <t>芯片，仕佳，2*32，T级</t>
  </si>
  <si>
    <t>芯片，仕佳，2*64</t>
  </si>
  <si>
    <t>带纤-阵列64-0.7米-G657A1-127um</t>
  </si>
  <si>
    <t>带纤-阵列64-0.8米-G657A1-127um</t>
  </si>
  <si>
    <t>带纤-阵列64-2.0米-G657A1-127um</t>
  </si>
  <si>
    <t>钢管，百年，4*4*40</t>
  </si>
  <si>
    <t>钢管，百年，4*4*40，波若威刻字</t>
  </si>
  <si>
    <t>钢管，百年，4*5*45</t>
  </si>
  <si>
    <t>钢管，百年，4*5*45，波若威刻字</t>
  </si>
  <si>
    <t>钢管，百年，4*7*55</t>
  </si>
  <si>
    <t>钢管，百年，4*7*60</t>
  </si>
  <si>
    <t>钢管，百年，4*7*60，波若威刻字</t>
  </si>
  <si>
    <t>胶塞，百年，软，4*4，1方孔，4*4-5 out</t>
  </si>
  <si>
    <t>胶塞，百年，软，4*4，1圆孔</t>
  </si>
  <si>
    <t>胶塞，百年，软，4*4.5，1圆孔</t>
  </si>
  <si>
    <t>胶塞，百年，软，4*4-7 OUT,竖封，</t>
  </si>
  <si>
    <t>胶塞，百年，软，4*5，1方孔</t>
  </si>
  <si>
    <t>胶塞，百年，软，4*5，1圆孔</t>
  </si>
  <si>
    <t>胶塞，百年，软，4*7，1方孔，孔径1*4.3，32钢封使用</t>
  </si>
  <si>
    <t>胶塞，百年，软，4*7，1圆孔，中心</t>
  </si>
  <si>
    <t>胶塞，百年，软，4*7，8圆孔</t>
  </si>
  <si>
    <t>胶塞，百年，硬，4*7，8圆孔</t>
  </si>
  <si>
    <t>钢管，钦益，4*12*60</t>
  </si>
  <si>
    <t>钢管，钦益，6*20*80</t>
  </si>
  <si>
    <t>钢管，钦益，6*40*100</t>
  </si>
  <si>
    <t>胶塞，钦益，软，4*12，1圆孔，黑色</t>
  </si>
  <si>
    <t>胶塞，钦益，软，6*20，1圆孔</t>
  </si>
  <si>
    <t>胶塞，钦益，软，6*40，1圆孔</t>
  </si>
  <si>
    <t>胶塞，钦益，硬，4*12，16圆孔</t>
  </si>
  <si>
    <t>胶塞，钦益，硬，6*20，32圆孔，2层16独孔</t>
  </si>
  <si>
    <t>胶塞，钦益，硬，6*40，64圆孔，2层32独孔</t>
  </si>
  <si>
    <t>钢管，宇和，4*12*60，FOLAN刻字</t>
  </si>
  <si>
    <t>钢管，宇和，4*12*60，独立包装</t>
  </si>
  <si>
    <t>钢管，宇和，4*12*60，独立包装，古河logo</t>
  </si>
  <si>
    <t>钢管，宇和，4*12*60，简装</t>
  </si>
  <si>
    <t>钢管，宇和，4*12*60，简装，古河logo</t>
  </si>
  <si>
    <t>钢管，宇和，4*12*60，刻KOC</t>
  </si>
  <si>
    <t>钢管，宇和，4*12*70，简装</t>
  </si>
  <si>
    <t>钢管，宇和，4*4*40，FOLAN刻字</t>
  </si>
  <si>
    <t>钢管，宇和，4*4*40，独立包装</t>
  </si>
  <si>
    <t>钢管，宇和，4*4*40，独立包装，波若威刻字（侧面刻字）</t>
  </si>
  <si>
    <t>钢管，宇和，4*4*40，独立包装，古河logo，1*16</t>
  </si>
  <si>
    <t>钢管，宇和，4*4*40，独立包装，古河logo，1*8</t>
  </si>
  <si>
    <t>钢管，宇和，4*4*40，简装</t>
  </si>
  <si>
    <t>钢管，宇和，4*4*50，简装</t>
  </si>
  <si>
    <t>钢管，宇和，4*5*45，独立包装，波若威刻字</t>
  </si>
  <si>
    <t>钢管，宇和，4*5*45，简装</t>
  </si>
  <si>
    <t>钢管，宇和，4*5*45独立包装</t>
  </si>
  <si>
    <t>钢管，宇和，4*7*50，简装</t>
  </si>
  <si>
    <t>钢管，宇和，4*7*55，独立包装</t>
  </si>
  <si>
    <t>钢管，宇和，4*7*55，独立包装，古河logo,1*2</t>
  </si>
  <si>
    <t>钢管，宇和，4*7*55，独立包装，古河logo,1*4</t>
  </si>
  <si>
    <t>钢管，宇和，4*7*55，独立包装，古河logo,1*8</t>
  </si>
  <si>
    <t>钢管，宇和，4*7*55，独立包装，古河logo,2*32</t>
  </si>
  <si>
    <t>钢管，宇和，4*7*55，独立包装，古河刻字，1*32</t>
  </si>
  <si>
    <t>钢管，宇和，4*7*55，简装</t>
  </si>
  <si>
    <t>钢管，宇和，4*7*55，简装，古河logo</t>
  </si>
  <si>
    <t>钢管，宇和，4*7*60，独立包装</t>
  </si>
  <si>
    <t>钢管，宇和，4*7*60，独立包装，波若威刻字</t>
  </si>
  <si>
    <t>钢管，宇和，4*7*60，简装</t>
  </si>
  <si>
    <t>钢管，宇和，4*7*65，简装</t>
  </si>
  <si>
    <t>钢管，宇和，6*20*80，简装</t>
  </si>
  <si>
    <t>胶塞，软，4*7，1圆孔</t>
  </si>
  <si>
    <t>胶塞，宇和，软，4*12，1方孔</t>
  </si>
  <si>
    <t>胶塞，宇和，软，4*12，1圆孔</t>
  </si>
  <si>
    <t>胶塞，宇和，软，4*4，1方孔</t>
  </si>
  <si>
    <t>胶塞，宇和，软，4*4，1方孔，侧封</t>
  </si>
  <si>
    <t>胶塞，宇和，软，4*4，1圆孔</t>
  </si>
  <si>
    <t>胶塞，宇和，软，4*4，2圆孔</t>
  </si>
  <si>
    <t>胶塞，宇和，软，4*4，4圆孔</t>
  </si>
  <si>
    <t>胶塞，宇和，软，4*5，1方孔</t>
  </si>
  <si>
    <t>胶塞，宇和，软，4*5，1圆孔</t>
  </si>
  <si>
    <t>胶塞，宇和，软，4*7，1方孔，孔径0.65*2.3，16钢封使用</t>
  </si>
  <si>
    <t>胶塞，宇和，软，4*7，1方孔，孔径0.65*4.3，32钢封使用</t>
  </si>
  <si>
    <t>胶塞，宇和，软，4*7，1圆孔</t>
  </si>
  <si>
    <t>胶塞，宇和，软，4*7，8圆孔</t>
  </si>
  <si>
    <t>胶塞，宇和，软，6*20，1圆孔</t>
  </si>
  <si>
    <t>胶塞，宇和，软，6*20，2圆孔</t>
  </si>
  <si>
    <t>胶塞，宇和，软，6*40，2圆孔</t>
  </si>
  <si>
    <t>胶塞，宇和，硬，4*12，16圆孔，2层8独孔</t>
  </si>
  <si>
    <t>胶塞，宇和，硬，4*12，1圆孔</t>
  </si>
  <si>
    <t>胶塞，宇和，硬，4*4，4圆孔</t>
  </si>
  <si>
    <t>胶塞，宇和，硬，4*7，2圆孔</t>
  </si>
  <si>
    <t>胶塞，宇和，硬，4*7，4圆孔</t>
  </si>
  <si>
    <t>胶塞，宇和，硬，4*7，8圆孔</t>
  </si>
  <si>
    <t>胶塞，宇和，硬，6*20，32圆孔，2层4组8联排</t>
  </si>
  <si>
    <t>套管，2.0，红，低烟无卤（LSZH）潘通色号 PANTONE 1797C</t>
  </si>
  <si>
    <t>套管，通信，0.9，白</t>
  </si>
  <si>
    <t>套管，通信，0.9，本色白</t>
  </si>
  <si>
    <t>套管，通信，0.9，低烟无卤（LSZH）</t>
  </si>
  <si>
    <t>套管，通信，2.0，白，低烟无卤（LSZH），进口芳纶</t>
  </si>
  <si>
    <t>套管，通信，2.0，白色，</t>
  </si>
  <si>
    <t>PVC进口芳纶</t>
  </si>
  <si>
    <t>套管，通信，2.0，黄，</t>
  </si>
  <si>
    <t>太平标准2*1100</t>
  </si>
  <si>
    <t>套管，通信，2.0，黄色，阻燃，进口芳纶</t>
  </si>
  <si>
    <t>套管，通信，2.0，黄色.LSZH</t>
  </si>
  <si>
    <t>套管，通信，2.0，黄色.汇珏印字，1股进口芳纶+3股国产芳纶</t>
  </si>
  <si>
    <t>套管，通信，3.0，黄</t>
  </si>
  <si>
    <t>套管，阳安，0.9，白HYTREL</t>
  </si>
  <si>
    <t>套管，阳安，0.9，白,TPEE</t>
  </si>
  <si>
    <t>套管，阳安，hytrel7237，0.9，阻燃，OM3水绿色</t>
  </si>
  <si>
    <t>套管，阳安，hytrel7237，0.9，阻燃，黄</t>
  </si>
  <si>
    <t>套管，阳安，hytrel，0.9，阻燃HB，象牙白</t>
  </si>
  <si>
    <t>套管，长微，0.9，白色</t>
  </si>
  <si>
    <t>套管，长微，1.6-LSZH，红色，进口芳纶</t>
  </si>
  <si>
    <t>套管，长微，hytrel7237，0.9，阻燃，黄</t>
  </si>
  <si>
    <t>模块盒，2.0-100*80*10,汇珏电信logo，ABS+PC</t>
  </si>
  <si>
    <t>模块盒，2.0-100*80*10，通鼎logo+移动logo，ABS+PC</t>
  </si>
  <si>
    <t>模块盒，2.0，100*80*10，太平logo+移动logo，ABS+PC</t>
  </si>
  <si>
    <t>模块盒，2.0，100*80*10，太平logo+移动logo，ABS+PC（安阳禹之翼）</t>
  </si>
  <si>
    <t>模块盒，2.0-100*80*10，四川广电logo，ABS+PC</t>
  </si>
  <si>
    <t>模块盒，2.0-120*80*18，志方Logo，ABS+PC</t>
  </si>
  <si>
    <t>模块盒，1*16-2.0-120*80*18，ABS+PC</t>
  </si>
  <si>
    <t>模块盒，1*32-0.9-120*80*18，ABS+PC</t>
  </si>
  <si>
    <t>模块盒，1*32-2.0-120*80*18，ABS+PC</t>
  </si>
  <si>
    <t>模块盒，1*32-3.0-120*80*18，ABS+PC</t>
  </si>
  <si>
    <t>模块盒，1*16-3.0-120*80*18，ABS+PC</t>
  </si>
  <si>
    <t>模块盒，2.0-90*20*10，ABS+PC</t>
  </si>
  <si>
    <t>模块盒，1*24-2.0-120*80*18，ABS+PC</t>
  </si>
  <si>
    <t>模块盒，1*3-2.0-100*80*10，ABS+PC</t>
  </si>
  <si>
    <t>模块盒，1*10-2.0-100*80*10，ABS+PC</t>
  </si>
  <si>
    <t>模块盒，1x64-2.0,120*80*18，太平</t>
  </si>
  <si>
    <t>模块盒，1x64-3.0,120*80*18</t>
  </si>
  <si>
    <t>模块盒，1*32-2.0-140*114*18</t>
  </si>
  <si>
    <t>模块盒，1*64-2.0-140*114*18</t>
  </si>
  <si>
    <t>插片盒，1*16</t>
  </si>
  <si>
    <t>插片盒，1*8，不阻燃</t>
  </si>
  <si>
    <t>插片盒，1*8，阻燃</t>
  </si>
  <si>
    <t>托盘，卓祎，1*12-绿色V2.0</t>
  </si>
  <si>
    <t>托盘，卓祎，1*12-绿色V3.0</t>
  </si>
  <si>
    <t>托盘，2*16</t>
  </si>
  <si>
    <t>托盘，2*32</t>
  </si>
  <si>
    <t>机架，1U机架，1x32，LC</t>
  </si>
  <si>
    <t>1U  55/含税</t>
  </si>
  <si>
    <t>机架，1U机架，1x64，LC</t>
  </si>
  <si>
    <t>6月份涨价到125</t>
  </si>
  <si>
    <t>机架，PLC2*16-FC接口</t>
  </si>
  <si>
    <t>机架，PLC2*16-SC接口</t>
  </si>
  <si>
    <t>机架，PLC2*32-FC接口</t>
  </si>
  <si>
    <t>机架，PLC2*32-SC接口</t>
  </si>
  <si>
    <t>机架，光驰，483*47.5*200mm,内置4XLGX</t>
  </si>
  <si>
    <t>机架，光驰，96*42*195mm,LGX</t>
  </si>
  <si>
    <t>机架堵头，方形</t>
  </si>
  <si>
    <t>机架堵头，圆形</t>
  </si>
  <si>
    <t>挡片</t>
  </si>
  <si>
    <t>着色纤</t>
  </si>
  <si>
    <t>散件，扇港，SC/APC-0.9-单模</t>
  </si>
  <si>
    <t>散件，扇港，SC/APC-2.0-单模</t>
  </si>
  <si>
    <t>散件，扇港，SC/APC-2.0红色尾套</t>
  </si>
  <si>
    <t>散件，迈瑞，FC/PC-2.0-单模，汇珏logo</t>
  </si>
  <si>
    <t>散件，FC/APC-2.0-单模,阻燃，铜</t>
  </si>
  <si>
    <t>散件，FC/PC-3.0-单模</t>
  </si>
  <si>
    <t>散件，FC/APC-0.9-单模</t>
  </si>
  <si>
    <t>散件，FC/APC-2.0-单模</t>
  </si>
  <si>
    <t>散件，SC/APC-0.9 铜散件</t>
  </si>
  <si>
    <t>特殊并带</t>
  </si>
  <si>
    <t>散件，SC/APC-0.9-单模，全塑，配硅胶尾套</t>
  </si>
  <si>
    <t>散件，SC/APC-0.9-单模，通鼎logo</t>
  </si>
  <si>
    <t>塑料</t>
  </si>
  <si>
    <t>散件，SC/APC-0.9-单模-锌合金</t>
  </si>
  <si>
    <t>散件，SC/APC-2.0-单模</t>
  </si>
  <si>
    <t>锌合金</t>
  </si>
  <si>
    <t>散件，SC/APC散件尾套，硅胶</t>
  </si>
  <si>
    <t>仕佳通信供货</t>
  </si>
  <si>
    <t>散件，SC/APC-3.0-单模</t>
  </si>
  <si>
    <t>散件，SC/PC-0.9-多模</t>
  </si>
  <si>
    <t>散件，LC/APC-3.0-单模</t>
  </si>
  <si>
    <t>散件，LC/PC-3.0-单模</t>
  </si>
  <si>
    <t>散件，LC/PC-3.0-双工多模</t>
  </si>
  <si>
    <t>散件，SC-0.9-尾套</t>
  </si>
  <si>
    <t>散件，SC-止动环-0.9</t>
  </si>
  <si>
    <t>散件，ST/PC-0.9-单模</t>
  </si>
  <si>
    <t>散件，SC/APC-3.0 铜散件</t>
  </si>
  <si>
    <t>散件，LC/APC-0.9-单模</t>
  </si>
  <si>
    <t>散件，LC/UPC-0.9-单模</t>
  </si>
  <si>
    <t>散件，SC/APC-0.9-单模</t>
  </si>
  <si>
    <t>散件，SC/UPC-0.9-单模</t>
  </si>
  <si>
    <t>散件，散件防尘帽，白色，免洗</t>
  </si>
  <si>
    <t>插芯，博莱特，APC大斜面-单模</t>
  </si>
  <si>
    <t>插芯，扇港，APC大斜面-单模，带尾柄</t>
  </si>
  <si>
    <t>插芯，旭焱，APC大斜面-单模</t>
  </si>
  <si>
    <t>光缆，光纤城，低烟无卤光缆-单模单芯-国产-φ0.9-G652D-黄色 LSZH</t>
  </si>
  <si>
    <t>光缆，通信，3.0单模单芯光缆，G652D，TUP黑色</t>
  </si>
  <si>
    <t>光缆，通信，5.5双芯铠装光缆，G65A2，LSZH黑色</t>
  </si>
  <si>
    <t>光缆，通信，单模单芯-12-φ0.9--12色</t>
  </si>
  <si>
    <t>光缆，通信，单模单芯-PVC国产-φ3.0-OM2-50/125-橙色</t>
  </si>
  <si>
    <t>光缆，通信，单模单芯-φ0.9hytrel-G657A1-白色</t>
  </si>
  <si>
    <t>光缆，通信，单模单芯-φ0.9-康宁G657A2-白色-LSZH</t>
  </si>
  <si>
    <t>光缆，通信，单模单芯-φ0.9-松套-G652D-黄</t>
  </si>
  <si>
    <t>光缆，通信，单模单芯-φ2.0-半紧套-康宁G652D-黄</t>
  </si>
  <si>
    <t>光缆，通信，单模单芯-国产-φ0.9-G657A1-白色hytrel</t>
  </si>
  <si>
    <t>光缆，通信，单模单芯-国产-φ0.9-G657A1-白色半紧包LSZH</t>
  </si>
  <si>
    <t>光缆，通信，单模单芯-国产-φ0.9-G657A2-白色</t>
  </si>
  <si>
    <t>光缆，通信，单模单芯-国产-φ0.9-G657A2-黄色-LSZH</t>
  </si>
  <si>
    <t>光缆，通信，单模单芯-国产-φ0.9-康宁G657A1-白色hytrel</t>
  </si>
  <si>
    <t>光缆，通信，单模单芯-国产-φ1.6-水绿色G657A2</t>
  </si>
  <si>
    <t>光缆，通信，单模单芯-国产-φ2.0-G652D-黄色</t>
  </si>
  <si>
    <t>光缆，通信，单模单芯-国产-φ2.0-蓝色G657A2</t>
  </si>
  <si>
    <t>光缆，通信，单模单芯-国产-φ2.8-G657A1-黄色</t>
  </si>
  <si>
    <t>光缆，通信，单模单芯-国产-φ3.0-G657A2-白色</t>
  </si>
  <si>
    <t>光缆，通信，单模单芯-国产-φ3.0-OM2-50/125-橙色-LSZH</t>
  </si>
  <si>
    <t>光缆，通信，单模单芯-蓝色-国产芳纶-φ2.0-G675A1</t>
  </si>
  <si>
    <t>光缆，通信，单模双芯并行-国产-φ2.0-蓝色G657A2</t>
  </si>
  <si>
    <t>光缆，通信，单模双芯-国产-φ3.0</t>
  </si>
  <si>
    <t>光缆，通信，单模双芯-国产芳纶-φ2.0-G657A1-黄色</t>
  </si>
  <si>
    <r>
      <rPr>
        <sz val="12"/>
        <rFont val="宋体"/>
        <charset val="134"/>
      </rPr>
      <t>光缆，通信，低烟无卤光缆-单模单芯-国产-φ0.9-G652D-</t>
    </r>
    <r>
      <rPr>
        <sz val="12"/>
        <color rgb="FFFF0000"/>
        <rFont val="宋体"/>
        <charset val="134"/>
      </rPr>
      <t>12色</t>
    </r>
    <r>
      <rPr>
        <sz val="12"/>
        <rFont val="宋体"/>
        <charset val="134"/>
      </rPr>
      <t>LSZH（紧套）</t>
    </r>
  </si>
  <si>
    <t>光缆，通信，低烟无卤光缆-单模单芯-国产-φ0.9-G657A1-黄色 LSZH</t>
  </si>
  <si>
    <t>光缆，通信，低烟无卤光缆-单模单芯-国产-φ0.9-G657A2-红色紧包 LSZH</t>
  </si>
  <si>
    <t>光缆，通信，低烟无卤光缆-单模单芯-国产-φ2.0-G657A1-黄色 LSZH</t>
  </si>
  <si>
    <t>光缆，通信，低烟无卤光缆-单模单芯-国产-φ2.8-G657A1-黄色 LSZH</t>
  </si>
  <si>
    <t>光缆，通信，低烟无卤光缆-单模双芯-国产-φ3.0-黄色</t>
  </si>
  <si>
    <t>光缆，通信，多模单芯-国产-φ0.9-OM2-50/125-橙色 LSZH</t>
  </si>
  <si>
    <t>光缆，通信，多模双芯-国产PVC-橙色-φ3.0(50/125)低烟无卤（LSZH)</t>
  </si>
  <si>
    <t>光缆，通信，分支光缆-单模-12芯-G652D-12.5/2.0-黄色/黄色-PVC国产</t>
  </si>
  <si>
    <t>光缆，阳安，单模单芯G657A2-φ2.8-LSZH-象牙白-进口芳纶</t>
  </si>
  <si>
    <t>光缆，裕荣，单模单芯-国产-φ1.6-水绿色G657A2</t>
  </si>
  <si>
    <t>光缆，长微，单模单芯-φ0.9-G657A1-OM3水绿色半紧包</t>
  </si>
  <si>
    <t>适配器，FC/APC 塑料长方形</t>
  </si>
  <si>
    <t>适配器，SC/APC</t>
  </si>
  <si>
    <t>适配器，SC/APC双工</t>
  </si>
  <si>
    <t>适配器，SC/PC精工法兰</t>
  </si>
  <si>
    <t>适配器，超亚，LC测试法兰</t>
  </si>
  <si>
    <t>适配器，超亚，SC测试法兰</t>
  </si>
  <si>
    <t>适配器，法兰防尘帽-透明</t>
  </si>
  <si>
    <t>适配器，光驰，LC/PC双工</t>
  </si>
  <si>
    <t>适配器，朗迅，SC/APC-单工</t>
  </si>
  <si>
    <t>适配器，至卓，FC/APC</t>
  </si>
  <si>
    <t>适配器，至卓，LC/APC-双工</t>
  </si>
  <si>
    <t>适配器，至卓，LC/APC-四联</t>
  </si>
  <si>
    <t>适配器，至卓，LC/PC</t>
  </si>
  <si>
    <t>适配器，至卓，LC/PC，双工，带弹片</t>
  </si>
  <si>
    <t>适配器，至卓，LC/PC，双工无耳，带弹片</t>
  </si>
  <si>
    <t>适配器，至卓，LC/PC-双工</t>
  </si>
  <si>
    <t>适配器，至卓，SC SM SX 外挡激适配器（组装式），带弹片</t>
  </si>
  <si>
    <t>适配器，至卓，SC/APC带弹片</t>
  </si>
  <si>
    <t>适配器，至卓，SC/APC-双工</t>
  </si>
  <si>
    <t>适配器，至卓，SC/APC双工透明防尘帽</t>
  </si>
  <si>
    <t>适配器，至卓，SC/APC透明防尘帽（分体式）</t>
  </si>
  <si>
    <t>适配器，至卓，SC/APC无耳，IL＜0.1dB</t>
  </si>
  <si>
    <t>适配器，至卓，SC/PC</t>
  </si>
  <si>
    <t>适配器，至卓，SC/PC-双工</t>
  </si>
  <si>
    <t>CWDM滤波片-浩联-全波</t>
  </si>
  <si>
    <t>CWDM滤波片-桑尼-全波</t>
  </si>
  <si>
    <t>CWDM滤波片-正和捷思-全波</t>
  </si>
  <si>
    <t>单纤准直器-益博</t>
  </si>
  <si>
    <t>单纤准直器-玖芯</t>
  </si>
  <si>
    <t>单纤准直器-客发</t>
  </si>
  <si>
    <t>双纤-益博</t>
  </si>
  <si>
    <t>双纤-玖芯</t>
  </si>
  <si>
    <t>玻璃管-内径1.8mm-外径2.78mm-长6mm</t>
  </si>
  <si>
    <t>玻璃管-内径1.8mm-外径2.78mm-长8mm</t>
  </si>
  <si>
    <t>玻璃管-内径3mm-外径4mm-长16mm</t>
  </si>
  <si>
    <t>玻璃管-内径3mm-外径4mm-长17mm</t>
  </si>
  <si>
    <t>玻璃管-内径3mm-外径4mm-长18mm</t>
  </si>
  <si>
    <t>标签，6*30</t>
  </si>
  <si>
    <t>标签，A4不干胶标签纸-5mm*90mm</t>
  </si>
  <si>
    <t>标签，A4不干胶哑面标签纸-40*60mm</t>
  </si>
  <si>
    <t>标签，A4不干胶哑面标签纸-47.8*28.2mm</t>
  </si>
  <si>
    <t>标签，T型标签</t>
  </si>
  <si>
    <t>标签，艾利铜版纸，65*40，飞阳</t>
  </si>
  <si>
    <t>标签，白色铜版纸，75*50mm</t>
  </si>
  <si>
    <t>标签，标签纸，14*60mm(PET)</t>
  </si>
  <si>
    <t>标签，标签纸，15*15mm</t>
  </si>
  <si>
    <t>标签，标签纸，16*12mm</t>
  </si>
  <si>
    <t>标签，标签纸，25*12mm(PET)</t>
  </si>
  <si>
    <t>标签，标签纸，25*12mm，普莱斯曼材质</t>
  </si>
  <si>
    <t>标签，标签纸，25.4*6.35mm(PET)，波若威跳线用</t>
  </si>
  <si>
    <t>标签，标签纸，30*40mm(PET),仕佳Logo</t>
  </si>
  <si>
    <t>标签，标签纸，40*60mm(PET)</t>
  </si>
  <si>
    <t>标签，标签纸，47.8*28.2mm</t>
  </si>
  <si>
    <t>标签，标签纸，5*15mm</t>
  </si>
  <si>
    <t>标签，标签纸，5*29.5mm(PET)，1271，1291，1311</t>
  </si>
  <si>
    <t>标签，标签纸，5*29.5mm(PET)，1331，1351，1371</t>
  </si>
  <si>
    <t>标签，标签纸，5*50mm(PET)，COM，1271，1291，1311</t>
  </si>
  <si>
    <t>标签，标签纸，5*50mm(PET)，COM，1331，1351，1371</t>
  </si>
  <si>
    <t>标签，标签纸，50*10mm，彩色</t>
  </si>
  <si>
    <t>标签，标签纸，55*25mm</t>
  </si>
  <si>
    <t>标签，标签纸，6*22mm(PET)</t>
  </si>
  <si>
    <t>标签，标签纸，8*15mm</t>
  </si>
  <si>
    <t>标签，标签纸，89*62mm</t>
  </si>
  <si>
    <t>标签，标签纸，90*4.5mm，亚银</t>
  </si>
  <si>
    <t>标签，标签纸,热敏,国产纸,70*40</t>
  </si>
  <si>
    <t>标签，标签纸,热敏,国产纸,80*60</t>
  </si>
  <si>
    <t>标签，标签纸,铜版纸,加粘,3.5*35</t>
  </si>
  <si>
    <t>标签，标签纸,消银龙纸,60*40</t>
  </si>
  <si>
    <t>标签，标签纸-105*40mm，铜板纸，波若威跳线用</t>
  </si>
  <si>
    <t>标签，标签纸-20*5mm，波若威用</t>
  </si>
  <si>
    <t>标签，标签纸-21*46mm</t>
  </si>
  <si>
    <t>标签，标签纸-25*25-8.5mm，B427乙烯膜，空白透明，品牌：BRADY，波若威跳线用</t>
  </si>
  <si>
    <t>标签，标签纸-25*3mm（亚银）</t>
  </si>
  <si>
    <t>标签，标签纸-5*45mm</t>
  </si>
  <si>
    <t>标签，标签纸-50*10MM</t>
  </si>
  <si>
    <t>标签，标签纸-50*35mm（亚银）</t>
  </si>
  <si>
    <t>标签，标签纸-50*4MMM</t>
  </si>
  <si>
    <t>标签，标签纸-6*42 铜版纸</t>
  </si>
  <si>
    <t>标签，标签纸-60*40mm-弧边</t>
  </si>
  <si>
    <t>标签，标签纸-7*70mm</t>
  </si>
  <si>
    <t>标签，标签纸-70*40mm，铜板纸</t>
  </si>
  <si>
    <t>标签，标签纸-80*80mm，铜板纸</t>
  </si>
  <si>
    <t>标签，标签纸-85*50mm-白色</t>
  </si>
  <si>
    <t>标签，标签纸-85*60mm，铜板纸</t>
  </si>
  <si>
    <t>标签，标签纸-A4不干胶-21张63.5*38.1mm</t>
  </si>
  <si>
    <t>标签，激光标识-10mm三角形</t>
  </si>
  <si>
    <t>标签，树脂碳带,60*300</t>
  </si>
  <si>
    <t>标签，碳带，90*300mm-腊基</t>
  </si>
  <si>
    <t>标签，碳带，90*300mm-树脂</t>
  </si>
  <si>
    <t>标签，通道标签，2.5*38mm,1271,1291,1311</t>
  </si>
  <si>
    <t>标签，通道标签，2.5*38mm,1331,1351,1371</t>
  </si>
  <si>
    <t>标签，通道标签，2.5*9mm,COM</t>
  </si>
  <si>
    <t>标签，铜版纸，28*10mm</t>
  </si>
  <si>
    <t>标签，铜版纸，30*30mm</t>
  </si>
  <si>
    <t>标签，铜版纸，40*7mm</t>
  </si>
  <si>
    <t>标签，铜版纸，50*30mm</t>
  </si>
  <si>
    <t>标签，铜版纸，60*60mm</t>
  </si>
  <si>
    <t>标签，铜版纸，60*80mm</t>
  </si>
  <si>
    <t>标签，铜版纸，65*45mm</t>
  </si>
  <si>
    <t>标签，铜版纸，80*55</t>
  </si>
  <si>
    <t>标签，铜版纸，90*30mm</t>
  </si>
  <si>
    <t>标签，椭圆QCPASSED 9*13mm（不干胶PASS标签贴纸）</t>
  </si>
  <si>
    <t>标签，亚银，47.8*28.2mm</t>
  </si>
  <si>
    <t>零星，标签纸，亚银 5*45</t>
  </si>
  <si>
    <t>胶带，3M 蓝色PVC胶带-10mm宽</t>
  </si>
  <si>
    <t>胶带，3M810-1.27cm宽  33米/卷 波若威用</t>
  </si>
  <si>
    <t>胶带，3M胶带-1.27cm宽</t>
  </si>
  <si>
    <t>胶带，3M双面塑料泡棉胶带-4mm宽  33米/卷</t>
  </si>
  <si>
    <t>胶带，3M双面塑料泡棉胶带-6mm*50mm宽（BRW用）</t>
  </si>
  <si>
    <t>胶带，3M透明胶带-1.9cm宽  33米/卷</t>
  </si>
  <si>
    <t>胶带，3M隐形胶带-1.27cm宽  33米/卷</t>
  </si>
  <si>
    <t>胶带，3M隐形胶带-1.27cm宽  33米/卷 禾之和</t>
  </si>
  <si>
    <t>胶带，3M隐形胶带-1.9cm宽  33米/卷</t>
  </si>
  <si>
    <t>胶带，PVC胶带-1cm宽</t>
  </si>
  <si>
    <t>胶带，电工胶带-1.5cm宽</t>
  </si>
  <si>
    <t>胶带，封箱胶带-大卷-4.6cm宽</t>
  </si>
  <si>
    <t>胶带，红色自粘胶带-1cm宽</t>
  </si>
  <si>
    <t>胶带，美纹纸胶带-白色-1cm宽</t>
  </si>
  <si>
    <t>胶带，美纹纸胶带-黄色-2cm宽</t>
  </si>
  <si>
    <t>胶带，美纹纸胶带-蓝色-1cm宽</t>
  </si>
  <si>
    <t>胶带，耐高温胶带-1.2cm宽，30米</t>
  </si>
  <si>
    <t>胶带，耐高温胶带-1cm宽</t>
  </si>
  <si>
    <t>胶带，耐高温胶带-1cm宽，33米</t>
  </si>
  <si>
    <t>胶带，耐高温胶带-2cm宽</t>
  </si>
  <si>
    <t>胶带，耐高温胶带-2cm宽（BRW专用）</t>
  </si>
  <si>
    <t>胶带，泡棉胶带-1.6cm宽</t>
  </si>
  <si>
    <t>胶带，双面胶-白色-1cm宽</t>
  </si>
  <si>
    <t>胶带，透明胶带-1cm宽</t>
  </si>
  <si>
    <t>胶带，自黏胶带-1cm</t>
  </si>
  <si>
    <t>小胶带</t>
  </si>
  <si>
    <t>胶水，6405</t>
  </si>
  <si>
    <t>胶水，AB胶105</t>
  </si>
  <si>
    <t>胶水，AB胶-E-120HP</t>
  </si>
  <si>
    <t>胶水，AB胶-模块</t>
  </si>
  <si>
    <t>胶水，EP1026A/B-3F</t>
  </si>
  <si>
    <t>胶水，K45</t>
  </si>
  <si>
    <t>胶水，UV胶,3321</t>
  </si>
  <si>
    <t>胶水，UV胶,3410VM</t>
  </si>
  <si>
    <t>胶水，UV胶,3721</t>
  </si>
  <si>
    <t>胶水，UV胶,AT 6001</t>
  </si>
  <si>
    <t>胶水，UV胶,DT6001</t>
  </si>
  <si>
    <t>胶水，UV胶,EA002</t>
  </si>
  <si>
    <t>胶水，UV胶,NTT3727</t>
  </si>
  <si>
    <t>胶水，道康宁-732</t>
  </si>
  <si>
    <t>胶水，封装胶水20J-053D</t>
  </si>
  <si>
    <t>胶水，光纤固化胶-353ND</t>
  </si>
  <si>
    <t>胶水，光纤固化胶-8353（替代353ND）</t>
  </si>
  <si>
    <t>胶水，乐泰-495</t>
  </si>
  <si>
    <t>胶水，螺纹胶，卡夫特K-0262-红瓶/50ml</t>
  </si>
  <si>
    <t>胶水，瞬干胶401，20g/支</t>
  </si>
  <si>
    <t>胶水，瞬干胶502</t>
  </si>
  <si>
    <t>胶水，天目，704，白色</t>
  </si>
  <si>
    <t>胶水，天目，704，黑色</t>
  </si>
  <si>
    <t>胶水-NTT-AT6001</t>
  </si>
  <si>
    <t>抛光，ADS</t>
  </si>
  <si>
    <t>抛光，SO-06H 抛光片</t>
  </si>
  <si>
    <t>抛光，二氧化硅抛光片，XF5D，Φ127</t>
  </si>
  <si>
    <t>抛光，聚氨酯抛光垫，LD66C/77,380*2.0</t>
  </si>
  <si>
    <t>抛光，抛光片，NFS001</t>
  </si>
  <si>
    <t>抛光，碳化硅微粉w3.5-鹏胜</t>
  </si>
  <si>
    <t>抛光，氧化铈抛光粉，鹏飞</t>
  </si>
  <si>
    <t>研磨，研磨垫-70</t>
  </si>
  <si>
    <t>研磨，研磨垫-75</t>
  </si>
  <si>
    <t>研磨，研磨垫-80-精工</t>
  </si>
  <si>
    <t>研磨，研磨垫-85-精工</t>
  </si>
  <si>
    <t>研磨，研磨垫-90-精工</t>
  </si>
  <si>
    <t>研磨，研磨片-1u</t>
  </si>
  <si>
    <t>研磨，研磨片-1u（阿博隆）</t>
  </si>
  <si>
    <t>研磨，研磨片-9u</t>
  </si>
  <si>
    <t>研磨，研磨片-9u（阿博隆）</t>
  </si>
  <si>
    <t>研磨，研磨纸-30u</t>
  </si>
  <si>
    <t>研磨，纸巾-研磨用 18*18cm</t>
  </si>
  <si>
    <t>泡棉，115*125*5白色泡棉块</t>
  </si>
  <si>
    <t>泡棉，330*240*15</t>
  </si>
  <si>
    <t>泡棉，WDM包装泡棉</t>
  </si>
  <si>
    <t>泡棉，白色海绵圈，钢封吸塑用</t>
  </si>
  <si>
    <t>泡棉，包装泡棉160*100*22</t>
  </si>
  <si>
    <t>泡棉，缠绕膜</t>
  </si>
  <si>
    <t>泡棉，泡棉165X125X16mm</t>
  </si>
  <si>
    <t>泡棉，泡棉板-320*180*7</t>
  </si>
  <si>
    <t>泡棉，泡棉盖-390*265*8</t>
  </si>
  <si>
    <t>泡棉，泡棉-功率计泡棉-430*210*70</t>
  </si>
  <si>
    <t>泡棉，泡棉盒-385*260*80</t>
  </si>
  <si>
    <t>泡棉，泡棉盒-385*260*80，粉色</t>
  </si>
  <si>
    <t>泡棉，泡棉卡槽（配420*305*40飞机盒）</t>
  </si>
  <si>
    <t>泡棉，泡棉块，钢封吸塑用</t>
  </si>
  <si>
    <t>泡棉，泡棉块-405*300*5（配420*305*40飞机盒）</t>
  </si>
  <si>
    <t>泡棉，泡棉块-405*300*8（配420*305*40飞机盒）</t>
  </si>
  <si>
    <t>泡棉，泡棉圈，钢封吸塑用</t>
  </si>
  <si>
    <t>泡棉，气泡袋</t>
  </si>
  <si>
    <t>泡棉，气泡袋-18*26</t>
  </si>
  <si>
    <t>泡棉，气泡袋-180*260+40 ，波若威用</t>
  </si>
  <si>
    <t>泡棉，气泡袋-265*200mm（外部尺寸），波若威跳线用</t>
  </si>
  <si>
    <t>泡棉，微型泡棉盒-320*180*25</t>
  </si>
  <si>
    <t>无尘棉棒-绿色</t>
  </si>
  <si>
    <t>吸塑盒，1*16-27.1*20*2cm</t>
  </si>
  <si>
    <t>吸塑盒，1*8微型170*130*22</t>
  </si>
  <si>
    <t>吸塑盒，195*128*20</t>
  </si>
  <si>
    <t>吸塑盒，200*130*20</t>
  </si>
  <si>
    <t>吸塑盒，201*146*10，8及以下微型使用</t>
  </si>
  <si>
    <t>吸塑盒，201*146*10，8以下微型，古河</t>
  </si>
  <si>
    <t>吸塑盒，201*146*20，16微型，常规</t>
  </si>
  <si>
    <t>吸塑盒，201*146*20，16微型，古河</t>
  </si>
  <si>
    <t>吸塑盒，225*145*22</t>
  </si>
  <si>
    <t>吸塑盒，225*150*14，波兰吸塑盒，8及以下微封用</t>
  </si>
  <si>
    <t>吸塑盒，245*215*20，华脉吸塑盒，8及以下盒式用</t>
  </si>
  <si>
    <t>吸塑盒，260*210*30，波兰吸塑盒，16及32模块用</t>
  </si>
  <si>
    <t>吸塑盒，27*22cm-100*80*10</t>
  </si>
  <si>
    <t>吸塑盒，27*22cm-120*80*18</t>
  </si>
  <si>
    <t>吸塑盒，270*220*30</t>
  </si>
  <si>
    <t>吸塑盒，282*115*20</t>
  </si>
  <si>
    <t>吸塑盒，300*340*25，鹏大32盒式使用</t>
  </si>
  <si>
    <t>吸塑盒，345*265*50</t>
  </si>
  <si>
    <t>吸塑盒，白色透明吸塑盒-100*80*10装两个</t>
  </si>
  <si>
    <t>吸塑盒，束状盒-12芯</t>
  </si>
  <si>
    <t>吸塑盒，吸塑盒，120*215,0.5 APET</t>
  </si>
  <si>
    <t>纸盒，E瓦，内径205*170*150，翻盖型</t>
  </si>
  <si>
    <t>纸盒，WDM纸盒，内尺寸290X255X60</t>
  </si>
  <si>
    <t>纸盒，白纸板，150x230，波若威用</t>
  </si>
  <si>
    <t>纸盒，白纸板，200x148</t>
  </si>
  <si>
    <t>纸盒，白纸板，245*165</t>
  </si>
  <si>
    <t>纸盒，白纸板，280*180</t>
  </si>
  <si>
    <t>纸盒，白纸盒，外尺寸175X135X18</t>
  </si>
  <si>
    <t>纸盒，包装盒-Ⅱ型 190*165*50mm</t>
  </si>
  <si>
    <t>纸盒，包装纸盒165*105*25</t>
  </si>
  <si>
    <t>纸盒，波兰纸盒，内尺寸131*116*26，8及以下模块用</t>
  </si>
  <si>
    <t>纸盒，波兰纸盒，内尺寸270*270*48，64模块用</t>
  </si>
  <si>
    <t>纸盒，插片内纸箱  267*128*113</t>
  </si>
  <si>
    <t>纸盒，内径22*12.2*17</t>
  </si>
  <si>
    <t>纸盒，识别议白盒-BD301用-27*22*7cm</t>
  </si>
  <si>
    <t>纸盒，纸盒，内尺寸145*115*60</t>
  </si>
  <si>
    <t>纸盒，纸盒，内尺寸210X155X210</t>
  </si>
  <si>
    <t>纸盒，纸盒，内尺寸210X155X415</t>
  </si>
  <si>
    <t>纸箱，335*238*380</t>
  </si>
  <si>
    <t>纸箱，370*240*365</t>
  </si>
  <si>
    <t>纸箱，44*35*25</t>
  </si>
  <si>
    <t>纸箱，458*320*470，鹏大8以下盒式1.5m以上及32、64盒式使用(无箱钉）</t>
  </si>
  <si>
    <t>纸箱，478*416*300（内部尺寸），波若威跳线用</t>
  </si>
  <si>
    <t>纸箱，4号-小/41.5*35.4*26cm</t>
  </si>
  <si>
    <t>纸箱，540*440*320</t>
  </si>
  <si>
    <t>纸箱，670*270*400-通鼎盒式外箱</t>
  </si>
  <si>
    <t>纸箱，插片外箱-430*270*255-通鼎</t>
  </si>
  <si>
    <t>纸箱，插片纸箱-575*470*255 烽火logo 配隔板</t>
  </si>
  <si>
    <t>纸箱，内盒260*135*120</t>
  </si>
  <si>
    <t>纸箱，内径125*50*225，小机架内盒</t>
  </si>
  <si>
    <t>纸箱，内径208*55*440，大机架内盒</t>
  </si>
  <si>
    <t>纸箱，内径305*214*446，大机架外箱</t>
  </si>
  <si>
    <t>纸箱，内径405x270x380</t>
  </si>
  <si>
    <t>纸箱，内径460*310*145，波兰纸箱，8及以下微封用</t>
  </si>
  <si>
    <t>纸箱，内径460x435x430，古河logo，钢封使用</t>
  </si>
  <si>
    <t>纸箱，内径460x435x430，无logo，钢封使用</t>
  </si>
  <si>
    <t>纸箱，内径490x440x435，无logo，越南微型</t>
  </si>
  <si>
    <t>纸箱，内径524*280*230，小机架外箱</t>
  </si>
  <si>
    <t>纸箱，内径530*430*435，波兰纸箱，16及32模块用</t>
  </si>
  <si>
    <t>纸箱，内径540x340x430</t>
  </si>
  <si>
    <t>纸箱，内径-56.5*42.5*44.5</t>
  </si>
  <si>
    <t>纸箱，内径600x420x330，古河logo，16及以下微型用</t>
  </si>
  <si>
    <t>纸箱，内径600x420x330，中性纸箱，16及以下微型用</t>
  </si>
  <si>
    <t>纸箱，内径600x420x330，中性纸箱，16及以下微型用(进口牛皮纸)</t>
  </si>
  <si>
    <t>纸箱，内径605*315*320</t>
  </si>
  <si>
    <t>纸箱，内径620*310*165，波兰纸箱，8及以下模块用</t>
  </si>
  <si>
    <t>纸箱，通鼎内箱-330*190*33</t>
  </si>
  <si>
    <t>纸箱，外径440x400x240，带印刷</t>
  </si>
  <si>
    <t>纸箱，外箱-600*380*320 (配套580*320，360*320隔板）</t>
  </si>
  <si>
    <t>纸箱，外箱615*275*285</t>
  </si>
  <si>
    <t>纸箱，外纸箱-585*320*450 （外尺寸）</t>
  </si>
  <si>
    <t>自封袋，14*16*8</t>
  </si>
  <si>
    <t>自封袋，14*20</t>
  </si>
  <si>
    <t>自封袋，15*5*20.5,巴西印字</t>
  </si>
  <si>
    <t>自封袋，17*25*6</t>
  </si>
  <si>
    <t>自封袋，18*25*6,</t>
  </si>
  <si>
    <t>自封袋，18*26*8</t>
  </si>
  <si>
    <t>自封袋，25*35*6</t>
  </si>
  <si>
    <t>自封袋，8*12*8</t>
  </si>
  <si>
    <t>号码管，热缩号码管，φ1.5mm</t>
  </si>
  <si>
    <t>号码管，OMR-0.75，凯士士</t>
  </si>
  <si>
    <t>号码管，白色-LSZH-0.9 N(内径0.95mm)</t>
  </si>
  <si>
    <t>号码管，白色-LSZH-0.9(内径0.95mm)</t>
  </si>
  <si>
    <t>号码管，白色-PE</t>
  </si>
  <si>
    <t>号码管，白色-PVC-0.5平方</t>
  </si>
  <si>
    <t>号码管，白色-PVC-0.5平方，1到16</t>
  </si>
  <si>
    <t>号码管，白色-PVC-0.5平方，1到32</t>
  </si>
  <si>
    <t>号码管，白色-PVC-0.5平方，1到4</t>
  </si>
  <si>
    <t>号码管，白色-PVC-0.5平方，1到8</t>
  </si>
  <si>
    <t>号码管，白色-PVC-0.5平方，C</t>
  </si>
  <si>
    <t>号码管，白色-PVC-0.9</t>
  </si>
  <si>
    <t>号码管，白色-PVC-1.5平方</t>
  </si>
  <si>
    <t>号码管，白色-PVC-1平方-A</t>
  </si>
  <si>
    <t>号码管，白色-PVC-1平方-B</t>
  </si>
  <si>
    <t>号码管，白色-PVC-2MM H-41</t>
  </si>
  <si>
    <t>号码管，白色-PVC-3MM</t>
  </si>
  <si>
    <t>硅胶螺旋管，1.5*3</t>
  </si>
  <si>
    <t>硅胶螺旋管，2*4</t>
  </si>
  <si>
    <t>硅胶螺旋管，3*5</t>
  </si>
  <si>
    <t>硅胶螺旋管，5*7</t>
  </si>
  <si>
    <t>化学品，BOE-氟化钠</t>
  </si>
  <si>
    <t>化学品，电解水</t>
  </si>
  <si>
    <t>化学品，酒精</t>
  </si>
  <si>
    <t>化学品，去蜡原液</t>
  </si>
  <si>
    <t>化学品，水性清洗剂2750</t>
  </si>
  <si>
    <t>化学品，无水乙醇（99.99%）</t>
  </si>
  <si>
    <t>化学品，稀释液-丙酮（MOS级）</t>
  </si>
  <si>
    <t>化学品，稀释液-硫酸（MOS级）</t>
  </si>
  <si>
    <t>FA，3通道，纤长500±30mm，康宁保偏光纤，127μm间距，光纤阵列带气密封装结节</t>
  </si>
  <si>
    <t>FA,4CH,纤长1.0m,康宁HI1060光纤熔接康宁PM1310光纤，254间距，FC-APC连接头</t>
  </si>
  <si>
    <t>FA/单纤 1X4FA,250um,康宁1550熊猫保偏 光纤，1.5m</t>
  </si>
  <si>
    <t>保偏光纤，长飞，PM1310,125-16/250_Y，PM1016-E</t>
  </si>
  <si>
    <t>保偏光纤，长飞，PM1550,125-18/250_Y，PM1017-E</t>
  </si>
  <si>
    <t>光纤，1芯，G657B3</t>
  </si>
  <si>
    <t>光纤，1芯，G657B3，橙色</t>
  </si>
  <si>
    <t>光纤，1芯，G657B3，蓝色</t>
  </si>
  <si>
    <t>光纤，4芯，G657A1，红紫棕粉</t>
  </si>
  <si>
    <t>光纤，4芯，G657A1，绿黄白蓝</t>
  </si>
  <si>
    <t>光纤，4芯，G657B3，蓝橙绿棕</t>
  </si>
  <si>
    <t>光纤，6芯，G657A2，蓝橙绿棕灰白</t>
  </si>
  <si>
    <t>光纤，6芯，通信，G657A2，蓝橙绿棕灰白</t>
  </si>
  <si>
    <t>光纤，8芯，G657B3，蓝橙绿棕灰白红黑</t>
  </si>
  <si>
    <t>光纤，Corning RCBI-1310</t>
  </si>
  <si>
    <t>光纤，保偏/康宁/PM15-U25D</t>
  </si>
  <si>
    <t>光纤，华信藤仓，1芯，G657A1，橙色</t>
  </si>
  <si>
    <t>光纤，华信藤仓，1芯，G657A1，蓝色</t>
  </si>
  <si>
    <t>光纤，华信藤仓，1芯，G657A2</t>
  </si>
  <si>
    <t>光纤，华信藤仓，4芯，G657A2</t>
  </si>
  <si>
    <t>光纤，华信藤仓，8芯，G657A2</t>
  </si>
  <si>
    <t>光纤，康宁，1芯，G652D</t>
  </si>
  <si>
    <t>光纤，康宁，1芯，G657A2 FH</t>
  </si>
  <si>
    <t>光纤，康宁，1芯，G657A1 橙色</t>
  </si>
  <si>
    <t>光纤，康宁，1芯，G657A1 蓝色</t>
  </si>
  <si>
    <t>光纤，康宁，1芯，G657A1（美康）</t>
  </si>
  <si>
    <t>光纤，康宁，4芯，G657A2，裕荣并带</t>
  </si>
  <si>
    <t>光纤，康宁，4芯，康宁G657A1,Ultra,灰白红黑</t>
  </si>
  <si>
    <t>光纤，康宁，4芯，康宁G657A2,蓝橙绿棕，华信带</t>
  </si>
  <si>
    <t>光纤，康宁，8芯，G652D</t>
  </si>
  <si>
    <t>光纤，康宁，8芯，G657A1，裕荣并带</t>
  </si>
  <si>
    <t>光纤，康宁/HI 1060</t>
  </si>
  <si>
    <t>光纤，康宁/保偏/PM13-U25D，PM1310</t>
  </si>
  <si>
    <t>光纤，美国康宁，1芯，G652D</t>
  </si>
  <si>
    <t>光纤，美国康宁，4芯，G652D</t>
  </si>
  <si>
    <t>光纤，通信，1芯，G657A1</t>
  </si>
  <si>
    <t>光纤，通信，1芯，G657A1，黄色</t>
  </si>
  <si>
    <t>光纤，通信，1芯，G657A1，蓝色</t>
  </si>
  <si>
    <t>光纤，通信，1芯，G657A1，绿色</t>
  </si>
  <si>
    <t>光纤，通信，1芯，G657A1，紫色</t>
  </si>
  <si>
    <t>光纤，通信，1芯，G657A2</t>
  </si>
  <si>
    <t>光纤，通信，1芯，G657A2，橙色</t>
  </si>
  <si>
    <t>光纤，通信，1芯，G657A2，蓝色</t>
  </si>
  <si>
    <t>光纤，通信，1芯带纤，G652D</t>
  </si>
  <si>
    <t>光纤，通信，4芯，G652D</t>
  </si>
  <si>
    <t>光纤，通信，4芯，G657A1</t>
  </si>
  <si>
    <t>光纤，通信，4芯，G657A1，黄紫棕黑</t>
  </si>
  <si>
    <t>光纤，通信，4芯，G657A1，蓝橙绿红</t>
  </si>
  <si>
    <t>光纤，通信，4芯，G657A1，紫色</t>
  </si>
  <si>
    <t>光纤，通信，4芯，G657A2，</t>
  </si>
  <si>
    <t>光纤，通信，6芯，G657A1，蓝橙绿棕灰白</t>
  </si>
  <si>
    <t>光纤，通信，8芯，G652D</t>
  </si>
  <si>
    <t>光纤，通信，8芯，G657A1</t>
  </si>
  <si>
    <t>光纤，通信，8芯，G657A1，黑色</t>
  </si>
  <si>
    <t>光纤，通信，8芯，G657A2</t>
  </si>
  <si>
    <t>光纤，裕荣，4芯，G657A1，灰白红黑</t>
  </si>
  <si>
    <t>光纤，裕荣，8芯，G657A2</t>
  </si>
  <si>
    <t>光纤，长飞，4芯，G657A1</t>
  </si>
  <si>
    <t>光纤，长飞，8芯，G657A1</t>
  </si>
  <si>
    <t>光纤，长飞/1芯/G657A2</t>
  </si>
  <si>
    <t>光纤，长飞/8芯/G657A2</t>
  </si>
  <si>
    <t>光纤，长飞/CS980_125-16/250</t>
  </si>
  <si>
    <t>光纤，1芯，G657A1,华信（藤仓-进口光棒）</t>
  </si>
  <si>
    <t>光纤，1芯，G657A1,华信（烽火-国产光棒）</t>
  </si>
  <si>
    <t>光纤，1芯，G657A1,通信（国产中柱）</t>
  </si>
  <si>
    <t>光纤，1芯，G657A1,通信（长飞）</t>
  </si>
  <si>
    <t>光纤，1芯，G657A1,华信，着色</t>
  </si>
  <si>
    <t>光纤，1芯，G657A1,通信，着色（长飞）</t>
  </si>
  <si>
    <t>光纤，1芯，G657A2,华信</t>
  </si>
  <si>
    <t>光纤，1芯，G657A2,通信（中柱）</t>
  </si>
  <si>
    <t>光纤，1芯，康宁G657A1，华信</t>
  </si>
  <si>
    <t>光纤，1芯，康宁G657A1，通信</t>
  </si>
  <si>
    <t>光纤，4芯，G657A1,华信</t>
  </si>
  <si>
    <t>光纤，4芯，G657A1,通信（中柱）</t>
  </si>
  <si>
    <t>光纤，4芯，G657A1,裕荣</t>
  </si>
  <si>
    <t>光纤，4芯，G657A2,华信</t>
  </si>
  <si>
    <t>光纤，4芯，G657A2,通信（中柱）</t>
  </si>
  <si>
    <t>光纤，4芯，G657A2,裕荣</t>
  </si>
  <si>
    <t>光纤，4芯，康宁G657A1，华信（灰白红黑）</t>
  </si>
  <si>
    <t>光纤，4芯，康宁G657A1，裕荣（灰白红黑）</t>
  </si>
  <si>
    <t>光纤，4芯，康宁G657A2，华信</t>
  </si>
  <si>
    <t>光纤，4芯，康宁G657A2，裕荣</t>
  </si>
  <si>
    <t>光纤，8芯，G657A1,华信</t>
  </si>
  <si>
    <t>光纤，8芯，G657A1,通信（中柱）</t>
  </si>
  <si>
    <t>光纤，8芯，G657A1,裕荣</t>
  </si>
  <si>
    <t>光纤，8芯，G657A2,华信</t>
  </si>
  <si>
    <t>光纤，8芯，G657A2,通信（中柱）</t>
  </si>
  <si>
    <t>光纤，8芯，G657A2,裕荣</t>
  </si>
  <si>
    <t>光纤，8芯，康宁G657A1,华信</t>
  </si>
  <si>
    <t>光纤，8芯，康宁G657A1,裕荣</t>
  </si>
  <si>
    <t>光纤，8芯，康宁G657A2,华信</t>
  </si>
  <si>
    <t>光纤，8芯，康宁G657A2,裕荣</t>
  </si>
  <si>
    <t>分路器车间单价表</t>
  </si>
  <si>
    <t>1*2</t>
  </si>
  <si>
    <t>1*4</t>
  </si>
  <si>
    <t>1*8</t>
  </si>
  <si>
    <t>1*16</t>
  </si>
  <si>
    <t>1*32</t>
  </si>
  <si>
    <t>1*64</t>
  </si>
  <si>
    <t>2*2</t>
  </si>
  <si>
    <t>2*4</t>
  </si>
  <si>
    <t>2*8</t>
  </si>
  <si>
    <t>2*16</t>
  </si>
  <si>
    <t>2*32</t>
  </si>
  <si>
    <t>2*64</t>
  </si>
  <si>
    <t>耦合普通产品</t>
  </si>
  <si>
    <r>
      <rPr>
        <b/>
        <sz val="8"/>
        <color theme="1"/>
        <rFont val="宋体"/>
        <charset val="134"/>
      </rPr>
      <t>耦合</t>
    </r>
    <r>
      <rPr>
        <b/>
        <sz val="8"/>
        <color rgb="FF000000"/>
        <rFont val="宋体"/>
        <charset val="134"/>
      </rPr>
      <t>BRW/古河AFOP产品</t>
    </r>
  </si>
  <si>
    <t>2..6</t>
  </si>
  <si>
    <t>（单通道）≤1米</t>
  </si>
  <si>
    <t>（单通道）＞1米</t>
  </si>
  <si>
    <t>测试BRW/古河/AFOP输出回损</t>
  </si>
  <si>
    <t>测试BRW/古河AFOP输入回损</t>
  </si>
  <si>
    <t>测试BRW/古河AFOP插损</t>
  </si>
  <si>
    <r>
      <rPr>
        <b/>
        <sz val="8"/>
        <color theme="1"/>
        <rFont val="宋体"/>
        <charset val="134"/>
      </rPr>
      <t>封装</t>
    </r>
    <r>
      <rPr>
        <b/>
        <sz val="8"/>
        <color theme="1"/>
        <rFont val="宋体"/>
        <charset val="134"/>
      </rPr>
      <t>/</t>
    </r>
    <r>
      <rPr>
        <b/>
        <sz val="8"/>
        <color theme="1"/>
        <rFont val="宋体"/>
        <charset val="134"/>
      </rPr>
      <t>钢封</t>
    </r>
  </si>
  <si>
    <r>
      <rPr>
        <b/>
        <sz val="8"/>
        <color theme="1"/>
        <rFont val="宋体"/>
        <charset val="134"/>
      </rPr>
      <t>封装</t>
    </r>
    <r>
      <rPr>
        <b/>
        <sz val="8"/>
        <color theme="1"/>
        <rFont val="宋体"/>
        <charset val="134"/>
      </rPr>
      <t>/</t>
    </r>
    <r>
      <rPr>
        <b/>
        <sz val="8"/>
        <color theme="1"/>
        <rFont val="宋体"/>
        <charset val="134"/>
      </rPr>
      <t>插片微封</t>
    </r>
  </si>
  <si>
    <t>封装/微封出货≤1米</t>
  </si>
  <si>
    <t>封装/微封出货＞1米</t>
  </si>
  <si>
    <t>封装/钢封出货</t>
  </si>
  <si>
    <r>
      <rPr>
        <b/>
        <sz val="8"/>
        <color theme="1"/>
        <rFont val="宋体"/>
        <charset val="134"/>
      </rPr>
      <t>堵头(套)</t>
    </r>
    <r>
      <rPr>
        <b/>
        <sz val="8"/>
        <color theme="1"/>
        <rFont val="宋体"/>
        <charset val="134"/>
      </rPr>
      <t>＜</t>
    </r>
    <r>
      <rPr>
        <b/>
        <sz val="8"/>
        <color theme="1"/>
        <rFont val="宋体"/>
        <charset val="134"/>
      </rPr>
      <t>1米（含裁空管）</t>
    </r>
  </si>
  <si>
    <r>
      <rPr>
        <b/>
        <sz val="8"/>
        <color theme="1"/>
        <rFont val="宋体"/>
        <charset val="134"/>
      </rPr>
      <t>堵头(套)</t>
    </r>
    <r>
      <rPr>
        <b/>
        <sz val="8"/>
        <color theme="1"/>
        <rFont val="宋体"/>
        <charset val="134"/>
      </rPr>
      <t>＞</t>
    </r>
    <r>
      <rPr>
        <b/>
        <sz val="8"/>
        <color theme="1"/>
        <rFont val="宋体"/>
        <charset val="134"/>
      </rPr>
      <t>1米（含裁空管）</t>
    </r>
  </si>
  <si>
    <r>
      <rPr>
        <b/>
        <sz val="8"/>
        <color theme="1"/>
        <rFont val="宋体"/>
        <charset val="134"/>
      </rPr>
      <t>彩纤堵头</t>
    </r>
    <r>
      <rPr>
        <b/>
        <sz val="8"/>
        <color theme="1"/>
        <rFont val="宋体"/>
        <charset val="134"/>
      </rPr>
      <t>＞</t>
    </r>
    <r>
      <rPr>
        <b/>
        <sz val="8"/>
        <color theme="1"/>
        <rFont val="宋体"/>
        <charset val="134"/>
      </rPr>
      <t>1米（含裁空管）</t>
    </r>
  </si>
  <si>
    <r>
      <rPr>
        <b/>
        <sz val="8"/>
        <color theme="1"/>
        <rFont val="宋体"/>
        <charset val="134"/>
      </rPr>
      <t>微型撕纤</t>
    </r>
    <r>
      <rPr>
        <b/>
        <sz val="8"/>
        <color theme="1"/>
        <rFont val="宋体"/>
        <charset val="134"/>
      </rPr>
      <t>≤1米</t>
    </r>
  </si>
  <si>
    <t>/</t>
  </si>
  <si>
    <r>
      <rPr>
        <b/>
        <sz val="8"/>
        <color theme="1"/>
        <rFont val="宋体"/>
        <charset val="134"/>
      </rPr>
      <t>微型撕纤＜1.5</t>
    </r>
    <r>
      <rPr>
        <b/>
        <sz val="8"/>
        <color theme="1"/>
        <rFont val="宋体"/>
        <charset val="134"/>
      </rPr>
      <t>米</t>
    </r>
  </si>
  <si>
    <r>
      <rPr>
        <b/>
        <sz val="8"/>
        <color theme="1"/>
        <rFont val="宋体"/>
        <charset val="134"/>
      </rPr>
      <t>微型撕纤＞1.5</t>
    </r>
    <r>
      <rPr>
        <b/>
        <sz val="8"/>
        <color theme="1"/>
        <rFont val="宋体"/>
        <charset val="134"/>
      </rPr>
      <t>米</t>
    </r>
  </si>
  <si>
    <r>
      <rPr>
        <b/>
        <sz val="8"/>
        <color theme="1"/>
        <rFont val="宋体"/>
        <charset val="134"/>
      </rPr>
      <t>微型穿纤＜1</t>
    </r>
    <r>
      <rPr>
        <b/>
        <sz val="8"/>
        <color theme="1"/>
        <rFont val="宋体"/>
        <charset val="134"/>
      </rPr>
      <t>米</t>
    </r>
  </si>
  <si>
    <r>
      <rPr>
        <b/>
        <sz val="8"/>
        <color theme="1"/>
        <rFont val="宋体"/>
        <charset val="134"/>
      </rPr>
      <t>微型穿纤＞1</t>
    </r>
    <r>
      <rPr>
        <b/>
        <sz val="8"/>
        <color theme="1"/>
        <rFont val="宋体"/>
        <charset val="134"/>
      </rPr>
      <t>米</t>
    </r>
  </si>
  <si>
    <r>
      <rPr>
        <b/>
        <sz val="8"/>
        <color theme="1"/>
        <rFont val="宋体"/>
        <charset val="134"/>
      </rPr>
      <t>盒式穿纤＜1</t>
    </r>
    <r>
      <rPr>
        <b/>
        <sz val="8"/>
        <color theme="1"/>
        <rFont val="宋体"/>
        <charset val="134"/>
      </rPr>
      <t>米</t>
    </r>
  </si>
  <si>
    <r>
      <rPr>
        <b/>
        <sz val="8"/>
        <color theme="1"/>
        <rFont val="宋体"/>
        <charset val="134"/>
      </rPr>
      <t>盒式穿纤＞1</t>
    </r>
    <r>
      <rPr>
        <b/>
        <sz val="8"/>
        <color theme="1"/>
        <rFont val="宋体"/>
        <charset val="134"/>
      </rPr>
      <t>米</t>
    </r>
  </si>
  <si>
    <r>
      <rPr>
        <b/>
        <sz val="8"/>
        <color theme="1"/>
        <rFont val="宋体"/>
        <charset val="134"/>
      </rPr>
      <t>钢型撕纤＜1.5</t>
    </r>
    <r>
      <rPr>
        <b/>
        <sz val="8"/>
        <color theme="1"/>
        <rFont val="宋体"/>
        <charset val="134"/>
      </rPr>
      <t>米</t>
    </r>
  </si>
  <si>
    <r>
      <rPr>
        <b/>
        <sz val="8"/>
        <color theme="1"/>
        <rFont val="宋体"/>
        <charset val="134"/>
      </rPr>
      <t>钢型撕纤＞1.5</t>
    </r>
    <r>
      <rPr>
        <b/>
        <sz val="8"/>
        <color theme="1"/>
        <rFont val="宋体"/>
        <charset val="134"/>
      </rPr>
      <t>米</t>
    </r>
  </si>
  <si>
    <t>点胶打螺丝</t>
  </si>
  <si>
    <t>古河-做堵头</t>
  </si>
  <si>
    <t>古河-穿纤</t>
  </si>
  <si>
    <t>古河-封装</t>
  </si>
  <si>
    <t>BRW/古河-裁空管(套）</t>
  </si>
  <si>
    <t>BRW-绕圈</t>
  </si>
  <si>
    <t>包装车间单价表</t>
  </si>
  <si>
    <t>名称</t>
  </si>
  <si>
    <t>1/2*2</t>
  </si>
  <si>
    <t>1/2*4</t>
  </si>
  <si>
    <t>1/2*8</t>
  </si>
  <si>
    <t>1/2*16</t>
  </si>
  <si>
    <t>1/2*32</t>
  </si>
  <si>
    <t>1/2*64</t>
  </si>
  <si>
    <t>盘插片</t>
  </si>
  <si>
    <t>包插片</t>
  </si>
  <si>
    <t>模块加头/不加头（吸塑盒）</t>
  </si>
  <si>
    <t>模块加头/不加头（自封袋）</t>
  </si>
  <si>
    <t>钢封/NC(真实数据+吸塑盒）</t>
  </si>
  <si>
    <t>钢封/NC(简包）</t>
  </si>
  <si>
    <t>微型/NC(简包）≤0.8米</t>
  </si>
  <si>
    <t>微型/NC(简包）＞0.8米</t>
  </si>
  <si>
    <t>微型/NC(吸塑盒）</t>
  </si>
  <si>
    <t>微型入加头/出加头（吸塑盒）</t>
  </si>
  <si>
    <t>微型入NC/出加头（吸塑盒）</t>
  </si>
  <si>
    <t>古河微封入加头出加头</t>
  </si>
  <si>
    <t>古河微封入NC出加头</t>
  </si>
  <si>
    <t>古河钢封（真实数据）</t>
  </si>
  <si>
    <t>波若威P13-00665</t>
  </si>
  <si>
    <t>波若威P13-00687</t>
  </si>
  <si>
    <t>波若威P13-00643</t>
  </si>
  <si>
    <t>越南5U插片（包）</t>
  </si>
  <si>
    <t>FA</t>
  </si>
  <si>
    <t>机架/托盘（盘+包）</t>
  </si>
  <si>
    <t>跳线≤5米</t>
  </si>
  <si>
    <t>跳线＞5米</t>
  </si>
  <si>
    <t>跳线（特殊）贴线序标签随机数据 驿路通</t>
  </si>
  <si>
    <t>12芯跳线、尾纤（简包）</t>
  </si>
  <si>
    <t>12芯跳线、尾纤（吸塑盒）</t>
  </si>
  <si>
    <t>4芯分支跳线/光缆简包</t>
  </si>
  <si>
    <t>12芯托盘（盘+包）</t>
  </si>
  <si>
    <t>越南机架（盘）</t>
  </si>
  <si>
    <t>越南机架（包）</t>
  </si>
  <si>
    <t>韩国1*8*4（熔纤吸塑盒）</t>
  </si>
  <si>
    <t>韩国1*3*8*4（熔纤吸塑盒）</t>
  </si>
  <si>
    <t>韩国1*4*8*2（熔纤吸塑盒）</t>
  </si>
  <si>
    <t>韩国1*2*8（熔纤吸塑盒）</t>
  </si>
  <si>
    <t>韩国1*3*8（熔纤吸塑盒）</t>
  </si>
  <si>
    <t>波兰微封加头返工</t>
  </si>
  <si>
    <t>古河拉锥1*2*8</t>
  </si>
  <si>
    <t>连接器车间单价表</t>
  </si>
  <si>
    <t xml:space="preserve">           工序     型号</t>
  </si>
  <si>
    <t>穿散单价</t>
  </si>
  <si>
    <t>固化单价</t>
  </si>
  <si>
    <t>组装单价</t>
  </si>
  <si>
    <t>一次研磨单价</t>
  </si>
  <si>
    <t>二次研磨单价</t>
  </si>
  <si>
    <t>端检单价</t>
  </si>
  <si>
    <t>测试单价</t>
  </si>
  <si>
    <t>0.9插片SU</t>
  </si>
  <si>
    <t>0.9插片SA</t>
  </si>
  <si>
    <t>0.9插片FU</t>
  </si>
  <si>
    <t>0.9插片FA</t>
  </si>
  <si>
    <t>0.9插片LC</t>
  </si>
  <si>
    <t>0.9直接出货SU</t>
  </si>
  <si>
    <t>0.9直接出货SA</t>
  </si>
  <si>
    <t>0.9直接出货FU</t>
  </si>
  <si>
    <t>0.9直接出货FA</t>
  </si>
  <si>
    <t>0.9直接出货LC</t>
  </si>
  <si>
    <t>2.0直接出货SU</t>
  </si>
  <si>
    <t>2.0直接出货SA</t>
  </si>
  <si>
    <t>2.0直接出货FU</t>
  </si>
  <si>
    <t>2.0直接出货FA</t>
  </si>
  <si>
    <t>2.0直接出货LC</t>
  </si>
  <si>
    <t>真实数据产品1</t>
  </si>
  <si>
    <t>真实数据产品2</t>
  </si>
  <si>
    <t>3D测试</t>
  </si>
  <si>
    <t>测试裸纤插回损</t>
  </si>
  <si>
    <t>测试裸纤真实数据</t>
  </si>
  <si>
    <t>裁跳线2.0/3.0</t>
  </si>
  <si>
    <t>散件一次组装</t>
  </si>
  <si>
    <t>穿号码管</t>
  </si>
  <si>
    <t>剪号码管</t>
  </si>
  <si>
    <t>LC插芯套皮管</t>
  </si>
  <si>
    <t>LC吹热缩管</t>
  </si>
  <si>
    <t>带头输入端回损</t>
  </si>
  <si>
    <t>裸纤输入端回损</t>
  </si>
</sst>
</file>

<file path=xl/styles.xml><?xml version="1.0" encoding="utf-8"?>
<styleSheet xmlns="http://schemas.openxmlformats.org/spreadsheetml/2006/main">
  <numFmts count="17">
    <numFmt numFmtId="176" formatCode="0.0000000_ "/>
    <numFmt numFmtId="42" formatCode="_ &quot;￥&quot;* #,##0_ ;_ &quot;￥&quot;* \-#,##0_ ;_ &quot;￥&quot;* &quot;-&quot;_ ;_ @_ "/>
    <numFmt numFmtId="177" formatCode="0.000000000000000_ "/>
    <numFmt numFmtId="41" formatCode="_ * #,##0_ ;_ * \-#,##0_ ;_ * &quot;-&quot;_ ;_ @_ "/>
    <numFmt numFmtId="43" formatCode="_ * #,##0.00_ ;_ * \-#,##0.00_ ;_ * &quot;-&quot;??_ ;_ @_ "/>
    <numFmt numFmtId="178" formatCode="0.000_ "/>
    <numFmt numFmtId="179" formatCode="0.0000_ "/>
    <numFmt numFmtId="180" formatCode="0.00_ "/>
    <numFmt numFmtId="44" formatCode="_ &quot;￥&quot;* #,##0.00_ ;_ &quot;￥&quot;* \-#,##0.00_ ;_ &quot;￥&quot;* &quot;-&quot;??_ ;_ @_ "/>
    <numFmt numFmtId="181" formatCode="0.00_);[Red]\(0.00\)"/>
    <numFmt numFmtId="182" formatCode="0.0_);[Red]\(0.0\)"/>
    <numFmt numFmtId="183" formatCode="0.000_);[Red]\(0.000\)"/>
    <numFmt numFmtId="184" formatCode="0.0_ "/>
    <numFmt numFmtId="185" formatCode="0.000000_ "/>
    <numFmt numFmtId="186" formatCode="0.00_);\(0.00\)"/>
    <numFmt numFmtId="187" formatCode="0.00000_ "/>
    <numFmt numFmtId="188" formatCode="0.0%"/>
  </numFmts>
  <fonts count="7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</font>
    <font>
      <b/>
      <sz val="8"/>
      <color theme="1"/>
      <name val="Times New Roman"/>
      <charset val="134"/>
    </font>
    <font>
      <b/>
      <sz val="10"/>
      <color theme="1"/>
      <name val="宋体"/>
      <charset val="134"/>
    </font>
    <font>
      <b/>
      <sz val="8"/>
      <color theme="1"/>
      <name val="宋体"/>
      <charset val="134"/>
    </font>
    <font>
      <sz val="8"/>
      <color theme="1"/>
      <name val="宋体"/>
      <charset val="134"/>
    </font>
    <font>
      <b/>
      <sz val="8"/>
      <color rgb="FF000000"/>
      <name val="宋体"/>
      <charset val="134"/>
    </font>
    <font>
      <sz val="8"/>
      <color rgb="FF000000"/>
      <name val="宋体"/>
      <charset val="134"/>
    </font>
    <font>
      <b/>
      <sz val="18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color rgb="FF000000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2"/>
      <color rgb="FFFF0000"/>
      <name val="宋体"/>
      <charset val="134"/>
    </font>
    <font>
      <sz val="11"/>
      <color indexed="8"/>
      <name val="宋体"/>
      <charset val="134"/>
      <scheme val="minor"/>
    </font>
    <font>
      <sz val="20"/>
      <color theme="1"/>
      <name val="宋体"/>
      <charset val="134"/>
      <scheme val="minor"/>
    </font>
    <font>
      <sz val="18"/>
      <name val="宋体"/>
      <charset val="134"/>
      <scheme val="minor"/>
    </font>
    <font>
      <sz val="14"/>
      <name val="宋体"/>
      <charset val="134"/>
      <scheme val="minor"/>
    </font>
    <font>
      <b/>
      <sz val="9"/>
      <name val="宋体"/>
      <charset val="134"/>
    </font>
    <font>
      <b/>
      <sz val="9"/>
      <color theme="1" tint="0.0499893185216834"/>
      <name val="宋体"/>
      <charset val="134"/>
    </font>
    <font>
      <b/>
      <sz val="9"/>
      <name val="宋体"/>
      <charset val="134"/>
      <scheme val="minor"/>
    </font>
    <font>
      <sz val="9"/>
      <color theme="1" tint="0.0499893185216834"/>
      <name val="宋体"/>
      <charset val="134"/>
    </font>
    <font>
      <b/>
      <sz val="10"/>
      <name val="宋体"/>
      <charset val="134"/>
      <scheme val="minor"/>
    </font>
    <font>
      <sz val="9"/>
      <name val="宋体"/>
      <charset val="134"/>
    </font>
    <font>
      <sz val="9"/>
      <color rgb="FF0070C0"/>
      <name val="宋体"/>
      <charset val="134"/>
    </font>
    <font>
      <b/>
      <sz val="9"/>
      <color rgb="FFFF0000"/>
      <name val="宋体"/>
      <charset val="134"/>
      <scheme val="minor"/>
    </font>
    <font>
      <sz val="20"/>
      <color theme="1" tint="0.0499893185216834"/>
      <name val="宋体"/>
      <charset val="134"/>
      <scheme val="minor"/>
    </font>
    <font>
      <sz val="12"/>
      <color theme="1" tint="0.0499893185216834"/>
      <name val="宋体"/>
      <charset val="134"/>
      <scheme val="minor"/>
    </font>
    <font>
      <b/>
      <sz val="12"/>
      <color theme="1" tint="0.0499893185216834"/>
      <name val="宋体"/>
      <charset val="134"/>
      <scheme val="minor"/>
    </font>
    <font>
      <b/>
      <sz val="10"/>
      <color theme="1" tint="0.0499893185216834"/>
      <name val="宋体"/>
      <charset val="134"/>
      <scheme val="minor"/>
    </font>
    <font>
      <b/>
      <sz val="9"/>
      <color theme="1" tint="0.0499893185216834"/>
      <name val="宋体"/>
      <charset val="134"/>
      <scheme val="minor"/>
    </font>
    <font>
      <sz val="10"/>
      <color theme="1" tint="0.0499893185216834"/>
      <name val="宋体"/>
      <charset val="134"/>
      <scheme val="minor"/>
    </font>
    <font>
      <sz val="9"/>
      <color theme="1" tint="0.0499893185216834"/>
      <name val="宋体"/>
      <charset val="134"/>
      <scheme val="minor"/>
    </font>
    <font>
      <b/>
      <sz val="14"/>
      <color theme="1" tint="0.0499893185216834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0"/>
      <name val="宋体"/>
      <charset val="134"/>
    </font>
    <font>
      <sz val="9"/>
      <color rgb="FF000000"/>
      <name val="宋体"/>
      <charset val="134"/>
    </font>
    <font>
      <sz val="11"/>
      <name val="宋体"/>
      <charset val="134"/>
      <scheme val="minor"/>
    </font>
    <font>
      <sz val="10"/>
      <color theme="1" tint="0.0499893185216834"/>
      <name val="宋体"/>
      <charset val="134"/>
    </font>
    <font>
      <b/>
      <sz val="11"/>
      <color theme="1" tint="0.0499893185216834"/>
      <name val="宋体"/>
      <charset val="134"/>
      <scheme val="minor"/>
    </font>
    <font>
      <sz val="9"/>
      <color theme="1" tint="0.05"/>
      <name val="宋体"/>
      <charset val="134"/>
      <scheme val="minor"/>
    </font>
    <font>
      <sz val="11"/>
      <color theme="1" tint="0.0499893185216834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9"/>
      <color theme="1"/>
      <name val="宋体"/>
      <charset val="134"/>
      <scheme val="minor"/>
    </font>
    <font>
      <sz val="9"/>
      <color theme="8"/>
      <name val="宋体"/>
      <charset val="134"/>
      <scheme val="minor"/>
    </font>
    <font>
      <sz val="11"/>
      <color rgb="FF2A25ED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8"/>
      <color theme="1" tint="0.0499893185216834"/>
      <name val="宋体"/>
      <charset val="134"/>
      <scheme val="minor"/>
    </font>
    <font>
      <b/>
      <sz val="6"/>
      <color theme="1" tint="0.0499893185216834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99978637043366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63" fillId="2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1" fillId="0" borderId="11" applyNumberFormat="0" applyFill="0" applyAlignment="0" applyProtection="0">
      <alignment vertical="center"/>
    </xf>
    <xf numFmtId="0" fontId="59" fillId="0" borderId="11" applyNumberFormat="0" applyFill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64" fillId="0" borderId="15" applyNumberFormat="0" applyFill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55" fillId="13" borderId="10" applyNumberFormat="0" applyAlignment="0" applyProtection="0">
      <alignment vertical="center"/>
    </xf>
    <xf numFmtId="0" fontId="69" fillId="13" borderId="14" applyNumberFormat="0" applyAlignment="0" applyProtection="0">
      <alignment vertical="center"/>
    </xf>
    <xf numFmtId="0" fontId="70" fillId="38" borderId="16" applyNumberFormat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71" fillId="0" borderId="17" applyNumberFormat="0" applyFill="0" applyAlignment="0" applyProtection="0">
      <alignment vertical="center"/>
    </xf>
    <xf numFmtId="0" fontId="60" fillId="0" borderId="12" applyNumberFormat="0" applyFill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67" fillId="29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4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</cellStyleXfs>
  <cellXfs count="194">
    <xf numFmtId="0" fontId="0" fillId="0" borderId="0" xfId="0"/>
    <xf numFmtId="0" fontId="1" fillId="0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179" fontId="0" fillId="0" borderId="0" xfId="0" applyNumberFormat="1" applyFill="1" applyAlignment="1" applyProtection="1">
      <alignment horizontal="center" vertical="center"/>
    </xf>
    <xf numFmtId="179" fontId="0" fillId="3" borderId="0" xfId="0" applyNumberForma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right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wrapText="1"/>
    </xf>
    <xf numFmtId="0" fontId="14" fillId="3" borderId="1" xfId="0" applyFont="1" applyFill="1" applyBorder="1" applyAlignment="1">
      <alignment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80" fontId="14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vertical="center"/>
    </xf>
    <xf numFmtId="0" fontId="0" fillId="3" borderId="0" xfId="0" applyFill="1" applyBorder="1"/>
    <xf numFmtId="0" fontId="15" fillId="3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178" fontId="17" fillId="0" borderId="0" xfId="0" applyNumberFormat="1" applyFont="1" applyFill="1" applyAlignment="1"/>
    <xf numFmtId="0" fontId="14" fillId="2" borderId="1" xfId="0" applyFont="1" applyFill="1" applyBorder="1" applyAlignment="1">
      <alignment vertical="center"/>
    </xf>
    <xf numFmtId="180" fontId="14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8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/>
    </xf>
    <xf numFmtId="0" fontId="20" fillId="0" borderId="3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/>
    </xf>
    <xf numFmtId="181" fontId="24" fillId="0" borderId="1" xfId="0" applyNumberFormat="1" applyFont="1" applyFill="1" applyBorder="1" applyAlignment="1">
      <alignment horizontal="center" vertical="center"/>
    </xf>
    <xf numFmtId="180" fontId="25" fillId="0" borderId="1" xfId="0" applyNumberFormat="1" applyFont="1" applyFill="1" applyBorder="1" applyAlignment="1">
      <alignment horizontal="center" vertical="center"/>
    </xf>
    <xf numFmtId="181" fontId="15" fillId="0" borderId="1" xfId="0" applyNumberFormat="1" applyFont="1" applyFill="1" applyBorder="1" applyAlignment="1">
      <alignment horizontal="center" vertical="center"/>
    </xf>
    <xf numFmtId="181" fontId="26" fillId="0" borderId="1" xfId="0" applyNumberFormat="1" applyFont="1" applyFill="1" applyBorder="1" applyAlignment="1">
      <alignment horizontal="center" vertical="center"/>
    </xf>
    <xf numFmtId="183" fontId="21" fillId="0" borderId="1" xfId="0" applyNumberFormat="1" applyFont="1" applyFill="1" applyBorder="1" applyAlignment="1">
      <alignment horizontal="center" vertical="center"/>
    </xf>
    <xf numFmtId="181" fontId="27" fillId="0" borderId="1" xfId="0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183" fontId="27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80" fontId="35" fillId="0" borderId="1" xfId="0" applyNumberFormat="1" applyFont="1" applyFill="1" applyBorder="1" applyAlignment="1">
      <alignment horizontal="center" vertical="center"/>
    </xf>
    <xf numFmtId="180" fontId="33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177" fontId="33" fillId="0" borderId="1" xfId="0" applyNumberFormat="1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177" fontId="35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8" fontId="0" fillId="0" borderId="1" xfId="0" applyNumberForma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38" fillId="0" borderId="4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0" borderId="8" xfId="0" applyFont="1" applyFill="1" applyBorder="1"/>
    <xf numFmtId="182" fontId="21" fillId="0" borderId="1" xfId="0" applyNumberFormat="1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181" fontId="21" fillId="0" borderId="1" xfId="0" applyNumberFormat="1" applyFont="1" applyFill="1" applyBorder="1" applyAlignment="1">
      <alignment horizontal="center" vertical="center"/>
    </xf>
    <xf numFmtId="181" fontId="39" fillId="0" borderId="1" xfId="0" applyNumberFormat="1" applyFont="1" applyFill="1" applyBorder="1" applyAlignment="1">
      <alignment horizontal="center" vertical="center" wrapText="1"/>
    </xf>
    <xf numFmtId="181" fontId="40" fillId="0" borderId="1" xfId="0" applyNumberFormat="1" applyFont="1" applyFill="1" applyBorder="1" applyAlignment="1" applyProtection="1">
      <alignment horizontal="center" vertical="center"/>
    </xf>
    <xf numFmtId="9" fontId="0" fillId="2" borderId="1" xfId="11" applyFont="1" applyFill="1" applyBorder="1" applyAlignment="1">
      <alignment horizontal="center" vertical="center"/>
    </xf>
    <xf numFmtId="181" fontId="41" fillId="0" borderId="1" xfId="0" applyNumberFormat="1" applyFont="1" applyFill="1" applyBorder="1" applyAlignment="1">
      <alignment horizontal="center"/>
    </xf>
    <xf numFmtId="181" fontId="42" fillId="0" borderId="1" xfId="0" applyNumberFormat="1" applyFont="1" applyFill="1" applyBorder="1" applyAlignment="1">
      <alignment horizontal="center" vertical="center"/>
    </xf>
    <xf numFmtId="184" fontId="26" fillId="0" borderId="1" xfId="0" applyNumberFormat="1" applyFont="1" applyFill="1" applyBorder="1" applyAlignment="1">
      <alignment horizontal="center" vertical="center"/>
    </xf>
    <xf numFmtId="181" fontId="41" fillId="0" borderId="1" xfId="0" applyNumberFormat="1" applyFont="1" applyFill="1" applyBorder="1"/>
    <xf numFmtId="0" fontId="43" fillId="0" borderId="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3" fillId="7" borderId="1" xfId="0" applyFont="1" applyFill="1" applyBorder="1" applyAlignment="1">
      <alignment horizontal="center" vertical="center" wrapText="1"/>
    </xf>
    <xf numFmtId="180" fontId="44" fillId="0" borderId="1" xfId="0" applyNumberFormat="1" applyFont="1" applyFill="1" applyBorder="1" applyAlignment="1">
      <alignment horizontal="center" vertical="center"/>
    </xf>
    <xf numFmtId="9" fontId="33" fillId="0" borderId="1" xfId="11" applyFont="1" applyFill="1" applyBorder="1" applyAlignment="1">
      <alignment horizontal="center" vertical="center"/>
    </xf>
    <xf numFmtId="180" fontId="45" fillId="7" borderId="1" xfId="0" applyNumberFormat="1" applyFont="1" applyFill="1" applyBorder="1" applyAlignment="1">
      <alignment horizontal="center"/>
    </xf>
    <xf numFmtId="0" fontId="43" fillId="0" borderId="9" xfId="0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185" fontId="33" fillId="0" borderId="1" xfId="0" applyNumberFormat="1" applyFont="1" applyFill="1" applyBorder="1" applyAlignment="1">
      <alignment horizontal="center" vertical="center"/>
    </xf>
    <xf numFmtId="187" fontId="46" fillId="0" borderId="1" xfId="0" applyNumberFormat="1" applyFont="1" applyFill="1" applyBorder="1" applyAlignment="1" applyProtection="1">
      <alignment horizontal="center" vertical="center"/>
    </xf>
    <xf numFmtId="180" fontId="33" fillId="0" borderId="3" xfId="0" applyNumberFormat="1" applyFont="1" applyFill="1" applyBorder="1" applyAlignment="1">
      <alignment horizontal="center" vertical="center"/>
    </xf>
    <xf numFmtId="178" fontId="33" fillId="0" borderId="1" xfId="0" applyNumberFormat="1" applyFont="1" applyFill="1" applyBorder="1" applyAlignment="1">
      <alignment horizontal="center" vertical="center"/>
    </xf>
    <xf numFmtId="176" fontId="33" fillId="0" borderId="3" xfId="0" applyNumberFormat="1" applyFont="1" applyFill="1" applyBorder="1" applyAlignment="1">
      <alignment horizontal="center" vertical="center"/>
    </xf>
    <xf numFmtId="185" fontId="35" fillId="2" borderId="1" xfId="0" applyNumberFormat="1" applyFont="1" applyFill="1" applyBorder="1" applyAlignment="1">
      <alignment horizontal="center" vertical="center"/>
    </xf>
    <xf numFmtId="187" fontId="44" fillId="2" borderId="1" xfId="0" applyNumberFormat="1" applyFont="1" applyFill="1" applyBorder="1" applyAlignment="1">
      <alignment horizontal="center" vertical="center"/>
    </xf>
    <xf numFmtId="180" fontId="33" fillId="0" borderId="1" xfId="0" applyNumberFormat="1" applyFont="1" applyFill="1" applyBorder="1" applyAlignment="1">
      <alignment vertical="center"/>
    </xf>
    <xf numFmtId="9" fontId="33" fillId="0" borderId="1" xfId="11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/>
    <xf numFmtId="0" fontId="0" fillId="0" borderId="0" xfId="0" applyProtection="1">
      <protection locked="0"/>
    </xf>
    <xf numFmtId="0" fontId="43" fillId="0" borderId="0" xfId="0" applyFont="1" applyFill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45" fillId="0" borderId="0" xfId="0" applyFont="1" applyFill="1"/>
    <xf numFmtId="180" fontId="45" fillId="0" borderId="1" xfId="0" applyNumberFormat="1" applyFont="1" applyFill="1" applyBorder="1" applyAlignment="1">
      <alignment horizontal="center" vertical="center"/>
    </xf>
    <xf numFmtId="180" fontId="45" fillId="7" borderId="3" xfId="0" applyNumberFormat="1" applyFont="1" applyFill="1" applyBorder="1" applyAlignment="1">
      <alignment horizontal="center" vertical="center"/>
    </xf>
    <xf numFmtId="180" fontId="45" fillId="8" borderId="1" xfId="0" applyNumberFormat="1" applyFont="1" applyFill="1" applyBorder="1" applyAlignment="1">
      <alignment horizontal="center" vertical="center"/>
    </xf>
    <xf numFmtId="9" fontId="45" fillId="0" borderId="0" xfId="11" applyFont="1" applyFill="1" applyAlignment="1">
      <alignment horizontal="center"/>
    </xf>
    <xf numFmtId="0" fontId="4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81" fontId="48" fillId="0" borderId="1" xfId="0" applyNumberFormat="1" applyFont="1" applyFill="1" applyBorder="1" applyAlignment="1" applyProtection="1">
      <alignment horizontal="center" vertical="center"/>
    </xf>
    <xf numFmtId="183" fontId="48" fillId="6" borderId="1" xfId="0" applyNumberFormat="1" applyFont="1" applyFill="1" applyBorder="1" applyAlignment="1" applyProtection="1">
      <alignment horizontal="center" vertical="center"/>
    </xf>
    <xf numFmtId="183" fontId="47" fillId="0" borderId="1" xfId="0" applyNumberFormat="1" applyFont="1" applyFill="1" applyBorder="1" applyAlignment="1">
      <alignment horizontal="center" vertical="center"/>
    </xf>
    <xf numFmtId="183" fontId="48" fillId="0" borderId="1" xfId="0" applyNumberFormat="1" applyFont="1" applyFill="1" applyBorder="1" applyAlignment="1" applyProtection="1">
      <alignment horizontal="center" vertical="center"/>
    </xf>
    <xf numFmtId="181" fontId="48" fillId="3" borderId="1" xfId="0" applyNumberFormat="1" applyFont="1" applyFill="1" applyBorder="1" applyAlignment="1" applyProtection="1">
      <alignment horizontal="center" vertical="center"/>
    </xf>
    <xf numFmtId="181" fontId="48" fillId="6" borderId="1" xfId="0" applyNumberFormat="1" applyFont="1" applyFill="1" applyBorder="1" applyAlignment="1" applyProtection="1">
      <alignment horizontal="center" vertical="center"/>
    </xf>
    <xf numFmtId="181" fontId="48" fillId="2" borderId="1" xfId="0" applyNumberFormat="1" applyFont="1" applyFill="1" applyBorder="1" applyAlignment="1" applyProtection="1">
      <alignment horizontal="center" vertical="center"/>
    </xf>
    <xf numFmtId="0" fontId="37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 wrapText="1"/>
    </xf>
    <xf numFmtId="186" fontId="23" fillId="0" borderId="1" xfId="0" applyNumberFormat="1" applyFont="1" applyBorder="1" applyAlignment="1">
      <alignment horizontal="center" vertical="center"/>
    </xf>
    <xf numFmtId="186" fontId="49" fillId="0" borderId="1" xfId="0" applyNumberFormat="1" applyFont="1" applyBorder="1" applyAlignment="1">
      <alignment horizontal="center" vertical="center" wrapText="1"/>
    </xf>
    <xf numFmtId="186" fontId="49" fillId="0" borderId="1" xfId="0" applyNumberFormat="1" applyFont="1" applyBorder="1" applyAlignment="1">
      <alignment horizontal="center" vertical="center"/>
    </xf>
    <xf numFmtId="186" fontId="33" fillId="0" borderId="1" xfId="0" applyNumberFormat="1" applyFont="1" applyFill="1" applyBorder="1" applyAlignment="1">
      <alignment horizontal="center" vertical="center"/>
    </xf>
    <xf numFmtId="186" fontId="49" fillId="2" borderId="1" xfId="0" applyNumberFormat="1" applyFont="1" applyFill="1" applyBorder="1" applyAlignment="1">
      <alignment horizontal="center" vertical="center"/>
    </xf>
    <xf numFmtId="9" fontId="50" fillId="0" borderId="1" xfId="11" applyFont="1" applyFill="1" applyBorder="1" applyAlignment="1">
      <alignment horizontal="center" vertical="center"/>
    </xf>
    <xf numFmtId="186" fontId="49" fillId="0" borderId="1" xfId="0" applyNumberFormat="1" applyFont="1" applyFill="1" applyBorder="1" applyAlignment="1">
      <alignment horizontal="center" vertical="center"/>
    </xf>
    <xf numFmtId="186" fontId="23" fillId="0" borderId="1" xfId="0" applyNumberFormat="1" applyFont="1" applyFill="1" applyBorder="1" applyAlignment="1">
      <alignment horizontal="center" vertical="center"/>
    </xf>
    <xf numFmtId="0" fontId="37" fillId="0" borderId="7" xfId="0" applyFont="1" applyBorder="1" applyAlignment="1">
      <alignment horizontal="center" vertical="center" wrapText="1"/>
    </xf>
    <xf numFmtId="183" fontId="0" fillId="0" borderId="1" xfId="0" applyNumberFormat="1" applyFont="1" applyFill="1" applyBorder="1" applyAlignment="1"/>
    <xf numFmtId="0" fontId="0" fillId="0" borderId="0" xfId="0" applyFill="1" applyProtection="1">
      <protection locked="0"/>
    </xf>
    <xf numFmtId="186" fontId="0" fillId="0" borderId="1" xfId="0" applyNumberFormat="1" applyBorder="1" applyAlignment="1">
      <alignment horizontal="center" vertical="center"/>
    </xf>
    <xf numFmtId="186" fontId="0" fillId="2" borderId="1" xfId="0" applyNumberFormat="1" applyFill="1" applyBorder="1" applyAlignment="1">
      <alignment horizontal="center" vertical="center"/>
    </xf>
    <xf numFmtId="180" fontId="46" fillId="0" borderId="1" xfId="0" applyNumberFormat="1" applyFont="1" applyFill="1" applyBorder="1" applyAlignment="1" applyProtection="1">
      <alignment horizontal="center" vertical="center"/>
    </xf>
    <xf numFmtId="0" fontId="46" fillId="0" borderId="1" xfId="0" applyFont="1" applyFill="1" applyBorder="1" applyAlignment="1" applyProtection="1">
      <alignment horizontal="center" vertical="center"/>
    </xf>
    <xf numFmtId="180" fontId="35" fillId="2" borderId="1" xfId="0" applyNumberFormat="1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180" fontId="0" fillId="0" borderId="0" xfId="0" applyNumberFormat="1" applyFont="1" applyFill="1" applyAlignment="1">
      <alignment horizontal="center"/>
    </xf>
    <xf numFmtId="178" fontId="35" fillId="0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7" xfId="0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center" vertical="center"/>
    </xf>
    <xf numFmtId="181" fontId="26" fillId="2" borderId="1" xfId="0" applyNumberFormat="1" applyFont="1" applyFill="1" applyBorder="1" applyAlignment="1">
      <alignment horizontal="center" vertical="center"/>
    </xf>
    <xf numFmtId="184" fontId="26" fillId="2" borderId="1" xfId="0" applyNumberFormat="1" applyFont="1" applyFill="1" applyBorder="1" applyAlignment="1">
      <alignment horizontal="center" vertical="center"/>
    </xf>
    <xf numFmtId="188" fontId="33" fillId="0" borderId="1" xfId="11" applyNumberFormat="1" applyFont="1" applyFill="1" applyBorder="1" applyAlignment="1">
      <alignment horizontal="center" vertical="center"/>
    </xf>
    <xf numFmtId="180" fontId="35" fillId="0" borderId="0" xfId="0" applyNumberFormat="1" applyFont="1" applyFill="1" applyAlignment="1">
      <alignment horizontal="center" vertical="center"/>
    </xf>
    <xf numFmtId="180" fontId="33" fillId="0" borderId="0" xfId="0" applyNumberFormat="1" applyFont="1" applyFill="1" applyAlignment="1">
      <alignment horizontal="center" vertical="center"/>
    </xf>
    <xf numFmtId="180" fontId="33" fillId="0" borderId="0" xfId="0" applyNumberFormat="1" applyFont="1" applyFill="1" applyAlignment="1">
      <alignment vertical="center"/>
    </xf>
    <xf numFmtId="0" fontId="33" fillId="0" borderId="0" xfId="0" applyFont="1" applyFill="1" applyAlignment="1">
      <alignment vertical="center"/>
    </xf>
    <xf numFmtId="180" fontId="45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51" fillId="0" borderId="1" xfId="11" applyFont="1" applyFill="1" applyBorder="1" applyAlignment="1">
      <alignment horizontal="center" vertical="center"/>
    </xf>
    <xf numFmtId="9" fontId="51" fillId="0" borderId="1" xfId="1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180" fontId="52" fillId="9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80" fontId="52" fillId="10" borderId="1" xfId="0" applyNumberFormat="1" applyFont="1" applyFill="1" applyBorder="1" applyAlignment="1">
      <alignment horizontal="center" vertical="center"/>
    </xf>
    <xf numFmtId="9" fontId="51" fillId="0" borderId="1" xfId="11" applyNumberFormat="1" applyFont="1" applyFill="1" applyBorder="1" applyAlignment="1">
      <alignment horizontal="center"/>
    </xf>
    <xf numFmtId="180" fontId="0" fillId="9" borderId="1" xfId="0" applyNumberFormat="1" applyFill="1" applyBorder="1" applyAlignment="1">
      <alignment horizontal="center" vertical="center"/>
    </xf>
    <xf numFmtId="180" fontId="0" fillId="10" borderId="1" xfId="0" applyNumberFormat="1" applyFill="1" applyBorder="1" applyAlignment="1">
      <alignment horizontal="center" vertical="center"/>
    </xf>
    <xf numFmtId="9" fontId="51" fillId="0" borderId="1" xfId="1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FF00"/>
        </patternFill>
      </fill>
    </dxf>
    <dxf>
      <numFmt numFmtId="180" formatCode="0.00_ "/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2A25ED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7\f\07%20&#29983;&#20135;&#37096;\&#29983;&#20135;&#37096;-FA\13-&#20132;&#27969;&#20449;&#24687;\&#27573;&#27704;&#36229;\2018.11.16FA&#19981;&#33391;&#32479;&#3574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Download\08&#29256;\FA&#25253;&#20215;&#27169;&#26495;-05&#29256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7"/>
      <sheetName val="8"/>
      <sheetName val="9"/>
      <sheetName val="10"/>
      <sheetName val="11"/>
      <sheetName val="12"/>
      <sheetName val="日报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A报价模板"/>
      <sheetName val="材料价格"/>
      <sheetName val="人工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workbookViewId="0">
      <pane ySplit="2" topLeftCell="A3" activePane="bottomLeft" state="frozen"/>
      <selection/>
      <selection pane="bottomLeft" activeCell="C32" sqref="C32"/>
    </sheetView>
  </sheetViews>
  <sheetFormatPr defaultColWidth="9" defaultRowHeight="14.4"/>
  <cols>
    <col min="1" max="1" width="11.3796296296296" customWidth="1"/>
    <col min="2" max="2" width="11.6296296296296" customWidth="1"/>
    <col min="3" max="3" width="46.1296296296296" customWidth="1"/>
    <col min="4" max="4" width="8.25" customWidth="1"/>
    <col min="5" max="5" width="8.5" customWidth="1"/>
    <col min="6" max="6" width="10.8796296296296" customWidth="1"/>
    <col min="7" max="8" width="16.1296296296296" customWidth="1"/>
    <col min="9" max="9" width="11.6296296296296" customWidth="1"/>
    <col min="10" max="10" width="10.8796296296296" customWidth="1"/>
    <col min="11" max="11" width="13.3796296296296" customWidth="1"/>
    <col min="12" max="12" width="10.8796296296296" customWidth="1"/>
    <col min="13" max="13" width="13.3796296296296" customWidth="1"/>
    <col min="14" max="14" width="10.8796296296296" customWidth="1"/>
    <col min="15" max="15" width="13.3796296296296" customWidth="1"/>
    <col min="17" max="17" width="13.3796296296296" customWidth="1"/>
  </cols>
  <sheetData>
    <row r="1" spans="1:17">
      <c r="A1" s="174" t="s">
        <v>0</v>
      </c>
      <c r="B1" s="174" t="s">
        <v>1</v>
      </c>
      <c r="C1" s="174" t="s">
        <v>2</v>
      </c>
      <c r="D1" s="175" t="s">
        <v>3</v>
      </c>
      <c r="E1" s="175" t="s">
        <v>4</v>
      </c>
      <c r="F1" s="174" t="s">
        <v>5</v>
      </c>
      <c r="G1" s="174" t="s">
        <v>6</v>
      </c>
      <c r="H1" s="176" t="s">
        <v>7</v>
      </c>
      <c r="I1" s="174" t="s">
        <v>8</v>
      </c>
      <c r="J1" s="184" t="s">
        <v>9</v>
      </c>
      <c r="K1" s="184"/>
      <c r="L1" s="185" t="s">
        <v>10</v>
      </c>
      <c r="M1" s="185"/>
      <c r="N1" s="184" t="s">
        <v>11</v>
      </c>
      <c r="O1" s="184"/>
      <c r="P1" s="185" t="s">
        <v>12</v>
      </c>
      <c r="Q1" s="185"/>
    </row>
    <row r="2" s="173" customFormat="1" spans="1:17">
      <c r="A2" s="174"/>
      <c r="B2" s="174"/>
      <c r="C2" s="174"/>
      <c r="D2" s="175"/>
      <c r="E2" s="175"/>
      <c r="F2" s="174"/>
      <c r="G2" s="174"/>
      <c r="H2" s="177"/>
      <c r="I2" s="174"/>
      <c r="J2" s="186" t="s">
        <v>13</v>
      </c>
      <c r="K2" s="187" t="s">
        <v>14</v>
      </c>
      <c r="L2" s="188" t="s">
        <v>13</v>
      </c>
      <c r="M2" s="189" t="s">
        <v>14</v>
      </c>
      <c r="N2" s="186" t="s">
        <v>13</v>
      </c>
      <c r="O2" s="187" t="s">
        <v>14</v>
      </c>
      <c r="P2" s="188" t="s">
        <v>13</v>
      </c>
      <c r="Q2" s="189" t="s">
        <v>14</v>
      </c>
    </row>
    <row r="3" spans="1:17">
      <c r="A3" s="174" t="s">
        <v>15</v>
      </c>
      <c r="B3" s="178" t="s">
        <v>16</v>
      </c>
      <c r="C3" s="178" t="s">
        <v>17</v>
      </c>
      <c r="D3" s="178">
        <v>1</v>
      </c>
      <c r="E3" s="178">
        <v>1</v>
      </c>
      <c r="F3" s="178" t="s">
        <v>18</v>
      </c>
      <c r="G3" s="178" t="s">
        <v>19</v>
      </c>
      <c r="H3" s="179">
        <v>0.96</v>
      </c>
      <c r="I3" s="190">
        <v>0.9751</v>
      </c>
      <c r="J3" s="191" t="str">
        <f>IF(G3="真实数据+简包",'微型加头-真实数据-简包'!J83,"/")</f>
        <v>/</v>
      </c>
      <c r="K3" s="191" t="str">
        <f>IF(G3="真实数据+简包",'微型加头-真实数据-简包'!K83,"/")</f>
        <v>/</v>
      </c>
      <c r="L3" s="192" t="str">
        <f>IF(G3="真实数据+吸塑",'微型加头-真实数据-吸塑'!J82,"/")</f>
        <v>/</v>
      </c>
      <c r="M3" s="192" t="str">
        <f>IF(G3="真实数据+吸塑",'微型加头-真实数据-简包'!K83,"/")</f>
        <v>/</v>
      </c>
      <c r="N3" s="191" t="str">
        <f>IF(G3="非真实数据+简包",'微型加头-非真实-简包'!J82,"/")</f>
        <v>/</v>
      </c>
      <c r="O3" s="191" t="str">
        <f>IF(G3="非真实数据+简包",'微型加头-非真实-简包'!K82,"/")</f>
        <v>/</v>
      </c>
      <c r="P3" s="192">
        <f>IF(G3="非真实数据+吸塑",'微型加头-非真实-吸塑'!J82,"/")</f>
        <v>10.2648198225659</v>
      </c>
      <c r="Q3" s="192">
        <f>IF(G3="非真实数据+吸塑",'微型加头-非真实-吸塑'!K82,"/")</f>
        <v>0</v>
      </c>
    </row>
    <row r="4" spans="1:17">
      <c r="A4" s="174" t="s">
        <v>15</v>
      </c>
      <c r="B4" s="178" t="s">
        <v>20</v>
      </c>
      <c r="C4" s="178" t="s">
        <v>21</v>
      </c>
      <c r="D4" s="178">
        <v>1</v>
      </c>
      <c r="E4" s="178">
        <v>1</v>
      </c>
      <c r="F4" s="178" t="s">
        <v>22</v>
      </c>
      <c r="G4" s="178" t="s">
        <v>19</v>
      </c>
      <c r="H4" s="180">
        <v>0.95</v>
      </c>
      <c r="I4" s="193">
        <v>0.9751</v>
      </c>
      <c r="J4" s="191" t="str">
        <f>IF(G4="真实数据+简包",'微型加头-真实数据-简包'!J84,"/")</f>
        <v>/</v>
      </c>
      <c r="K4" s="191" t="str">
        <f>IF(G4="真实数据+简包",'微型加头-真实数据-简包'!K84,"/")</f>
        <v>/</v>
      </c>
      <c r="L4" s="192" t="str">
        <f>IF(G4="真实数据+吸塑",'微型加头-真实数据-吸塑'!J83,"/")</f>
        <v>/</v>
      </c>
      <c r="M4" s="192" t="str">
        <f>IF(G4="真实数据+吸塑",'微型加头-真实数据-简包'!K84,"/")</f>
        <v>/</v>
      </c>
      <c r="N4" s="191" t="str">
        <f>IF(G4="非真实数据+简包",'微型加头-非真实-简包'!J83,"/")</f>
        <v>/</v>
      </c>
      <c r="O4" s="191" t="str">
        <f>IF(G4="非真实数据+简包",'微型加头-非真实-简包'!K83,"/")</f>
        <v>/</v>
      </c>
      <c r="P4" s="192">
        <f>IF(G4="非真实数据+吸塑",'微型加头-非真实-吸塑'!J83,"/")</f>
        <v>13.2642400933263</v>
      </c>
      <c r="Q4" s="192">
        <f>IF(G4="非真实数据+吸塑",'微型加头-非真实-吸塑'!K83,"/")</f>
        <v>0</v>
      </c>
    </row>
    <row r="5" spans="1:17">
      <c r="A5" s="174" t="s">
        <v>15</v>
      </c>
      <c r="B5" s="178" t="s">
        <v>23</v>
      </c>
      <c r="C5" s="178" t="s">
        <v>24</v>
      </c>
      <c r="D5" s="178">
        <v>1</v>
      </c>
      <c r="E5" s="178">
        <v>1</v>
      </c>
      <c r="F5" s="178" t="s">
        <v>25</v>
      </c>
      <c r="G5" s="178" t="s">
        <v>19</v>
      </c>
      <c r="H5" s="180">
        <v>0.95</v>
      </c>
      <c r="I5" s="193">
        <v>0.970125</v>
      </c>
      <c r="J5" s="191" t="str">
        <f>IF(G5="真实数据+简包",'微型加头-真实数据-简包'!J85,"/")</f>
        <v>/</v>
      </c>
      <c r="K5" s="191" t="str">
        <f>IF(G5="真实数据+简包",'微型加头-真实数据-简包'!K85,"/")</f>
        <v>/</v>
      </c>
      <c r="L5" s="192" t="str">
        <f>IF(G5="真实数据+吸塑",'微型加头-真实数据-吸塑'!J84,"/")</f>
        <v>/</v>
      </c>
      <c r="M5" s="192" t="str">
        <f>IF(G5="真实数据+吸塑",'微型加头-真实数据-简包'!K85,"/")</f>
        <v>/</v>
      </c>
      <c r="N5" s="191" t="str">
        <f>IF(G5="非真实数据+简包",'微型加头-非真实-简包'!J84,"/")</f>
        <v>/</v>
      </c>
      <c r="O5" s="191" t="str">
        <f>IF(G5="非真实数据+简包",'微型加头-非真实-简包'!K84,"/")</f>
        <v>/</v>
      </c>
      <c r="P5" s="192">
        <f>IF(G5="非真实数据+吸塑",'微型加头-非真实-吸塑'!J84,"/")</f>
        <v>17.333355111079</v>
      </c>
      <c r="Q5" s="192">
        <f>IF(G5="非真实数据+吸塑",'微型加头-非真实-吸塑'!K84,"/")</f>
        <v>0</v>
      </c>
    </row>
    <row r="6" spans="1:17">
      <c r="A6" s="174" t="s">
        <v>15</v>
      </c>
      <c r="B6" s="178" t="s">
        <v>26</v>
      </c>
      <c r="C6" s="178" t="s">
        <v>27</v>
      </c>
      <c r="D6" s="178">
        <v>1</v>
      </c>
      <c r="E6" s="178">
        <v>1</v>
      </c>
      <c r="F6" s="178" t="s">
        <v>18</v>
      </c>
      <c r="G6" s="178" t="s">
        <v>19</v>
      </c>
      <c r="H6" s="180">
        <v>0.94</v>
      </c>
      <c r="I6" s="193">
        <v>0.960125</v>
      </c>
      <c r="J6" s="191" t="str">
        <f>IF(G6="真实数据+简包",'微型加头-真实数据-简包'!J86,"/")</f>
        <v>/</v>
      </c>
      <c r="K6" s="191" t="str">
        <f>IF(G6="真实数据+简包",'微型加头-真实数据-简包'!K86,"/")</f>
        <v>/</v>
      </c>
      <c r="L6" s="192" t="str">
        <f>IF(G6="真实数据+吸塑",'微型加头-真实数据-吸塑'!J85,"/")</f>
        <v>/</v>
      </c>
      <c r="M6" s="192" t="str">
        <f>IF(G6="真实数据+吸塑",'微型加头-真实数据-简包'!K86,"/")</f>
        <v>/</v>
      </c>
      <c r="N6" s="191" t="str">
        <f>IF(G6="非真实数据+简包",'微型加头-非真实-简包'!J85,"/")</f>
        <v>/</v>
      </c>
      <c r="O6" s="191" t="str">
        <f>IF(G6="非真实数据+简包",'微型加头-非真实-简包'!K85,"/")</f>
        <v>/</v>
      </c>
      <c r="P6" s="192">
        <f>IF(G6="非真实数据+吸塑",'微型加头-非真实-吸塑'!J85,"/")</f>
        <v>32.8161072546844</v>
      </c>
      <c r="Q6" s="192">
        <f>IF(G6="非真实数据+吸塑",'微型加头-非真实-吸塑'!K85,"/")</f>
        <v>0</v>
      </c>
    </row>
    <row r="7" spans="1:17">
      <c r="A7" s="174" t="s">
        <v>15</v>
      </c>
      <c r="B7" s="178" t="s">
        <v>28</v>
      </c>
      <c r="C7" s="178" t="s">
        <v>27</v>
      </c>
      <c r="D7" s="178">
        <v>1</v>
      </c>
      <c r="E7" s="178">
        <v>1</v>
      </c>
      <c r="F7" s="178" t="s">
        <v>18</v>
      </c>
      <c r="G7" s="178" t="s">
        <v>19</v>
      </c>
      <c r="H7" s="180">
        <v>0.92</v>
      </c>
      <c r="I7" s="193">
        <v>0.950125</v>
      </c>
      <c r="J7" s="191" t="str">
        <f>IF(G7="真实数据+简包",'微型加头-真实数据-简包'!J87,"/")</f>
        <v>/</v>
      </c>
      <c r="K7" s="191" t="str">
        <f>IF(G7="真实数据+简包",'微型加头-真实数据-简包'!K87,"/")</f>
        <v>/</v>
      </c>
      <c r="L7" s="192" t="str">
        <f>IF(G7="真实数据+吸塑",'微型加头-真实数据-吸塑'!J86,"/")</f>
        <v>/</v>
      </c>
      <c r="M7" s="192" t="str">
        <f>IF(G7="真实数据+吸塑",'微型加头-真实数据-简包'!K87,"/")</f>
        <v>/</v>
      </c>
      <c r="N7" s="191" t="str">
        <f>IF(G7="非真实数据+简包",'微型加头-非真实-简包'!J86,"/")</f>
        <v>/</v>
      </c>
      <c r="O7" s="191" t="str">
        <f>IF(G7="非真实数据+简包",'微型加头-非真实-简包'!K86,"/")</f>
        <v>/</v>
      </c>
      <c r="P7" s="192">
        <f>IF(G7="非真实数据+吸塑",'微型加头-非真实-吸塑'!J86,"/")</f>
        <v>63.0801660473722</v>
      </c>
      <c r="Q7" s="192">
        <f>IF(G7="非真实数据+吸塑",'微型加头-非真实-吸塑'!K86,"/")</f>
        <v>0</v>
      </c>
    </row>
    <row r="8" spans="1:17">
      <c r="A8" s="174" t="s">
        <v>15</v>
      </c>
      <c r="B8" s="178" t="s">
        <v>29</v>
      </c>
      <c r="C8" s="178" t="s">
        <v>27</v>
      </c>
      <c r="D8" s="178">
        <v>1</v>
      </c>
      <c r="E8" s="178">
        <v>1</v>
      </c>
      <c r="F8" s="178" t="s">
        <v>18</v>
      </c>
      <c r="G8" s="178" t="s">
        <v>19</v>
      </c>
      <c r="H8" s="180">
        <v>0.9</v>
      </c>
      <c r="I8" s="190">
        <v>0.93</v>
      </c>
      <c r="J8" s="191" t="str">
        <f>IF(G8="真实数据+简包",'微型加头-真实数据-简包'!J88,"/")</f>
        <v>/</v>
      </c>
      <c r="K8" s="191" t="str">
        <f>IF(G8="真实数据+简包",'微型加头-真实数据-简包'!K88,"/")</f>
        <v>/</v>
      </c>
      <c r="L8" s="192" t="str">
        <f>IF(G8="真实数据+吸塑",'微型加头-真实数据-吸塑'!J87,"/")</f>
        <v>/</v>
      </c>
      <c r="M8" s="192" t="str">
        <f>IF(G8="真实数据+吸塑",'微型加头-真实数据-简包'!K88,"/")</f>
        <v>/</v>
      </c>
      <c r="N8" s="191" t="str">
        <f>IF(G8="非真实数据+简包",'微型加头-非真实-简包'!J87,"/")</f>
        <v>/</v>
      </c>
      <c r="O8" s="191" t="str">
        <f>IF(G8="非真实数据+简包",'微型加头-非真实-简包'!K87,"/")</f>
        <v>/</v>
      </c>
      <c r="P8" s="192">
        <f>IF(G8="非真实数据+吸塑",'微型加头-非真实-吸塑'!J87,"/")</f>
        <v>138.963159430528</v>
      </c>
      <c r="Q8" s="192">
        <f>IF(G8="非真实数据+吸塑",'微型加头-非真实-吸塑'!K87,"/")</f>
        <v>0</v>
      </c>
    </row>
    <row r="9" spans="1:17">
      <c r="A9" s="174" t="s">
        <v>15</v>
      </c>
      <c r="B9" s="178" t="s">
        <v>30</v>
      </c>
      <c r="C9" s="178" t="s">
        <v>31</v>
      </c>
      <c r="D9" s="178">
        <v>1</v>
      </c>
      <c r="E9" s="178">
        <v>1</v>
      </c>
      <c r="F9" s="178" t="s">
        <v>18</v>
      </c>
      <c r="G9" s="178" t="s">
        <v>19</v>
      </c>
      <c r="H9" s="180">
        <v>0.95</v>
      </c>
      <c r="I9" s="193">
        <v>0.9751</v>
      </c>
      <c r="J9" s="191" t="str">
        <f>IF(G9="真实数据+简包",'微型加头-真实数据-简包'!J89,"/")</f>
        <v>/</v>
      </c>
      <c r="K9" s="191" t="str">
        <f>IF(G9="真实数据+简包",'微型加头-真实数据-简包'!K89,"/")</f>
        <v>/</v>
      </c>
      <c r="L9" s="192" t="str">
        <f>IF(G9="真实数据+吸塑",'微型加头-真实数据-吸塑'!J88,"/")</f>
        <v>/</v>
      </c>
      <c r="M9" s="192" t="str">
        <f>IF(G9="真实数据+吸塑",'微型加头-真实数据-简包'!K89,"/")</f>
        <v>/</v>
      </c>
      <c r="N9" s="191" t="str">
        <f>IF(G9="非真实数据+简包",'微型加头-非真实-简包'!J88,"/")</f>
        <v>/</v>
      </c>
      <c r="O9" s="191" t="str">
        <f>IF(G9="非真实数据+简包",'微型加头-非真实-简包'!K88,"/")</f>
        <v>/</v>
      </c>
      <c r="P9" s="192">
        <f>IF(G9="非真实数据+吸塑",'微型加头-非真实-吸塑'!J88,"/")</f>
        <v>22.569000210826</v>
      </c>
      <c r="Q9" s="192">
        <f>IF(G9="非真实数据+吸塑",'微型加头-非真实-吸塑'!K88,"/")</f>
        <v>0</v>
      </c>
    </row>
    <row r="10" spans="1:17">
      <c r="A10" s="174" t="s">
        <v>15</v>
      </c>
      <c r="B10" s="178" t="s">
        <v>32</v>
      </c>
      <c r="C10" s="178" t="s">
        <v>33</v>
      </c>
      <c r="D10" s="178">
        <v>1</v>
      </c>
      <c r="E10" s="178">
        <v>1</v>
      </c>
      <c r="F10" s="178" t="s">
        <v>18</v>
      </c>
      <c r="G10" s="178" t="s">
        <v>19</v>
      </c>
      <c r="H10" s="180">
        <v>0.94</v>
      </c>
      <c r="I10" s="193">
        <v>0.9751</v>
      </c>
      <c r="J10" s="191" t="str">
        <f>IF(G10="真实数据+简包",'微型加头-真实数据-简包'!J90,"/")</f>
        <v>/</v>
      </c>
      <c r="K10" s="191" t="str">
        <f>IF(G10="真实数据+简包",'微型加头-真实数据-简包'!K90,"/")</f>
        <v>/</v>
      </c>
      <c r="L10" s="192" t="str">
        <f>IF(G10="真实数据+吸塑",'微型加头-真实数据-吸塑'!J89,"/")</f>
        <v>/</v>
      </c>
      <c r="M10" s="192" t="str">
        <f>IF(G10="真实数据+吸塑",'微型加头-真实数据-简包'!K90,"/")</f>
        <v>/</v>
      </c>
      <c r="N10" s="191" t="str">
        <f>IF(G10="非真实数据+简包",'微型加头-非真实-简包'!J89,"/")</f>
        <v>/</v>
      </c>
      <c r="O10" s="191" t="str">
        <f>IF(G10="非真实数据+简包",'微型加头-非真实-简包'!K89,"/")</f>
        <v>/</v>
      </c>
      <c r="P10" s="192">
        <f>IF(G10="非真实数据+吸塑",'微型加头-非真实-吸塑'!J89,"/")</f>
        <v>24.6523858253793</v>
      </c>
      <c r="Q10" s="192">
        <f>IF(G10="非真实数据+吸塑",'微型加头-非真实-吸塑'!K89,"/")</f>
        <v>0</v>
      </c>
    </row>
    <row r="11" spans="1:17">
      <c r="A11" s="174" t="s">
        <v>15</v>
      </c>
      <c r="B11" s="178" t="s">
        <v>34</v>
      </c>
      <c r="C11" s="178" t="s">
        <v>33</v>
      </c>
      <c r="D11" s="178">
        <v>1</v>
      </c>
      <c r="E11" s="178">
        <v>1</v>
      </c>
      <c r="F11" s="178" t="s">
        <v>18</v>
      </c>
      <c r="G11" s="178" t="s">
        <v>19</v>
      </c>
      <c r="H11" s="180">
        <v>0.94</v>
      </c>
      <c r="I11" s="193">
        <v>0.970125</v>
      </c>
      <c r="J11" s="191" t="str">
        <f>IF(G11="真实数据+简包",'微型加头-真实数据-简包'!J91,"/")</f>
        <v>/</v>
      </c>
      <c r="K11" s="191" t="str">
        <f>IF(G11="真实数据+简包",'微型加头-真实数据-简包'!K91,"/")</f>
        <v>/</v>
      </c>
      <c r="L11" s="192" t="str">
        <f>IF(G11="真实数据+吸塑",'微型加头-真实数据-吸塑'!J90,"/")</f>
        <v>/</v>
      </c>
      <c r="M11" s="192" t="str">
        <f>IF(G11="真实数据+吸塑",'微型加头-真实数据-简包'!K91,"/")</f>
        <v>/</v>
      </c>
      <c r="N11" s="191" t="str">
        <f>IF(G11="非真实数据+简包",'微型加头-非真实-简包'!J90,"/")</f>
        <v>/</v>
      </c>
      <c r="O11" s="191" t="str">
        <f>IF(G11="非真实数据+简包",'微型加头-非真实-简包'!K90,"/")</f>
        <v>/</v>
      </c>
      <c r="P11" s="192">
        <f>IF(G11="非真实数据+吸塑",'微型加头-非真实-吸塑'!J90,"/")</f>
        <v>30.6952166587828</v>
      </c>
      <c r="Q11" s="192">
        <f>IF(G11="非真实数据+吸塑",'微型加头-非真实-吸塑'!K90,"/")</f>
        <v>0</v>
      </c>
    </row>
    <row r="12" spans="1:17">
      <c r="A12" s="174" t="s">
        <v>15</v>
      </c>
      <c r="B12" s="178" t="s">
        <v>35</v>
      </c>
      <c r="C12" s="178" t="s">
        <v>27</v>
      </c>
      <c r="D12" s="178">
        <v>1</v>
      </c>
      <c r="E12" s="178">
        <v>1</v>
      </c>
      <c r="F12" s="178" t="s">
        <v>18</v>
      </c>
      <c r="G12" s="178" t="s">
        <v>19</v>
      </c>
      <c r="H12" s="180">
        <v>0.93</v>
      </c>
      <c r="I12" s="193">
        <v>0.960125</v>
      </c>
      <c r="J12" s="191" t="str">
        <f>IF(G12="真实数据+简包",'微型加头-真实数据-简包'!J92,"/")</f>
        <v>/</v>
      </c>
      <c r="K12" s="191" t="str">
        <f>IF(G12="真实数据+简包",'微型加头-真实数据-简包'!K92,"/")</f>
        <v>/</v>
      </c>
      <c r="L12" s="192" t="str">
        <f>IF(G12="真实数据+吸塑",'微型加头-真实数据-吸塑'!J91,"/")</f>
        <v>/</v>
      </c>
      <c r="M12" s="192" t="str">
        <f>IF(G12="真实数据+吸塑",'微型加头-真实数据-简包'!K92,"/")</f>
        <v>/</v>
      </c>
      <c r="N12" s="191" t="str">
        <f>IF(G12="非真实数据+简包",'微型加头-非真实-简包'!J91,"/")</f>
        <v>/</v>
      </c>
      <c r="O12" s="191" t="str">
        <f>IF(G12="非真实数据+简包",'微型加头-非真实-简包'!K91,"/")</f>
        <v>/</v>
      </c>
      <c r="P12" s="192">
        <f>IF(G12="非真实数据+吸塑",'微型加头-非真实-吸塑'!J91,"/")</f>
        <v>58.2181168496833</v>
      </c>
      <c r="Q12" s="192">
        <f>IF(G12="非真实数据+吸塑",'微型加头-非真实-吸塑'!K91,"/")</f>
        <v>0</v>
      </c>
    </row>
    <row r="13" spans="1:17">
      <c r="A13" s="174" t="s">
        <v>15</v>
      </c>
      <c r="B13" s="178" t="s">
        <v>36</v>
      </c>
      <c r="C13" s="178" t="s">
        <v>27</v>
      </c>
      <c r="D13" s="178">
        <v>1</v>
      </c>
      <c r="E13" s="178">
        <v>1</v>
      </c>
      <c r="F13" s="178" t="s">
        <v>18</v>
      </c>
      <c r="G13" s="178" t="s">
        <v>19</v>
      </c>
      <c r="H13" s="180">
        <v>0.91</v>
      </c>
      <c r="I13" s="193">
        <v>0.950125</v>
      </c>
      <c r="J13" s="191" t="str">
        <f>IF(G13="真实数据+简包",'微型加头-真实数据-简包'!J93,"/")</f>
        <v>/</v>
      </c>
      <c r="K13" s="191" t="str">
        <f>IF(G13="真实数据+简包",'微型加头-真实数据-简包'!K93,"/")</f>
        <v>/</v>
      </c>
      <c r="L13" s="192" t="str">
        <f>IF(G13="真实数据+吸塑",'微型加头-真实数据-吸塑'!J92,"/")</f>
        <v>/</v>
      </c>
      <c r="M13" s="192" t="str">
        <f>IF(G13="真实数据+吸塑",'微型加头-真实数据-简包'!K93,"/")</f>
        <v>/</v>
      </c>
      <c r="N13" s="191" t="str">
        <f>IF(G13="非真实数据+简包",'微型加头-非真实-简包'!J92,"/")</f>
        <v>/</v>
      </c>
      <c r="O13" s="191" t="str">
        <f>IF(G13="非真实数据+简包",'微型加头-非真实-简包'!K92,"/")</f>
        <v>/</v>
      </c>
      <c r="P13" s="192">
        <f>IF(G13="非真实数据+吸塑",'微型加头-非真实-吸塑'!J92,"/")</f>
        <v>101.168139636123</v>
      </c>
      <c r="Q13" s="192">
        <f>IF(G13="非真实数据+吸塑",'微型加头-非真实-吸塑'!K92,"/")</f>
        <v>0</v>
      </c>
    </row>
    <row r="14" spans="1:17">
      <c r="A14" s="174" t="s">
        <v>15</v>
      </c>
      <c r="B14" s="178" t="s">
        <v>37</v>
      </c>
      <c r="C14" s="178" t="s">
        <v>27</v>
      </c>
      <c r="D14" s="178">
        <v>1</v>
      </c>
      <c r="E14" s="178">
        <v>1</v>
      </c>
      <c r="F14" s="178" t="s">
        <v>18</v>
      </c>
      <c r="G14" s="178" t="s">
        <v>19</v>
      </c>
      <c r="H14" s="180">
        <v>0.89</v>
      </c>
      <c r="I14" s="193">
        <v>0.93</v>
      </c>
      <c r="J14" s="191" t="str">
        <f>IF(G14="真实数据+简包",'微型加头-真实数据-简包'!J94,"/")</f>
        <v>/</v>
      </c>
      <c r="K14" s="191" t="str">
        <f>IF(G14="真实数据+简包",'微型加头-真实数据-简包'!K94,"/")</f>
        <v>/</v>
      </c>
      <c r="L14" s="192" t="str">
        <f>IF(G14="真实数据+吸塑",'微型加头-真实数据-吸塑'!J93,"/")</f>
        <v>/</v>
      </c>
      <c r="M14" s="192" t="str">
        <f>IF(G14="真实数据+吸塑",'微型加头-真实数据-简包'!K94,"/")</f>
        <v>/</v>
      </c>
      <c r="N14" s="191" t="str">
        <f>IF(G14="非真实数据+简包",'微型加头-非真实-简包'!J93,"/")</f>
        <v>/</v>
      </c>
      <c r="O14" s="191" t="str">
        <f>IF(G14="非真实数据+简包",'微型加头-非真实-简包'!K93,"/")</f>
        <v>/</v>
      </c>
      <c r="P14" s="192">
        <f>IF(G14="非真实数据+吸塑",'微型加头-非真实-吸塑'!J93,"/")</f>
        <v>247.87560650399</v>
      </c>
      <c r="Q14" s="192">
        <f>IF(G14="非真实数据+吸塑",'微型加头-非真实-吸塑'!K93,"/")</f>
        <v>0</v>
      </c>
    </row>
    <row r="17" spans="2:3">
      <c r="B17" s="173">
        <v>1</v>
      </c>
      <c r="C17" s="181" t="s">
        <v>38</v>
      </c>
    </row>
    <row r="18" spans="2:3">
      <c r="B18" s="173">
        <v>2</v>
      </c>
      <c r="C18" s="181" t="s">
        <v>39</v>
      </c>
    </row>
    <row r="19" spans="2:3">
      <c r="B19" s="173">
        <v>3</v>
      </c>
      <c r="C19" s="181" t="s">
        <v>40</v>
      </c>
    </row>
    <row r="20" spans="2:3">
      <c r="B20" s="173">
        <v>4</v>
      </c>
      <c r="C20" s="181" t="s">
        <v>41</v>
      </c>
    </row>
    <row r="21" spans="2:3">
      <c r="B21" s="173">
        <v>5</v>
      </c>
      <c r="C21" s="181" t="s">
        <v>42</v>
      </c>
    </row>
    <row r="22" spans="2:3">
      <c r="B22" s="173">
        <v>6</v>
      </c>
      <c r="C22" s="181" t="s">
        <v>43</v>
      </c>
    </row>
    <row r="23" spans="2:3">
      <c r="B23" s="182">
        <v>7</v>
      </c>
      <c r="C23" s="181" t="s">
        <v>44</v>
      </c>
    </row>
    <row r="24" spans="2:3">
      <c r="B24" s="183">
        <v>8</v>
      </c>
      <c r="C24" s="123" t="s">
        <v>45</v>
      </c>
    </row>
    <row r="25" spans="2:3">
      <c r="B25" s="182"/>
      <c r="C25" s="181"/>
    </row>
    <row r="26" spans="2:3">
      <c r="B26" s="182"/>
      <c r="C26" s="182"/>
    </row>
    <row r="27" spans="2:3">
      <c r="B27" s="182"/>
      <c r="C27" s="182"/>
    </row>
    <row r="28" spans="2:3">
      <c r="B28" s="182"/>
      <c r="C28" s="182"/>
    </row>
    <row r="29" spans="2:3">
      <c r="B29" s="182"/>
      <c r="C29" s="182"/>
    </row>
  </sheetData>
  <autoFilter ref="A2:I14">
    <extLst/>
  </autoFilter>
  <mergeCells count="13">
    <mergeCell ref="J1:K1"/>
    <mergeCell ref="L1:M1"/>
    <mergeCell ref="N1:O1"/>
    <mergeCell ref="P1:Q1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dataValidations count="4">
    <dataValidation type="list" allowBlank="1" showInputMessage="1" showErrorMessage="1" sqref="C5 C6 C11 C3:C4 C7:C8 C9:C10 C12:C14">
      <formula1>材料价格!$B:$B</formula1>
    </dataValidation>
    <dataValidation type="list" allowBlank="1" showInputMessage="1" showErrorMessage="1" sqref="B3:B14">
      <formula1>"1X2,1X4,1X8,1X16,1X32,1X64,2X2,2X4,2X8,2X16,2X32,2X64"</formula1>
    </dataValidation>
    <dataValidation type="list" allowBlank="1" showInputMessage="1" showErrorMessage="1" sqref="F3:F14">
      <formula1>'微型加头-真实数据-简包'!$B$67:$B$78</formula1>
    </dataValidation>
    <dataValidation type="list" allowBlank="1" showInputMessage="1" showErrorMessage="1" sqref="G3:G14">
      <formula1>"真实数据+吸塑,真实数据+简包,非真实数据+吸塑,非真实数据+简包"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6"/>
  <sheetViews>
    <sheetView topLeftCell="A73" workbookViewId="0">
      <selection activeCell="D82" sqref="D82"/>
    </sheetView>
  </sheetViews>
  <sheetFormatPr defaultColWidth="9" defaultRowHeight="14.4"/>
  <cols>
    <col min="1" max="1" width="5.25" style="43" customWidth="1"/>
    <col min="2" max="2" width="13.1111111111111" style="43" customWidth="1"/>
    <col min="3" max="3" width="31.1296296296296" style="43" customWidth="1"/>
    <col min="4" max="4" width="9.87962962962963" style="43" customWidth="1"/>
    <col min="5" max="5" width="12.3796296296296" style="43" customWidth="1"/>
    <col min="6" max="6" width="15.1296296296296" style="43" customWidth="1"/>
    <col min="7" max="7" width="13.75" style="43"/>
    <col min="8" max="8" width="13.1296296296296" style="43" customWidth="1"/>
    <col min="9" max="9" width="9" style="43"/>
    <col min="10" max="10" width="11.25" style="43" customWidth="1"/>
    <col min="11" max="11" width="19.1296296296296" style="43" customWidth="1"/>
    <col min="12" max="12" width="7.12962962962963" style="43" customWidth="1"/>
    <col min="13" max="13" width="10.3796296296296" style="43" customWidth="1"/>
    <col min="14" max="14" width="8.37962962962963" style="43" customWidth="1"/>
    <col min="15" max="16384" width="9" style="43"/>
  </cols>
  <sheetData>
    <row r="1" ht="22.2" spans="1:16">
      <c r="A1" s="44" t="s">
        <v>46</v>
      </c>
      <c r="B1" s="45"/>
      <c r="C1" s="46" t="s">
        <v>47</v>
      </c>
      <c r="D1" s="47"/>
      <c r="E1" s="47"/>
      <c r="F1" s="47"/>
      <c r="G1" s="47"/>
      <c r="H1" s="47" t="s">
        <v>48</v>
      </c>
      <c r="I1" s="47" t="s">
        <v>49</v>
      </c>
      <c r="J1" s="88" t="s">
        <v>50</v>
      </c>
      <c r="K1" s="89"/>
      <c r="L1" s="89"/>
      <c r="M1" s="89"/>
      <c r="N1" s="90"/>
      <c r="O1" s="90"/>
      <c r="P1" s="90"/>
    </row>
    <row r="2" ht="32.4" spans="1:15">
      <c r="A2" s="44"/>
      <c r="B2" s="48" t="s">
        <v>51</v>
      </c>
      <c r="C2" s="48" t="s">
        <v>52</v>
      </c>
      <c r="D2" s="49" t="s">
        <v>53</v>
      </c>
      <c r="E2" s="48" t="s">
        <v>54</v>
      </c>
      <c r="F2" s="48" t="s">
        <v>55</v>
      </c>
      <c r="G2" s="48" t="s">
        <v>56</v>
      </c>
      <c r="H2" s="50" t="s">
        <v>57</v>
      </c>
      <c r="I2" s="91" t="s">
        <v>58</v>
      </c>
      <c r="J2" s="48" t="s">
        <v>59</v>
      </c>
      <c r="K2" s="92" t="s">
        <v>60</v>
      </c>
      <c r="L2" s="92" t="s">
        <v>61</v>
      </c>
      <c r="M2" s="92" t="s">
        <v>62</v>
      </c>
      <c r="N2" s="93" t="s">
        <v>63</v>
      </c>
      <c r="O2" s="94" t="s">
        <v>64</v>
      </c>
    </row>
    <row r="3" spans="1:15">
      <c r="A3" s="44"/>
      <c r="B3" s="51" t="s">
        <v>65</v>
      </c>
      <c r="C3" s="52">
        <f>1.96/1.13</f>
        <v>1.73451327433628</v>
      </c>
      <c r="D3" s="53">
        <f>P35</f>
        <v>1.20882512255759</v>
      </c>
      <c r="E3" s="54">
        <f>P18</f>
        <v>0.503039241977295</v>
      </c>
      <c r="F3" s="55">
        <v>0.2</v>
      </c>
      <c r="G3" s="56">
        <f t="shared" ref="G3:G14" si="0">G50</f>
        <v>0.1944</v>
      </c>
      <c r="H3" s="57">
        <v>0.21</v>
      </c>
      <c r="I3" s="165">
        <v>2.9435</v>
      </c>
      <c r="J3" s="96">
        <f>0.7*0.7</f>
        <v>0.49</v>
      </c>
      <c r="K3" s="55">
        <f>SUM(C3:H3)</f>
        <v>4.05077763887117</v>
      </c>
      <c r="L3" s="55">
        <f>I3</f>
        <v>2.9435</v>
      </c>
      <c r="M3" s="55">
        <f>J3</f>
        <v>0.49</v>
      </c>
      <c r="N3" s="97">
        <f>'xxxx成本价格-xxx'!H3</f>
        <v>0.96</v>
      </c>
      <c r="O3" s="98">
        <f>SUM(C3:J3)/N3</f>
        <v>7.7961225404908</v>
      </c>
    </row>
    <row r="4" spans="1:15">
      <c r="A4" s="44"/>
      <c r="B4" s="51" t="s">
        <v>66</v>
      </c>
      <c r="C4" s="52">
        <f>1.61/1.13</f>
        <v>1.42477876106195</v>
      </c>
      <c r="D4" s="53">
        <f t="shared" ref="D4:D14" si="1">P36</f>
        <v>1.40205318214623</v>
      </c>
      <c r="E4" s="54">
        <f t="shared" ref="E4:E14" si="2">P19</f>
        <v>0.503039241977295</v>
      </c>
      <c r="F4" s="55">
        <v>0.2</v>
      </c>
      <c r="G4" s="56">
        <f t="shared" si="0"/>
        <v>0.324</v>
      </c>
      <c r="H4" s="57">
        <v>0.21</v>
      </c>
      <c r="I4" s="165">
        <v>2.7407</v>
      </c>
      <c r="J4" s="96">
        <f>0.735833333333333*0.7</f>
        <v>0.515083333333333</v>
      </c>
      <c r="K4" s="55">
        <f>SUM(C4:H4)</f>
        <v>4.06387118518548</v>
      </c>
      <c r="L4" s="55">
        <f>I4</f>
        <v>2.7407</v>
      </c>
      <c r="M4" s="55">
        <f>J4</f>
        <v>0.515083333333333</v>
      </c>
      <c r="N4" s="97">
        <f>'xxxx成本价格-xxx'!H4</f>
        <v>0.95</v>
      </c>
      <c r="O4" s="98">
        <f>SUM(C4:J4)/N4</f>
        <v>7.70489949317769</v>
      </c>
    </row>
    <row r="5" spans="1:15">
      <c r="A5" s="44"/>
      <c r="B5" s="58" t="s">
        <v>67</v>
      </c>
      <c r="C5" s="52">
        <f>1.61/1.13</f>
        <v>1.42477876106195</v>
      </c>
      <c r="D5" s="53">
        <f t="shared" si="1"/>
        <v>1.82136985033344</v>
      </c>
      <c r="E5" s="54">
        <f t="shared" si="2"/>
        <v>0.503039241977295</v>
      </c>
      <c r="F5" s="55">
        <v>0.2</v>
      </c>
      <c r="G5" s="56">
        <f t="shared" si="0"/>
        <v>0.5832</v>
      </c>
      <c r="H5" s="57">
        <v>0.21</v>
      </c>
      <c r="I5" s="165">
        <v>3.1095</v>
      </c>
      <c r="J5" s="96">
        <f>0.786666666666667*0.7</f>
        <v>0.550666666666667</v>
      </c>
      <c r="K5" s="55">
        <f t="shared" ref="K5:K14" si="3">SUM(C5:H5)</f>
        <v>4.74238785337268</v>
      </c>
      <c r="L5" s="55">
        <f t="shared" ref="L5:L14" si="4">I5</f>
        <v>3.1095</v>
      </c>
      <c r="M5" s="55">
        <f t="shared" ref="M5:M14" si="5">J5</f>
        <v>0.550666666666667</v>
      </c>
      <c r="N5" s="97">
        <f>'xxxx成本价格-xxx'!H5</f>
        <v>0.95</v>
      </c>
      <c r="O5" s="98">
        <f t="shared" ref="O5:O14" si="6">SUM(C5:J5)/N5</f>
        <v>8.84479423162037</v>
      </c>
    </row>
    <row r="6" spans="1:15">
      <c r="A6" s="44"/>
      <c r="B6" s="58" t="s">
        <v>68</v>
      </c>
      <c r="C6" s="52">
        <f>4.01/1.13</f>
        <v>3.54867256637168</v>
      </c>
      <c r="D6" s="53">
        <f t="shared" si="1"/>
        <v>5.11428636511456</v>
      </c>
      <c r="E6" s="54">
        <f t="shared" si="2"/>
        <v>0.503039241977295</v>
      </c>
      <c r="F6" s="55">
        <v>0.57</v>
      </c>
      <c r="G6" s="56">
        <f t="shared" si="0"/>
        <v>1.1016</v>
      </c>
      <c r="H6" s="57">
        <v>0.26</v>
      </c>
      <c r="I6" s="165">
        <v>4.4083</v>
      </c>
      <c r="J6" s="96">
        <f>1.005*0.7</f>
        <v>0.7035</v>
      </c>
      <c r="K6" s="55">
        <f t="shared" si="3"/>
        <v>11.0975981734635</v>
      </c>
      <c r="L6" s="55">
        <f t="shared" si="4"/>
        <v>4.4083</v>
      </c>
      <c r="M6" s="55">
        <f t="shared" si="5"/>
        <v>0.7035</v>
      </c>
      <c r="N6" s="97">
        <f>'xxxx成本价格-xxx'!H6</f>
        <v>0.94</v>
      </c>
      <c r="O6" s="98">
        <f t="shared" si="6"/>
        <v>17.2440406100676</v>
      </c>
    </row>
    <row r="7" spans="1:15">
      <c r="A7" s="44"/>
      <c r="B7" s="51" t="s">
        <v>69</v>
      </c>
      <c r="C7" s="52">
        <f>9.02/1.13</f>
        <v>7.98230088495575</v>
      </c>
      <c r="D7" s="53">
        <f t="shared" si="1"/>
        <v>10.4604050270725</v>
      </c>
      <c r="E7" s="54">
        <f t="shared" si="2"/>
        <v>0.503039241977295</v>
      </c>
      <c r="F7" s="55">
        <f>0.78</f>
        <v>0.78</v>
      </c>
      <c r="G7" s="56">
        <f t="shared" si="0"/>
        <v>2.1384</v>
      </c>
      <c r="H7" s="57">
        <v>0.48</v>
      </c>
      <c r="I7" s="165">
        <v>6.0897</v>
      </c>
      <c r="J7" s="96">
        <f>1.39166666666667*0.7</f>
        <v>0.974166666666669</v>
      </c>
      <c r="K7" s="55">
        <f t="shared" si="3"/>
        <v>22.3441451540055</v>
      </c>
      <c r="L7" s="55">
        <f t="shared" si="4"/>
        <v>6.0897</v>
      </c>
      <c r="M7" s="55">
        <f t="shared" si="5"/>
        <v>0.974166666666669</v>
      </c>
      <c r="N7" s="97">
        <f>'xxxx成本价格-xxx'!H7</f>
        <v>0.92</v>
      </c>
      <c r="O7" s="98">
        <f t="shared" si="6"/>
        <v>31.9652302398611</v>
      </c>
    </row>
    <row r="8" spans="1:15">
      <c r="A8" s="44"/>
      <c r="B8" s="51" t="s">
        <v>70</v>
      </c>
      <c r="C8" s="52">
        <f>21.48/1.13</f>
        <v>19.0088495575221</v>
      </c>
      <c r="D8" s="53">
        <f t="shared" si="1"/>
        <v>29.3111926889332</v>
      </c>
      <c r="E8" s="54">
        <f t="shared" si="2"/>
        <v>0.503039241977295</v>
      </c>
      <c r="F8" s="55">
        <f>1.55</f>
        <v>1.55</v>
      </c>
      <c r="G8" s="56">
        <f t="shared" si="0"/>
        <v>4.212</v>
      </c>
      <c r="H8" s="59">
        <v>0.63</v>
      </c>
      <c r="I8" s="165">
        <v>11.8268</v>
      </c>
      <c r="J8" s="96">
        <f>2.21333333333333*0.7</f>
        <v>1.54933333333333</v>
      </c>
      <c r="K8" s="55">
        <f t="shared" si="3"/>
        <v>55.2150814884326</v>
      </c>
      <c r="L8" s="55">
        <f t="shared" si="4"/>
        <v>11.8268</v>
      </c>
      <c r="M8" s="55">
        <f t="shared" si="5"/>
        <v>1.54933333333333</v>
      </c>
      <c r="N8" s="97">
        <f>'xxxx成本价格-xxx'!H8</f>
        <v>0.9</v>
      </c>
      <c r="O8" s="98">
        <f t="shared" si="6"/>
        <v>76.2124609130733</v>
      </c>
    </row>
    <row r="9" spans="1:15">
      <c r="A9" s="44"/>
      <c r="B9" s="51" t="s">
        <v>71</v>
      </c>
      <c r="C9" s="52">
        <v>10.6194690265487</v>
      </c>
      <c r="D9" s="53">
        <f t="shared" si="1"/>
        <v>1.46601538804432</v>
      </c>
      <c r="E9" s="54">
        <f t="shared" si="2"/>
        <v>1.20111678922426</v>
      </c>
      <c r="F9" s="55">
        <v>0.2</v>
      </c>
      <c r="G9" s="56">
        <f t="shared" si="0"/>
        <v>0.2592</v>
      </c>
      <c r="H9" s="57">
        <v>0.18</v>
      </c>
      <c r="I9" s="166">
        <v>3.898</v>
      </c>
      <c r="J9" s="96">
        <f>0.84*0.7</f>
        <v>0.588</v>
      </c>
      <c r="K9" s="55">
        <f t="shared" si="3"/>
        <v>13.9258012038173</v>
      </c>
      <c r="L9" s="55">
        <f t="shared" si="4"/>
        <v>3.898</v>
      </c>
      <c r="M9" s="55">
        <f t="shared" si="5"/>
        <v>0.588</v>
      </c>
      <c r="N9" s="97">
        <f>'xxxx成本价格-xxx'!H9</f>
        <v>0.95</v>
      </c>
      <c r="O9" s="98">
        <f t="shared" si="6"/>
        <v>19.3808433724392</v>
      </c>
    </row>
    <row r="10" spans="1:15">
      <c r="A10" s="44"/>
      <c r="B10" s="51" t="s">
        <v>72</v>
      </c>
      <c r="C10" s="52">
        <v>10.3362831858407</v>
      </c>
      <c r="D10" s="53">
        <f t="shared" si="1"/>
        <v>1.57174572844675</v>
      </c>
      <c r="E10" s="54">
        <f t="shared" si="2"/>
        <v>1.20111678922426</v>
      </c>
      <c r="F10" s="55">
        <v>0.2</v>
      </c>
      <c r="G10" s="56">
        <f t="shared" si="0"/>
        <v>0.3888</v>
      </c>
      <c r="H10" s="57">
        <v>0.18</v>
      </c>
      <c r="I10" s="166">
        <v>3.8648</v>
      </c>
      <c r="J10" s="96">
        <f>0.883*0.7</f>
        <v>0.6181</v>
      </c>
      <c r="K10" s="55">
        <f t="shared" si="3"/>
        <v>13.8779457035117</v>
      </c>
      <c r="L10" s="55">
        <f t="shared" si="4"/>
        <v>3.8648</v>
      </c>
      <c r="M10" s="55">
        <f t="shared" si="5"/>
        <v>0.6181</v>
      </c>
      <c r="N10" s="97">
        <f>'xxxx成本价格-xxx'!H10</f>
        <v>0.94</v>
      </c>
      <c r="O10" s="98">
        <f t="shared" si="6"/>
        <v>19.5328145782039</v>
      </c>
    </row>
    <row r="11" spans="1:15">
      <c r="A11" s="44"/>
      <c r="B11" s="51" t="s">
        <v>73</v>
      </c>
      <c r="C11" s="52">
        <v>11.2212389380531</v>
      </c>
      <c r="D11" s="53">
        <f t="shared" si="1"/>
        <v>2.16075494293448</v>
      </c>
      <c r="E11" s="54">
        <f t="shared" si="2"/>
        <v>1.20111678922426</v>
      </c>
      <c r="F11" s="55">
        <v>0.2</v>
      </c>
      <c r="G11" s="56">
        <f t="shared" si="0"/>
        <v>0.648</v>
      </c>
      <c r="H11" s="57">
        <v>0.18</v>
      </c>
      <c r="I11" s="166">
        <v>4.316</v>
      </c>
      <c r="J11" s="96">
        <f>0.944*0.7</f>
        <v>0.6608</v>
      </c>
      <c r="K11" s="55">
        <f t="shared" si="3"/>
        <v>15.6111106702118</v>
      </c>
      <c r="L11" s="55">
        <f t="shared" si="4"/>
        <v>4.316</v>
      </c>
      <c r="M11" s="55">
        <f t="shared" si="5"/>
        <v>0.6608</v>
      </c>
      <c r="N11" s="97">
        <f>'xxxx成本价格-xxx'!H11</f>
        <v>0.94</v>
      </c>
      <c r="O11" s="98">
        <f t="shared" si="6"/>
        <v>21.9020326278849</v>
      </c>
    </row>
    <row r="12" spans="1:15">
      <c r="A12" s="44"/>
      <c r="B12" s="51" t="s">
        <v>74</v>
      </c>
      <c r="C12" s="52">
        <v>23.2920353982301</v>
      </c>
      <c r="D12" s="53">
        <f t="shared" si="1"/>
        <v>5.11428636511456</v>
      </c>
      <c r="E12" s="54">
        <f t="shared" si="2"/>
        <v>1.20111678922426</v>
      </c>
      <c r="F12" s="55">
        <v>0.57</v>
      </c>
      <c r="G12" s="56">
        <f t="shared" si="0"/>
        <v>1.1664</v>
      </c>
      <c r="H12" s="57">
        <v>0.26</v>
      </c>
      <c r="I12" s="166">
        <v>5.6963</v>
      </c>
      <c r="J12" s="96">
        <f>1.206*0.7</f>
        <v>0.8442</v>
      </c>
      <c r="K12" s="55">
        <f t="shared" si="3"/>
        <v>31.6038385525689</v>
      </c>
      <c r="L12" s="55">
        <f t="shared" si="4"/>
        <v>5.6963</v>
      </c>
      <c r="M12" s="55">
        <f t="shared" si="5"/>
        <v>0.8442</v>
      </c>
      <c r="N12" s="97">
        <f>'xxxx成本价格-xxx'!H12</f>
        <v>0.93</v>
      </c>
      <c r="O12" s="98">
        <f t="shared" si="6"/>
        <v>41.0154177984612</v>
      </c>
    </row>
    <row r="13" spans="1:15">
      <c r="A13" s="44"/>
      <c r="B13" s="51" t="s">
        <v>75</v>
      </c>
      <c r="C13" s="52">
        <v>37.0973451327434</v>
      </c>
      <c r="D13" s="53">
        <f t="shared" si="1"/>
        <v>10.4604050270725</v>
      </c>
      <c r="E13" s="54">
        <f t="shared" si="2"/>
        <v>1.20111678922426</v>
      </c>
      <c r="F13" s="55">
        <f>0.78</f>
        <v>0.78</v>
      </c>
      <c r="G13" s="56">
        <f t="shared" si="0"/>
        <v>2.2032</v>
      </c>
      <c r="H13" s="57">
        <v>0.48</v>
      </c>
      <c r="I13" s="166">
        <v>7.916</v>
      </c>
      <c r="J13" s="96">
        <f>1.67*0.7</f>
        <v>1.169</v>
      </c>
      <c r="K13" s="55">
        <f t="shared" si="3"/>
        <v>52.2220669490402</v>
      </c>
      <c r="L13" s="55">
        <f t="shared" si="4"/>
        <v>7.916</v>
      </c>
      <c r="M13" s="55">
        <f t="shared" si="5"/>
        <v>1.169</v>
      </c>
      <c r="N13" s="97">
        <f>'xxxx成本价格-xxx'!H13</f>
        <v>0.91</v>
      </c>
      <c r="O13" s="98">
        <f t="shared" si="6"/>
        <v>67.3704032407035</v>
      </c>
    </row>
    <row r="14" spans="1:15">
      <c r="A14" s="44"/>
      <c r="B14" s="51" t="s">
        <v>76</v>
      </c>
      <c r="C14" s="52">
        <v>103.522123893805</v>
      </c>
      <c r="D14" s="53">
        <f t="shared" si="1"/>
        <v>29.3111926889332</v>
      </c>
      <c r="E14" s="54">
        <f t="shared" si="2"/>
        <v>1.20111678922426</v>
      </c>
      <c r="F14" s="55">
        <f>1.55</f>
        <v>1.55</v>
      </c>
      <c r="G14" s="56">
        <f t="shared" si="0"/>
        <v>4.2768</v>
      </c>
      <c r="H14" s="59">
        <v>0.63</v>
      </c>
      <c r="I14" s="166">
        <v>13.9688</v>
      </c>
      <c r="J14" s="96">
        <f>2.656*0.7</f>
        <v>1.8592</v>
      </c>
      <c r="K14" s="55">
        <f t="shared" si="3"/>
        <v>140.491233371962</v>
      </c>
      <c r="L14" s="55">
        <f t="shared" si="4"/>
        <v>13.9688</v>
      </c>
      <c r="M14" s="55">
        <f t="shared" si="5"/>
        <v>1.8592</v>
      </c>
      <c r="N14" s="97">
        <f>'xxxx成本价格-xxx'!H14</f>
        <v>0.89</v>
      </c>
      <c r="O14" s="98">
        <f t="shared" si="6"/>
        <v>175.639588058385</v>
      </c>
    </row>
    <row r="16" ht="17.4" spans="1:16">
      <c r="A16" s="60" t="s">
        <v>54</v>
      </c>
      <c r="B16" s="61" t="s">
        <v>1</v>
      </c>
      <c r="C16" s="62" t="s">
        <v>77</v>
      </c>
      <c r="D16" s="63" t="s">
        <v>78</v>
      </c>
      <c r="E16" s="63"/>
      <c r="F16" s="63"/>
      <c r="G16" s="63"/>
      <c r="H16" s="63"/>
      <c r="I16" s="63"/>
      <c r="J16" s="71" t="s">
        <v>49</v>
      </c>
      <c r="K16" s="102" t="s">
        <v>79</v>
      </c>
      <c r="L16" s="103" t="s">
        <v>80</v>
      </c>
      <c r="M16" s="104"/>
      <c r="N16" s="102" t="s">
        <v>81</v>
      </c>
      <c r="O16" s="102"/>
      <c r="P16" s="105" t="s">
        <v>82</v>
      </c>
    </row>
    <row r="17" spans="1:16">
      <c r="A17" s="60"/>
      <c r="B17" s="61"/>
      <c r="C17" s="62"/>
      <c r="D17" s="64" t="s">
        <v>83</v>
      </c>
      <c r="E17" s="65" t="s">
        <v>84</v>
      </c>
      <c r="F17" s="65" t="s">
        <v>85</v>
      </c>
      <c r="G17" s="65" t="s">
        <v>86</v>
      </c>
      <c r="H17" s="65" t="s">
        <v>87</v>
      </c>
      <c r="I17" s="65" t="s">
        <v>88</v>
      </c>
      <c r="J17" s="68" t="s">
        <v>89</v>
      </c>
      <c r="K17" s="65" t="s">
        <v>90</v>
      </c>
      <c r="L17" s="69" t="s">
        <v>91</v>
      </c>
      <c r="M17" s="69" t="s">
        <v>92</v>
      </c>
      <c r="N17" s="65" t="s">
        <v>93</v>
      </c>
      <c r="O17" s="65" t="s">
        <v>94</v>
      </c>
      <c r="P17" s="105"/>
    </row>
    <row r="18" ht="16" customHeight="1" spans="1:16">
      <c r="A18" s="60"/>
      <c r="B18" s="61" t="s">
        <v>95</v>
      </c>
      <c r="C18" s="66" t="str">
        <f>'xxxx成本价格-xxx'!C3</f>
        <v>光纤，华信藤仓，1芯，G657A1</v>
      </c>
      <c r="D18" s="66">
        <f>'xxxx成本价格-xxx'!D3+0.5</f>
        <v>1.5</v>
      </c>
      <c r="E18" s="65">
        <v>0.1</v>
      </c>
      <c r="F18" s="67">
        <v>0.1</v>
      </c>
      <c r="G18" s="68">
        <f>VLOOKUP(C18,材料价格!B:E,3,0)</f>
        <v>0.0309734513274336</v>
      </c>
      <c r="H18" s="69">
        <f t="shared" ref="H18:H29" si="7">D18+0.05</f>
        <v>1.55</v>
      </c>
      <c r="I18" s="69">
        <v>1</v>
      </c>
      <c r="J18" s="67">
        <v>0.18</v>
      </c>
      <c r="K18" s="106">
        <f t="shared" ref="K18:K23" si="8">0.1*0.7</f>
        <v>0.07</v>
      </c>
      <c r="L18" s="68">
        <f t="shared" ref="L18:L29" si="9">E18+F18+H18*I18*G18</f>
        <v>0.248008849557522</v>
      </c>
      <c r="M18" s="68">
        <f t="shared" ref="M18:M29" si="10">J18+L18+K18</f>
        <v>0.498008849557522</v>
      </c>
      <c r="N18" s="107">
        <v>0.99</v>
      </c>
      <c r="O18" s="107">
        <v>0.96</v>
      </c>
      <c r="P18" s="108">
        <f>M18/N18</f>
        <v>0.503039241977295</v>
      </c>
    </row>
    <row r="19" ht="15.6" spans="1:16">
      <c r="A19" s="60"/>
      <c r="B19" s="61" t="s">
        <v>95</v>
      </c>
      <c r="C19" s="66" t="str">
        <f t="shared" ref="C19:C29" si="11">C18</f>
        <v>光纤，华信藤仓，1芯，G657A1</v>
      </c>
      <c r="D19" s="66">
        <f>'xxxx成本价格-xxx'!D4+0.5</f>
        <v>1.5</v>
      </c>
      <c r="E19" s="65">
        <v>0.1</v>
      </c>
      <c r="F19" s="67">
        <v>0.1</v>
      </c>
      <c r="G19" s="68">
        <f>VLOOKUP(C19,材料价格!B:E,3,0)</f>
        <v>0.0309734513274336</v>
      </c>
      <c r="H19" s="69">
        <f t="shared" si="7"/>
        <v>1.55</v>
      </c>
      <c r="I19" s="69">
        <v>1</v>
      </c>
      <c r="J19" s="67">
        <v>0.18</v>
      </c>
      <c r="K19" s="106">
        <f t="shared" si="8"/>
        <v>0.07</v>
      </c>
      <c r="L19" s="68">
        <f t="shared" si="9"/>
        <v>0.248008849557522</v>
      </c>
      <c r="M19" s="68">
        <f t="shared" si="10"/>
        <v>0.498008849557522</v>
      </c>
      <c r="N19" s="107">
        <v>0.99</v>
      </c>
      <c r="O19" s="107">
        <v>0.96</v>
      </c>
      <c r="P19" s="108">
        <f t="shared" ref="P18:P29" si="12">M19/N19</f>
        <v>0.503039241977295</v>
      </c>
    </row>
    <row r="20" ht="15.6" spans="1:16">
      <c r="A20" s="60"/>
      <c r="B20" s="61" t="s">
        <v>95</v>
      </c>
      <c r="C20" s="66" t="str">
        <f t="shared" si="11"/>
        <v>光纤，华信藤仓，1芯，G657A1</v>
      </c>
      <c r="D20" s="66">
        <f>'xxxx成本价格-xxx'!D5+0.5</f>
        <v>1.5</v>
      </c>
      <c r="E20" s="65">
        <v>0.1</v>
      </c>
      <c r="F20" s="67">
        <v>0.1</v>
      </c>
      <c r="G20" s="68">
        <f>VLOOKUP(C20,材料价格!B:E,3,0)</f>
        <v>0.0309734513274336</v>
      </c>
      <c r="H20" s="69">
        <f t="shared" si="7"/>
        <v>1.55</v>
      </c>
      <c r="I20" s="69">
        <v>1</v>
      </c>
      <c r="J20" s="67">
        <v>0.18</v>
      </c>
      <c r="K20" s="106">
        <f t="shared" si="8"/>
        <v>0.07</v>
      </c>
      <c r="L20" s="68">
        <f t="shared" si="9"/>
        <v>0.248008849557522</v>
      </c>
      <c r="M20" s="68">
        <f t="shared" si="10"/>
        <v>0.498008849557522</v>
      </c>
      <c r="N20" s="107">
        <v>0.99</v>
      </c>
      <c r="O20" s="107">
        <v>0.96</v>
      </c>
      <c r="P20" s="108">
        <f t="shared" si="12"/>
        <v>0.503039241977295</v>
      </c>
    </row>
    <row r="21" ht="15.6" spans="1:16">
      <c r="A21" s="60"/>
      <c r="B21" s="61" t="s">
        <v>95</v>
      </c>
      <c r="C21" s="66" t="str">
        <f t="shared" si="11"/>
        <v>光纤，华信藤仓，1芯，G657A1</v>
      </c>
      <c r="D21" s="66">
        <f>'xxxx成本价格-xxx'!D6+0.5</f>
        <v>1.5</v>
      </c>
      <c r="E21" s="65">
        <v>0.1</v>
      </c>
      <c r="F21" s="67">
        <v>0.1</v>
      </c>
      <c r="G21" s="68">
        <f>VLOOKUP(C21,材料价格!B:E,3,0)</f>
        <v>0.0309734513274336</v>
      </c>
      <c r="H21" s="69">
        <f t="shared" si="7"/>
        <v>1.55</v>
      </c>
      <c r="I21" s="69">
        <v>1</v>
      </c>
      <c r="J21" s="67">
        <v>0.18</v>
      </c>
      <c r="K21" s="106">
        <f t="shared" si="8"/>
        <v>0.07</v>
      </c>
      <c r="L21" s="68">
        <f t="shared" si="9"/>
        <v>0.248008849557522</v>
      </c>
      <c r="M21" s="68">
        <f t="shared" si="10"/>
        <v>0.498008849557522</v>
      </c>
      <c r="N21" s="107">
        <v>0.99</v>
      </c>
      <c r="O21" s="107">
        <v>0.96</v>
      </c>
      <c r="P21" s="108">
        <f t="shared" si="12"/>
        <v>0.503039241977295</v>
      </c>
    </row>
    <row r="22" ht="15.6" spans="1:16">
      <c r="A22" s="60"/>
      <c r="B22" s="61" t="s">
        <v>95</v>
      </c>
      <c r="C22" s="66" t="str">
        <f t="shared" si="11"/>
        <v>光纤，华信藤仓，1芯，G657A1</v>
      </c>
      <c r="D22" s="66">
        <f>'xxxx成本价格-xxx'!D7+0.5</f>
        <v>1.5</v>
      </c>
      <c r="E22" s="65">
        <v>0.1</v>
      </c>
      <c r="F22" s="67">
        <v>0.1</v>
      </c>
      <c r="G22" s="68">
        <f>VLOOKUP(C22,材料价格!B:E,3,0)</f>
        <v>0.0309734513274336</v>
      </c>
      <c r="H22" s="69">
        <f t="shared" si="7"/>
        <v>1.55</v>
      </c>
      <c r="I22" s="69">
        <v>1</v>
      </c>
      <c r="J22" s="67">
        <v>0.18</v>
      </c>
      <c r="K22" s="106">
        <f t="shared" si="8"/>
        <v>0.07</v>
      </c>
      <c r="L22" s="68">
        <f t="shared" si="9"/>
        <v>0.248008849557522</v>
      </c>
      <c r="M22" s="68">
        <f t="shared" si="10"/>
        <v>0.498008849557522</v>
      </c>
      <c r="N22" s="107">
        <v>0.99</v>
      </c>
      <c r="O22" s="107">
        <v>0.96</v>
      </c>
      <c r="P22" s="108">
        <f t="shared" si="12"/>
        <v>0.503039241977295</v>
      </c>
    </row>
    <row r="23" ht="15.6" spans="1:16">
      <c r="A23" s="60"/>
      <c r="B23" s="61" t="s">
        <v>95</v>
      </c>
      <c r="C23" s="66" t="str">
        <f t="shared" si="11"/>
        <v>光纤，华信藤仓，1芯，G657A1</v>
      </c>
      <c r="D23" s="66">
        <f>'xxxx成本价格-xxx'!D8+0.5</f>
        <v>1.5</v>
      </c>
      <c r="E23" s="65">
        <v>0.1</v>
      </c>
      <c r="F23" s="67">
        <v>0.1</v>
      </c>
      <c r="G23" s="68">
        <f>VLOOKUP(C23,材料价格!B:E,3,0)</f>
        <v>0.0309734513274336</v>
      </c>
      <c r="H23" s="69">
        <f t="shared" si="7"/>
        <v>1.55</v>
      </c>
      <c r="I23" s="69">
        <v>1</v>
      </c>
      <c r="J23" s="67">
        <v>0.18</v>
      </c>
      <c r="K23" s="106">
        <f t="shared" si="8"/>
        <v>0.07</v>
      </c>
      <c r="L23" s="68">
        <f t="shared" si="9"/>
        <v>0.248008849557522</v>
      </c>
      <c r="M23" s="68">
        <f t="shared" si="10"/>
        <v>0.498008849557522</v>
      </c>
      <c r="N23" s="107">
        <v>0.99</v>
      </c>
      <c r="O23" s="107">
        <v>0.96</v>
      </c>
      <c r="P23" s="108">
        <f t="shared" si="12"/>
        <v>0.503039241977295</v>
      </c>
    </row>
    <row r="24" ht="15.6" spans="1:16">
      <c r="A24" s="60"/>
      <c r="B24" s="61" t="s">
        <v>96</v>
      </c>
      <c r="C24" s="66" t="str">
        <f t="shared" si="11"/>
        <v>光纤，华信藤仓，1芯，G657A1</v>
      </c>
      <c r="D24" s="66">
        <f>'xxxx成本价格-xxx'!D9+0.5</f>
        <v>1.5</v>
      </c>
      <c r="E24" s="68">
        <v>0.22</v>
      </c>
      <c r="F24" s="67">
        <v>0.153854418540247</v>
      </c>
      <c r="G24" s="68">
        <f>VLOOKUP(C24,材料价格!B:E,3,0)</f>
        <v>0.0309734513274336</v>
      </c>
      <c r="H24" s="69">
        <f t="shared" si="7"/>
        <v>1.55</v>
      </c>
      <c r="I24" s="69">
        <v>2</v>
      </c>
      <c r="J24" s="67">
        <v>0.4732</v>
      </c>
      <c r="K24" s="106">
        <f t="shared" ref="K24:K29" si="13">0.3*0.7</f>
        <v>0.21</v>
      </c>
      <c r="L24" s="68">
        <f t="shared" si="9"/>
        <v>0.469872117655291</v>
      </c>
      <c r="M24" s="68">
        <f t="shared" si="10"/>
        <v>1.15307211765529</v>
      </c>
      <c r="N24" s="107">
        <v>0.96</v>
      </c>
      <c r="O24" s="107">
        <v>0.94</v>
      </c>
      <c r="P24" s="108">
        <f t="shared" si="12"/>
        <v>1.20111678922426</v>
      </c>
    </row>
    <row r="25" ht="15.6" spans="1:16">
      <c r="A25" s="60"/>
      <c r="B25" s="61" t="s">
        <v>96</v>
      </c>
      <c r="C25" s="66" t="str">
        <f t="shared" si="11"/>
        <v>光纤，华信藤仓，1芯，G657A1</v>
      </c>
      <c r="D25" s="66">
        <f>'xxxx成本价格-xxx'!D10+0.5</f>
        <v>1.5</v>
      </c>
      <c r="E25" s="68">
        <v>0.22</v>
      </c>
      <c r="F25" s="67">
        <v>0.153854418540247</v>
      </c>
      <c r="G25" s="68">
        <f>VLOOKUP(C25,材料价格!B:E,3,0)</f>
        <v>0.0309734513274336</v>
      </c>
      <c r="H25" s="69">
        <f t="shared" si="7"/>
        <v>1.55</v>
      </c>
      <c r="I25" s="69">
        <v>2</v>
      </c>
      <c r="J25" s="67">
        <v>0.4732</v>
      </c>
      <c r="K25" s="106">
        <f t="shared" si="13"/>
        <v>0.21</v>
      </c>
      <c r="L25" s="68">
        <f t="shared" si="9"/>
        <v>0.469872117655291</v>
      </c>
      <c r="M25" s="68">
        <f t="shared" si="10"/>
        <v>1.15307211765529</v>
      </c>
      <c r="N25" s="107">
        <v>0.96</v>
      </c>
      <c r="O25" s="107">
        <v>0.94</v>
      </c>
      <c r="P25" s="108">
        <f t="shared" si="12"/>
        <v>1.20111678922426</v>
      </c>
    </row>
    <row r="26" ht="15.6" spans="1:16">
      <c r="A26" s="60"/>
      <c r="B26" s="61" t="s">
        <v>96</v>
      </c>
      <c r="C26" s="66" t="str">
        <f t="shared" si="11"/>
        <v>光纤，华信藤仓，1芯，G657A1</v>
      </c>
      <c r="D26" s="66">
        <f>'xxxx成本价格-xxx'!D11+0.5</f>
        <v>1.5</v>
      </c>
      <c r="E26" s="68">
        <v>0.22</v>
      </c>
      <c r="F26" s="67">
        <v>0.153854418540247</v>
      </c>
      <c r="G26" s="68">
        <f>VLOOKUP(C26,材料价格!B:E,3,0)</f>
        <v>0.0309734513274336</v>
      </c>
      <c r="H26" s="69">
        <f t="shared" si="7"/>
        <v>1.55</v>
      </c>
      <c r="I26" s="69">
        <v>2</v>
      </c>
      <c r="J26" s="67">
        <v>0.4732</v>
      </c>
      <c r="K26" s="106">
        <f t="shared" si="13"/>
        <v>0.21</v>
      </c>
      <c r="L26" s="68">
        <f t="shared" si="9"/>
        <v>0.469872117655291</v>
      </c>
      <c r="M26" s="68">
        <f t="shared" si="10"/>
        <v>1.15307211765529</v>
      </c>
      <c r="N26" s="107">
        <v>0.96</v>
      </c>
      <c r="O26" s="107">
        <v>0.94</v>
      </c>
      <c r="P26" s="108">
        <f t="shared" si="12"/>
        <v>1.20111678922426</v>
      </c>
    </row>
    <row r="27" ht="15.6" spans="1:16">
      <c r="A27" s="60"/>
      <c r="B27" s="61" t="s">
        <v>96</v>
      </c>
      <c r="C27" s="66" t="str">
        <f t="shared" si="11"/>
        <v>光纤，华信藤仓，1芯，G657A1</v>
      </c>
      <c r="D27" s="66">
        <f>'xxxx成本价格-xxx'!D12+0.5</f>
        <v>1.5</v>
      </c>
      <c r="E27" s="68">
        <v>0.22</v>
      </c>
      <c r="F27" s="67">
        <v>0.153854418540247</v>
      </c>
      <c r="G27" s="68">
        <f>VLOOKUP(C27,材料价格!B:E,3,0)</f>
        <v>0.0309734513274336</v>
      </c>
      <c r="H27" s="69">
        <f t="shared" si="7"/>
        <v>1.55</v>
      </c>
      <c r="I27" s="69">
        <v>2</v>
      </c>
      <c r="J27" s="67">
        <v>0.4732</v>
      </c>
      <c r="K27" s="106">
        <f t="shared" si="13"/>
        <v>0.21</v>
      </c>
      <c r="L27" s="68">
        <f t="shared" si="9"/>
        <v>0.469872117655291</v>
      </c>
      <c r="M27" s="68">
        <f t="shared" si="10"/>
        <v>1.15307211765529</v>
      </c>
      <c r="N27" s="107">
        <v>0.96</v>
      </c>
      <c r="O27" s="107">
        <v>0.94</v>
      </c>
      <c r="P27" s="108">
        <f t="shared" si="12"/>
        <v>1.20111678922426</v>
      </c>
    </row>
    <row r="28" ht="15.6" spans="1:16">
      <c r="A28" s="60"/>
      <c r="B28" s="61" t="s">
        <v>96</v>
      </c>
      <c r="C28" s="66" t="str">
        <f t="shared" si="11"/>
        <v>光纤，华信藤仓，1芯，G657A1</v>
      </c>
      <c r="D28" s="66">
        <f>'xxxx成本价格-xxx'!D13+0.5</f>
        <v>1.5</v>
      </c>
      <c r="E28" s="68">
        <v>0.22</v>
      </c>
      <c r="F28" s="67">
        <v>0.153854418540247</v>
      </c>
      <c r="G28" s="68">
        <f>VLOOKUP(C28,材料价格!B:E,3,0)</f>
        <v>0.0309734513274336</v>
      </c>
      <c r="H28" s="69">
        <f t="shared" si="7"/>
        <v>1.55</v>
      </c>
      <c r="I28" s="69">
        <v>2</v>
      </c>
      <c r="J28" s="67">
        <v>0.4732</v>
      </c>
      <c r="K28" s="106">
        <f t="shared" si="13"/>
        <v>0.21</v>
      </c>
      <c r="L28" s="68">
        <f t="shared" si="9"/>
        <v>0.469872117655291</v>
      </c>
      <c r="M28" s="68">
        <f t="shared" si="10"/>
        <v>1.15307211765529</v>
      </c>
      <c r="N28" s="107">
        <v>0.96</v>
      </c>
      <c r="O28" s="107">
        <v>0.94</v>
      </c>
      <c r="P28" s="108">
        <f t="shared" si="12"/>
        <v>1.20111678922426</v>
      </c>
    </row>
    <row r="29" ht="15.6" spans="1:16">
      <c r="A29" s="60"/>
      <c r="B29" s="61" t="s">
        <v>96</v>
      </c>
      <c r="C29" s="66" t="str">
        <f t="shared" si="11"/>
        <v>光纤，华信藤仓，1芯，G657A1</v>
      </c>
      <c r="D29" s="66">
        <f>'xxxx成本价格-xxx'!D14+0.5</f>
        <v>1.5</v>
      </c>
      <c r="E29" s="68">
        <v>0.22</v>
      </c>
      <c r="F29" s="67">
        <v>0.153854418540247</v>
      </c>
      <c r="G29" s="68">
        <f>VLOOKUP(C29,材料价格!B:E,3,0)</f>
        <v>0.0309734513274336</v>
      </c>
      <c r="H29" s="69">
        <f t="shared" si="7"/>
        <v>1.55</v>
      </c>
      <c r="I29" s="69">
        <v>2</v>
      </c>
      <c r="J29" s="67">
        <v>0.4732</v>
      </c>
      <c r="K29" s="106">
        <f t="shared" si="13"/>
        <v>0.21</v>
      </c>
      <c r="L29" s="68">
        <f t="shared" si="9"/>
        <v>0.469872117655291</v>
      </c>
      <c r="M29" s="68">
        <f t="shared" si="10"/>
        <v>1.15307211765529</v>
      </c>
      <c r="N29" s="107">
        <v>0.96</v>
      </c>
      <c r="O29" s="107">
        <v>0.94</v>
      </c>
      <c r="P29" s="108">
        <f t="shared" si="12"/>
        <v>1.20111678922426</v>
      </c>
    </row>
    <row r="30" spans="7:7">
      <c r="G30" s="68"/>
    </row>
    <row r="31" customFormat="1" spans="1:16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</row>
    <row r="32" ht="17.4" spans="1:19">
      <c r="A32" s="70" t="s">
        <v>53</v>
      </c>
      <c r="B32" s="63" t="s">
        <v>97</v>
      </c>
      <c r="C32" s="63"/>
      <c r="D32" s="63"/>
      <c r="E32" s="71" t="s">
        <v>98</v>
      </c>
      <c r="F32" s="71"/>
      <c r="G32" s="71"/>
      <c r="H32" s="72"/>
      <c r="I32" s="71"/>
      <c r="J32" s="71"/>
      <c r="K32" s="71"/>
      <c r="L32" s="71"/>
      <c r="M32" s="71"/>
      <c r="N32" s="71"/>
      <c r="O32" s="71"/>
      <c r="P32" s="109" t="s">
        <v>81</v>
      </c>
      <c r="Q32" s="124"/>
      <c r="R32" s="124"/>
      <c r="S32" s="124"/>
    </row>
    <row r="33" ht="17.4" spans="1:19">
      <c r="A33" s="73"/>
      <c r="B33" s="63"/>
      <c r="C33" s="63"/>
      <c r="D33" s="63" t="s">
        <v>78</v>
      </c>
      <c r="E33" s="63"/>
      <c r="F33" s="63"/>
      <c r="G33" s="63"/>
      <c r="H33" s="74"/>
      <c r="I33" s="63"/>
      <c r="J33" s="71" t="s">
        <v>49</v>
      </c>
      <c r="K33" s="71" t="s">
        <v>79</v>
      </c>
      <c r="L33" s="71"/>
      <c r="M33" s="71"/>
      <c r="N33" s="71"/>
      <c r="O33" s="102"/>
      <c r="P33" s="110"/>
      <c r="Q33" s="102"/>
      <c r="R33" s="125"/>
      <c r="S33" s="126"/>
    </row>
    <row r="34" spans="1:19">
      <c r="A34" s="73"/>
      <c r="B34" s="66" t="s">
        <v>1</v>
      </c>
      <c r="C34" s="66" t="s">
        <v>77</v>
      </c>
      <c r="D34" s="64" t="s">
        <v>99</v>
      </c>
      <c r="E34" s="65" t="s">
        <v>100</v>
      </c>
      <c r="F34" s="65" t="s">
        <v>85</v>
      </c>
      <c r="G34" s="65" t="s">
        <v>101</v>
      </c>
      <c r="H34" s="75" t="s">
        <v>102</v>
      </c>
      <c r="I34" s="65" t="s">
        <v>88</v>
      </c>
      <c r="J34" s="68" t="s">
        <v>89</v>
      </c>
      <c r="K34" s="65" t="s">
        <v>90</v>
      </c>
      <c r="L34" s="65" t="s">
        <v>103</v>
      </c>
      <c r="M34" s="65" t="s">
        <v>89</v>
      </c>
      <c r="N34" s="65" t="s">
        <v>64</v>
      </c>
      <c r="O34" s="65" t="s">
        <v>93</v>
      </c>
      <c r="P34" s="111" t="s">
        <v>104</v>
      </c>
      <c r="Q34" s="65"/>
      <c r="R34" s="125"/>
      <c r="S34" s="126"/>
    </row>
    <row r="35" spans="1:19">
      <c r="A35" s="73"/>
      <c r="B35" s="66" t="s">
        <v>105</v>
      </c>
      <c r="C35" s="66" t="str">
        <f>'xxxx成本价格-xxx'!C3</f>
        <v>光纤，华信藤仓，1芯，G657A1</v>
      </c>
      <c r="D35" s="64">
        <f>'xxxx成本价格-xxx'!E3+0.5</f>
        <v>1.5</v>
      </c>
      <c r="E35" s="68">
        <v>0.22</v>
      </c>
      <c r="F35" s="68">
        <v>0.153854418540247</v>
      </c>
      <c r="G35" s="68">
        <f>VLOOKUP(C35,材料价格!B:E,3,0)</f>
        <v>0.0309734513274336</v>
      </c>
      <c r="H35" s="75">
        <f t="shared" ref="H35:H47" si="14">D35+0.05</f>
        <v>1.55</v>
      </c>
      <c r="I35" s="65">
        <v>2</v>
      </c>
      <c r="J35" s="68">
        <v>0.4806</v>
      </c>
      <c r="K35" s="156">
        <f t="shared" ref="K35:K37" si="15">0.3*0.7</f>
        <v>0.21</v>
      </c>
      <c r="L35" s="68">
        <f t="shared" ref="L35:L47" si="16">E35+F35+H35*I35*G35</f>
        <v>0.469872117655291</v>
      </c>
      <c r="M35" s="68">
        <f t="shared" ref="M35:M47" si="17">J35</f>
        <v>0.4806</v>
      </c>
      <c r="N35" s="68">
        <f t="shared" ref="N35:N46" si="18">K35+L35+M35</f>
        <v>1.16047211765529</v>
      </c>
      <c r="O35" s="107">
        <v>0.96</v>
      </c>
      <c r="P35" s="114">
        <f t="shared" ref="P35:P47" si="19">N35/O35</f>
        <v>1.20882512255759</v>
      </c>
      <c r="Q35" s="68"/>
      <c r="R35" s="127"/>
      <c r="S35" s="126"/>
    </row>
    <row r="36" spans="1:19">
      <c r="A36" s="73"/>
      <c r="B36" s="66" t="s">
        <v>106</v>
      </c>
      <c r="C36" s="66" t="str">
        <f>'xxxx成本价格-xxx'!C4</f>
        <v>光纤，华信藤仓，4芯，G657A1，灰白红黑</v>
      </c>
      <c r="D36" s="64">
        <f>'xxxx成本价格-xxx'!E4+0.5</f>
        <v>1.5</v>
      </c>
      <c r="E36" s="68">
        <v>0.22</v>
      </c>
      <c r="F36" s="68">
        <v>0.153854418540247</v>
      </c>
      <c r="G36" s="68">
        <f>VLOOKUP(C36,材料价格!B:E,3,0)</f>
        <v>0.230088495575221</v>
      </c>
      <c r="H36" s="75">
        <f t="shared" si="14"/>
        <v>1.55</v>
      </c>
      <c r="I36" s="65">
        <v>1</v>
      </c>
      <c r="J36" s="68">
        <v>0.4195</v>
      </c>
      <c r="K36" s="156">
        <f t="shared" si="15"/>
        <v>0.21</v>
      </c>
      <c r="L36" s="68">
        <f t="shared" si="16"/>
        <v>0.73049158668184</v>
      </c>
      <c r="M36" s="68">
        <f t="shared" si="17"/>
        <v>0.4195</v>
      </c>
      <c r="N36" s="68">
        <f t="shared" si="18"/>
        <v>1.35999158668184</v>
      </c>
      <c r="O36" s="107">
        <v>0.97</v>
      </c>
      <c r="P36" s="114">
        <f t="shared" si="19"/>
        <v>1.40205318214623</v>
      </c>
      <c r="Q36" s="68"/>
      <c r="R36" s="127"/>
      <c r="S36" s="126"/>
    </row>
    <row r="37" spans="1:19">
      <c r="A37" s="73"/>
      <c r="B37" s="66" t="s">
        <v>107</v>
      </c>
      <c r="C37" s="66" t="str">
        <f>'xxxx成本价格-xxx'!C5</f>
        <v>光纤，华信藤仓，4芯，G657A1</v>
      </c>
      <c r="D37" s="64">
        <f>'xxxx成本价格-xxx'!E5+0.5</f>
        <v>1.5</v>
      </c>
      <c r="E37" s="68">
        <v>0.22</v>
      </c>
      <c r="F37" s="68">
        <v>0.169454418540247</v>
      </c>
      <c r="G37" s="68">
        <f>VLOOKUP(C37,材料价格!B:E,3,0)</f>
        <v>0.230088495575221</v>
      </c>
      <c r="H37" s="75">
        <f t="shared" si="14"/>
        <v>1.55</v>
      </c>
      <c r="I37" s="65">
        <v>2</v>
      </c>
      <c r="J37" s="68">
        <v>0.454</v>
      </c>
      <c r="K37" s="156">
        <f t="shared" si="15"/>
        <v>0.21</v>
      </c>
      <c r="L37" s="68">
        <f t="shared" si="16"/>
        <v>1.10272875482343</v>
      </c>
      <c r="M37" s="68">
        <f t="shared" si="17"/>
        <v>0.454</v>
      </c>
      <c r="N37" s="68">
        <f t="shared" si="18"/>
        <v>1.76672875482343</v>
      </c>
      <c r="O37" s="107">
        <v>0.97</v>
      </c>
      <c r="P37" s="114">
        <f t="shared" si="19"/>
        <v>1.82136985033344</v>
      </c>
      <c r="Q37" s="68"/>
      <c r="R37" s="127"/>
      <c r="S37" s="126"/>
    </row>
    <row r="38" spans="1:19">
      <c r="A38" s="73"/>
      <c r="B38" s="66" t="s">
        <v>108</v>
      </c>
      <c r="C38" s="66" t="str">
        <f>'xxxx成本价格-xxx'!C6</f>
        <v>光纤，康宁，8芯，G657A1 Ultra，华信藤仓并带</v>
      </c>
      <c r="D38" s="64">
        <f>'xxxx成本价格-xxx'!E6+0.5</f>
        <v>1.5</v>
      </c>
      <c r="E38" s="68">
        <v>0.664</v>
      </c>
      <c r="F38" s="68">
        <v>0.192538418540247</v>
      </c>
      <c r="G38" s="68">
        <f>VLOOKUP(C38,材料价格!B:E,3,0)</f>
        <v>1.00884955752212</v>
      </c>
      <c r="H38" s="75">
        <f t="shared" si="14"/>
        <v>1.55</v>
      </c>
      <c r="I38" s="65">
        <v>2</v>
      </c>
      <c r="J38" s="68">
        <v>0.5596</v>
      </c>
      <c r="K38" s="157">
        <f>0.45*0.7</f>
        <v>0.315</v>
      </c>
      <c r="L38" s="68">
        <f t="shared" si="16"/>
        <v>3.98397204685883</v>
      </c>
      <c r="M38" s="68">
        <f t="shared" si="17"/>
        <v>0.5596</v>
      </c>
      <c r="N38" s="68">
        <f t="shared" si="18"/>
        <v>4.85857204685883</v>
      </c>
      <c r="O38" s="107">
        <v>0.95</v>
      </c>
      <c r="P38" s="114">
        <f t="shared" si="19"/>
        <v>5.11428636511456</v>
      </c>
      <c r="Q38" s="68"/>
      <c r="R38" s="127"/>
      <c r="S38" s="126"/>
    </row>
    <row r="39" spans="1:19">
      <c r="A39" s="73"/>
      <c r="B39" s="66" t="s">
        <v>109</v>
      </c>
      <c r="C39" s="66" t="str">
        <f>'xxxx成本价格-xxx'!C7</f>
        <v>光纤，康宁，8芯，G657A1 Ultra，华信藤仓并带</v>
      </c>
      <c r="D39" s="64">
        <f>'xxxx成本价格-xxx'!E7+0.5</f>
        <v>1.5</v>
      </c>
      <c r="E39" s="68">
        <v>1.681</v>
      </c>
      <c r="F39" s="68">
        <v>0.338909418540247</v>
      </c>
      <c r="G39" s="68">
        <f>VLOOKUP(C39,材料价格!B:E,3,0)</f>
        <v>1.00884955752212</v>
      </c>
      <c r="H39" s="75">
        <f t="shared" si="14"/>
        <v>1.55</v>
      </c>
      <c r="I39" s="65">
        <v>4</v>
      </c>
      <c r="J39" s="68">
        <v>0.9844</v>
      </c>
      <c r="K39" s="157">
        <f>0.67*0.7</f>
        <v>0.469</v>
      </c>
      <c r="L39" s="68">
        <f t="shared" si="16"/>
        <v>8.27477667517742</v>
      </c>
      <c r="M39" s="68">
        <f t="shared" si="17"/>
        <v>0.9844</v>
      </c>
      <c r="N39" s="68">
        <f t="shared" si="18"/>
        <v>9.72817667517742</v>
      </c>
      <c r="O39" s="107">
        <v>0.93</v>
      </c>
      <c r="P39" s="114">
        <f t="shared" si="19"/>
        <v>10.4604050270725</v>
      </c>
      <c r="Q39" s="68"/>
      <c r="R39" s="127"/>
      <c r="S39" s="126"/>
    </row>
    <row r="40" spans="1:19">
      <c r="A40" s="73"/>
      <c r="B40" s="66" t="s">
        <v>110</v>
      </c>
      <c r="C40" s="66" t="str">
        <f>'xxxx成本价格-xxx'!C8</f>
        <v>光纤，康宁，8芯，G657A1 Ultra，华信藤仓并带</v>
      </c>
      <c r="D40" s="64">
        <f>'xxxx成本价格-xxx'!E8+0.5</f>
        <v>1.5</v>
      </c>
      <c r="E40" s="68">
        <v>7.788</v>
      </c>
      <c r="F40" s="68">
        <v>0.630055418540247</v>
      </c>
      <c r="G40" s="68">
        <f>VLOOKUP(C40,材料价格!B:E,3,0)</f>
        <v>1.00884955752212</v>
      </c>
      <c r="H40" s="75">
        <f t="shared" si="14"/>
        <v>1.55</v>
      </c>
      <c r="I40" s="65">
        <v>8</v>
      </c>
      <c r="J40" s="68">
        <v>2.6165</v>
      </c>
      <c r="K40" s="157">
        <f>1.12*0.7</f>
        <v>0.784</v>
      </c>
      <c r="L40" s="68">
        <f t="shared" si="16"/>
        <v>20.9277899318146</v>
      </c>
      <c r="M40" s="68">
        <f t="shared" si="17"/>
        <v>2.6165</v>
      </c>
      <c r="N40" s="68">
        <f t="shared" si="18"/>
        <v>24.3282899318146</v>
      </c>
      <c r="O40" s="107">
        <v>0.83</v>
      </c>
      <c r="P40" s="114">
        <f t="shared" si="19"/>
        <v>29.3111926889332</v>
      </c>
      <c r="Q40" s="68"/>
      <c r="R40" s="127"/>
      <c r="S40" s="126"/>
    </row>
    <row r="41" spans="1:19">
      <c r="A41" s="73"/>
      <c r="B41" s="66" t="s">
        <v>105</v>
      </c>
      <c r="C41" s="66" t="str">
        <f>'xxxx成本价格-xxx'!C9</f>
        <v>光纤，康宁，1芯，G657A1 Ultra</v>
      </c>
      <c r="D41" s="64">
        <f>'xxxx成本价格-xxx'!E9+0.5</f>
        <v>1.5</v>
      </c>
      <c r="E41" s="68">
        <v>0.22</v>
      </c>
      <c r="F41" s="68">
        <v>0.153854418540247</v>
      </c>
      <c r="G41" s="68">
        <f>VLOOKUP(C41,材料价格!B:E,3,0)</f>
        <v>0.110619469026549</v>
      </c>
      <c r="H41" s="75">
        <f t="shared" si="14"/>
        <v>1.55</v>
      </c>
      <c r="I41" s="65">
        <v>2</v>
      </c>
      <c r="J41" s="68">
        <v>0.4806</v>
      </c>
      <c r="K41" s="156">
        <f t="shared" ref="K41:K43" si="20">0.3*0.7</f>
        <v>0.21</v>
      </c>
      <c r="L41" s="68">
        <f t="shared" si="16"/>
        <v>0.716774772522548</v>
      </c>
      <c r="M41" s="68">
        <f t="shared" si="17"/>
        <v>0.4806</v>
      </c>
      <c r="N41" s="68">
        <f t="shared" si="18"/>
        <v>1.40737477252255</v>
      </c>
      <c r="O41" s="107">
        <v>0.96</v>
      </c>
      <c r="P41" s="114">
        <f t="shared" si="19"/>
        <v>1.46601538804432</v>
      </c>
      <c r="Q41" s="68"/>
      <c r="R41" s="127"/>
      <c r="S41" s="126"/>
    </row>
    <row r="42" spans="1:19">
      <c r="A42" s="73"/>
      <c r="B42" s="66" t="s">
        <v>106</v>
      </c>
      <c r="C42" s="66" t="str">
        <f>'xxxx成本价格-xxx'!C10</f>
        <v>光纤，康宁，4芯，康宁G657A1,蓝橙绿棕</v>
      </c>
      <c r="D42" s="64">
        <f>'xxxx成本价格-xxx'!E10+0.5</f>
        <v>1.5</v>
      </c>
      <c r="E42" s="68">
        <v>0.22</v>
      </c>
      <c r="F42" s="68">
        <v>0.153854418540247</v>
      </c>
      <c r="G42" s="68">
        <f>VLOOKUP(C42,材料价格!B:E,3,0)</f>
        <v>0.336283185840708</v>
      </c>
      <c r="H42" s="75">
        <f t="shared" si="14"/>
        <v>1.55</v>
      </c>
      <c r="I42" s="65">
        <v>1</v>
      </c>
      <c r="J42" s="68">
        <v>0.4195</v>
      </c>
      <c r="K42" s="156">
        <f t="shared" si="20"/>
        <v>0.21</v>
      </c>
      <c r="L42" s="68">
        <f t="shared" si="16"/>
        <v>0.895093356593344</v>
      </c>
      <c r="M42" s="68">
        <f t="shared" si="17"/>
        <v>0.4195</v>
      </c>
      <c r="N42" s="68">
        <f t="shared" si="18"/>
        <v>1.52459335659334</v>
      </c>
      <c r="O42" s="107">
        <v>0.97</v>
      </c>
      <c r="P42" s="114">
        <f t="shared" si="19"/>
        <v>1.57174572844675</v>
      </c>
      <c r="Q42" s="68"/>
      <c r="R42" s="127"/>
      <c r="S42" s="126"/>
    </row>
    <row r="43" spans="1:19">
      <c r="A43" s="73"/>
      <c r="B43" s="66" t="s">
        <v>107</v>
      </c>
      <c r="C43" s="66" t="str">
        <f>'xxxx成本价格-xxx'!C11</f>
        <v>光纤，康宁，4芯，康宁G657A1,蓝橙绿棕</v>
      </c>
      <c r="D43" s="64">
        <f>'xxxx成本价格-xxx'!E11+0.5</f>
        <v>1.5</v>
      </c>
      <c r="E43" s="68">
        <v>0.22</v>
      </c>
      <c r="F43" s="68">
        <v>0.169454418540247</v>
      </c>
      <c r="G43" s="68">
        <f>VLOOKUP(C43,材料价格!B:E,3,0)</f>
        <v>0.336283185840708</v>
      </c>
      <c r="H43" s="75">
        <f t="shared" si="14"/>
        <v>1.55</v>
      </c>
      <c r="I43" s="65">
        <v>2</v>
      </c>
      <c r="J43" s="68">
        <v>0.454</v>
      </c>
      <c r="K43" s="156">
        <f t="shared" si="20"/>
        <v>0.21</v>
      </c>
      <c r="L43" s="68">
        <f t="shared" si="16"/>
        <v>1.43193229464644</v>
      </c>
      <c r="M43" s="68">
        <f t="shared" si="17"/>
        <v>0.454</v>
      </c>
      <c r="N43" s="68">
        <f t="shared" si="18"/>
        <v>2.09593229464644</v>
      </c>
      <c r="O43" s="107">
        <v>0.97</v>
      </c>
      <c r="P43" s="114">
        <f t="shared" si="19"/>
        <v>2.16075494293448</v>
      </c>
      <c r="Q43" s="68"/>
      <c r="R43" s="127"/>
      <c r="S43" s="126"/>
    </row>
    <row r="44" spans="1:19">
      <c r="A44" s="73"/>
      <c r="B44" s="66" t="s">
        <v>108</v>
      </c>
      <c r="C44" s="66" t="str">
        <f>'xxxx成本价格-xxx'!C12</f>
        <v>光纤，康宁，8芯，G657A1 Ultra，华信藤仓并带</v>
      </c>
      <c r="D44" s="64">
        <f>'xxxx成本价格-xxx'!E12+0.5</f>
        <v>1.5</v>
      </c>
      <c r="E44" s="68">
        <v>0.664</v>
      </c>
      <c r="F44" s="68">
        <v>0.192538418540247</v>
      </c>
      <c r="G44" s="68">
        <f>VLOOKUP(C44,材料价格!B:E,3,0)</f>
        <v>1.00884955752212</v>
      </c>
      <c r="H44" s="75">
        <f t="shared" si="14"/>
        <v>1.55</v>
      </c>
      <c r="I44" s="65">
        <v>2</v>
      </c>
      <c r="J44" s="68">
        <v>0.5596</v>
      </c>
      <c r="K44" s="157">
        <f>0.45*0.7</f>
        <v>0.315</v>
      </c>
      <c r="L44" s="68">
        <f t="shared" si="16"/>
        <v>3.98397204685883</v>
      </c>
      <c r="M44" s="68">
        <f t="shared" si="17"/>
        <v>0.5596</v>
      </c>
      <c r="N44" s="68">
        <f t="shared" si="18"/>
        <v>4.85857204685883</v>
      </c>
      <c r="O44" s="107">
        <v>0.95</v>
      </c>
      <c r="P44" s="114">
        <f t="shared" si="19"/>
        <v>5.11428636511456</v>
      </c>
      <c r="Q44" s="68"/>
      <c r="R44" s="127"/>
      <c r="S44" s="126"/>
    </row>
    <row r="45" spans="1:19">
      <c r="A45" s="73"/>
      <c r="B45" s="66" t="s">
        <v>109</v>
      </c>
      <c r="C45" s="66" t="str">
        <f>'xxxx成本价格-xxx'!C13</f>
        <v>光纤，康宁，8芯，G657A1 Ultra，华信藤仓并带</v>
      </c>
      <c r="D45" s="64">
        <f>'xxxx成本价格-xxx'!E13+0.5</f>
        <v>1.5</v>
      </c>
      <c r="E45" s="68">
        <v>1.681</v>
      </c>
      <c r="F45" s="68">
        <v>0.338909418540247</v>
      </c>
      <c r="G45" s="68">
        <f>VLOOKUP(C45,材料价格!B:E,3,0)</f>
        <v>1.00884955752212</v>
      </c>
      <c r="H45" s="75">
        <f t="shared" si="14"/>
        <v>1.55</v>
      </c>
      <c r="I45" s="65">
        <v>4</v>
      </c>
      <c r="J45" s="68">
        <v>0.9844</v>
      </c>
      <c r="K45" s="157">
        <f>0.67*0.7</f>
        <v>0.469</v>
      </c>
      <c r="L45" s="68">
        <f t="shared" si="16"/>
        <v>8.27477667517742</v>
      </c>
      <c r="M45" s="68">
        <f t="shared" si="17"/>
        <v>0.9844</v>
      </c>
      <c r="N45" s="68">
        <f t="shared" si="18"/>
        <v>9.72817667517742</v>
      </c>
      <c r="O45" s="107">
        <v>0.93</v>
      </c>
      <c r="P45" s="114">
        <f t="shared" si="19"/>
        <v>10.4604050270725</v>
      </c>
      <c r="Q45" s="68"/>
      <c r="R45" s="127"/>
      <c r="S45" s="126"/>
    </row>
    <row r="46" spans="1:19">
      <c r="A46" s="73"/>
      <c r="B46" s="66" t="s">
        <v>110</v>
      </c>
      <c r="C46" s="66" t="str">
        <f>'xxxx成本价格-xxx'!C14</f>
        <v>光纤，康宁，8芯，G657A1 Ultra，华信藤仓并带</v>
      </c>
      <c r="D46" s="64">
        <f>'xxxx成本价格-xxx'!E14+0.5</f>
        <v>1.5</v>
      </c>
      <c r="E46" s="68">
        <v>7.788</v>
      </c>
      <c r="F46" s="68">
        <v>0.630055418540247</v>
      </c>
      <c r="G46" s="68">
        <f>VLOOKUP(C46,材料价格!B:E,3,0)</f>
        <v>1.00884955752212</v>
      </c>
      <c r="H46" s="75">
        <f t="shared" si="14"/>
        <v>1.55</v>
      </c>
      <c r="I46" s="65">
        <v>8</v>
      </c>
      <c r="J46" s="68">
        <v>2.6165</v>
      </c>
      <c r="K46" s="157">
        <f>1.12*0.7</f>
        <v>0.784</v>
      </c>
      <c r="L46" s="68">
        <f t="shared" si="16"/>
        <v>20.9277899318146</v>
      </c>
      <c r="M46" s="68">
        <f t="shared" si="17"/>
        <v>2.6165</v>
      </c>
      <c r="N46" s="68">
        <f t="shared" si="18"/>
        <v>24.3282899318146</v>
      </c>
      <c r="O46" s="107">
        <v>0.83</v>
      </c>
      <c r="P46" s="114">
        <f t="shared" si="19"/>
        <v>29.3111926889332</v>
      </c>
      <c r="Q46" s="68"/>
      <c r="R46" s="127"/>
      <c r="S46" s="126"/>
    </row>
    <row r="47" spans="1:19">
      <c r="A47" s="77"/>
      <c r="B47" s="66" t="s">
        <v>111</v>
      </c>
      <c r="C47" s="78" t="s">
        <v>112</v>
      </c>
      <c r="D47" s="79">
        <v>1</v>
      </c>
      <c r="E47" s="68">
        <v>0.602</v>
      </c>
      <c r="F47" s="67">
        <v>0.32</v>
      </c>
      <c r="G47" s="68">
        <f>VLOOKUP(C47,材料价格!B:E,3,0)</f>
        <v>0.460176991150443</v>
      </c>
      <c r="H47" s="69">
        <f t="shared" si="14"/>
        <v>1.05</v>
      </c>
      <c r="I47" s="69">
        <v>1</v>
      </c>
      <c r="J47" s="158">
        <v>0.4624</v>
      </c>
      <c r="K47" s="159">
        <v>0.45</v>
      </c>
      <c r="L47" s="68">
        <f t="shared" si="16"/>
        <v>1.40518584070796</v>
      </c>
      <c r="M47" s="68">
        <f t="shared" si="17"/>
        <v>0.4624</v>
      </c>
      <c r="N47" s="119">
        <f>J47+L47+K47</f>
        <v>2.31758584070796</v>
      </c>
      <c r="O47" s="120">
        <v>0.97</v>
      </c>
      <c r="P47" s="114">
        <f t="shared" si="19"/>
        <v>2.38926375330718</v>
      </c>
      <c r="Q47" s="128"/>
      <c r="R47" s="129"/>
      <c r="S47" s="130"/>
    </row>
    <row r="48" customFormat="1" spans="1:7">
      <c r="A48" s="43"/>
      <c r="B48" s="43"/>
      <c r="C48" s="43"/>
      <c r="D48" s="43"/>
      <c r="E48" s="43"/>
      <c r="F48" s="43"/>
      <c r="G48" s="43"/>
    </row>
    <row r="49" spans="1:7">
      <c r="A49" s="81" t="s">
        <v>113</v>
      </c>
      <c r="B49" s="48" t="s">
        <v>51</v>
      </c>
      <c r="C49" s="48" t="s">
        <v>114</v>
      </c>
      <c r="D49" s="82" t="s">
        <v>115</v>
      </c>
      <c r="E49" s="82" t="s">
        <v>116</v>
      </c>
      <c r="F49" s="82" t="s">
        <v>117</v>
      </c>
      <c r="G49" s="82" t="s">
        <v>118</v>
      </c>
    </row>
    <row r="50" spans="1:7">
      <c r="A50" s="81"/>
      <c r="B50" s="51" t="s">
        <v>65</v>
      </c>
      <c r="C50" s="51">
        <v>2</v>
      </c>
      <c r="D50" s="83">
        <v>0.06</v>
      </c>
      <c r="E50" s="82">
        <f>'xxxx成本价格-xxx'!D3+0.08</f>
        <v>1.08</v>
      </c>
      <c r="F50" s="82">
        <f>'xxxx成本价格-xxx'!E3+0.08</f>
        <v>1.08</v>
      </c>
      <c r="G50" s="84">
        <f t="shared" ref="G50:G55" si="21">D50*E50+C50*D50*F50</f>
        <v>0.1944</v>
      </c>
    </row>
    <row r="51" spans="1:7">
      <c r="A51" s="81"/>
      <c r="B51" s="51" t="s">
        <v>66</v>
      </c>
      <c r="C51" s="51">
        <v>4</v>
      </c>
      <c r="D51" s="84">
        <f t="shared" ref="D51:D61" si="22">D50</f>
        <v>0.06</v>
      </c>
      <c r="E51" s="82">
        <f>'xxxx成本价格-xxx'!D4+0.08</f>
        <v>1.08</v>
      </c>
      <c r="F51" s="82">
        <f>'xxxx成本价格-xxx'!E4+0.08</f>
        <v>1.08</v>
      </c>
      <c r="G51" s="84">
        <f t="shared" si="21"/>
        <v>0.324</v>
      </c>
    </row>
    <row r="52" spans="1:7">
      <c r="A52" s="81"/>
      <c r="B52" s="58" t="s">
        <v>119</v>
      </c>
      <c r="C52" s="58">
        <v>8</v>
      </c>
      <c r="D52" s="84">
        <f t="shared" si="22"/>
        <v>0.06</v>
      </c>
      <c r="E52" s="82">
        <f>'xxxx成本价格-xxx'!D5+0.08</f>
        <v>1.08</v>
      </c>
      <c r="F52" s="82">
        <f>'xxxx成本价格-xxx'!E5+0.08</f>
        <v>1.08</v>
      </c>
      <c r="G52" s="84">
        <f t="shared" si="21"/>
        <v>0.5832</v>
      </c>
    </row>
    <row r="53" spans="1:7">
      <c r="A53" s="81"/>
      <c r="B53" s="58" t="s">
        <v>68</v>
      </c>
      <c r="C53" s="58">
        <v>16</v>
      </c>
      <c r="D53" s="84">
        <f t="shared" si="22"/>
        <v>0.06</v>
      </c>
      <c r="E53" s="82">
        <f>'xxxx成本价格-xxx'!D6+0.08</f>
        <v>1.08</v>
      </c>
      <c r="F53" s="82">
        <f>'xxxx成本价格-xxx'!E6+0.08</f>
        <v>1.08</v>
      </c>
      <c r="G53" s="84">
        <f t="shared" si="21"/>
        <v>1.1016</v>
      </c>
    </row>
    <row r="54" spans="1:12">
      <c r="A54" s="81"/>
      <c r="B54" s="51" t="s">
        <v>69</v>
      </c>
      <c r="C54" s="51">
        <v>32</v>
      </c>
      <c r="D54" s="84">
        <f t="shared" si="22"/>
        <v>0.06</v>
      </c>
      <c r="E54" s="82">
        <f>'xxxx成本价格-xxx'!D7+0.08</f>
        <v>1.08</v>
      </c>
      <c r="F54" s="82">
        <f>'xxxx成本价格-xxx'!E7+0.08</f>
        <v>1.08</v>
      </c>
      <c r="G54" s="84">
        <f t="shared" si="21"/>
        <v>2.1384</v>
      </c>
      <c r="L54" s="121"/>
    </row>
    <row r="55" spans="1:12">
      <c r="A55" s="81"/>
      <c r="B55" s="51" t="s">
        <v>70</v>
      </c>
      <c r="C55" s="51">
        <v>64</v>
      </c>
      <c r="D55" s="84">
        <f t="shared" si="22"/>
        <v>0.06</v>
      </c>
      <c r="E55" s="82">
        <f>'xxxx成本价格-xxx'!D8+0.08</f>
        <v>1.08</v>
      </c>
      <c r="F55" s="82">
        <f>'xxxx成本价格-xxx'!E8+0.08</f>
        <v>1.08</v>
      </c>
      <c r="G55" s="84">
        <f t="shared" si="21"/>
        <v>4.212</v>
      </c>
      <c r="L55" s="121"/>
    </row>
    <row r="56" spans="1:12">
      <c r="A56" s="81"/>
      <c r="B56" s="51" t="s">
        <v>71</v>
      </c>
      <c r="C56" s="51">
        <v>2</v>
      </c>
      <c r="D56" s="84">
        <f t="shared" si="22"/>
        <v>0.06</v>
      </c>
      <c r="E56" s="82">
        <f>'xxxx成本价格-xxx'!D9+0.08</f>
        <v>1.08</v>
      </c>
      <c r="F56" s="82">
        <f>'xxxx成本价格-xxx'!E9+0.08</f>
        <v>1.08</v>
      </c>
      <c r="G56" s="84">
        <f t="shared" ref="G56:G61" si="23">D56*E56*2+C56*D56*F56</f>
        <v>0.2592</v>
      </c>
      <c r="L56" s="121"/>
    </row>
    <row r="57" spans="1:12">
      <c r="A57" s="81"/>
      <c r="B57" s="51" t="s">
        <v>72</v>
      </c>
      <c r="C57" s="51">
        <v>4</v>
      </c>
      <c r="D57" s="84">
        <f t="shared" si="22"/>
        <v>0.06</v>
      </c>
      <c r="E57" s="82">
        <f>'xxxx成本价格-xxx'!D10+0.08</f>
        <v>1.08</v>
      </c>
      <c r="F57" s="82">
        <f>'xxxx成本价格-xxx'!E10+0.08</f>
        <v>1.08</v>
      </c>
      <c r="G57" s="84">
        <f t="shared" si="23"/>
        <v>0.3888</v>
      </c>
      <c r="L57" s="121"/>
    </row>
    <row r="58" spans="1:12">
      <c r="A58" s="81"/>
      <c r="B58" s="51" t="s">
        <v>120</v>
      </c>
      <c r="C58" s="51">
        <v>8</v>
      </c>
      <c r="D58" s="84">
        <f t="shared" si="22"/>
        <v>0.06</v>
      </c>
      <c r="E58" s="82">
        <f>'xxxx成本价格-xxx'!D11+0.08</f>
        <v>1.08</v>
      </c>
      <c r="F58" s="82">
        <f>'xxxx成本价格-xxx'!E11+0.08</f>
        <v>1.08</v>
      </c>
      <c r="G58" s="84">
        <f t="shared" si="23"/>
        <v>0.648</v>
      </c>
      <c r="L58" s="121"/>
    </row>
    <row r="59" spans="1:12">
      <c r="A59" s="81"/>
      <c r="B59" s="51" t="s">
        <v>74</v>
      </c>
      <c r="C59" s="51">
        <v>16</v>
      </c>
      <c r="D59" s="84">
        <f t="shared" si="22"/>
        <v>0.06</v>
      </c>
      <c r="E59" s="82">
        <f>'xxxx成本价格-xxx'!D12+0.08</f>
        <v>1.08</v>
      </c>
      <c r="F59" s="82">
        <f>'xxxx成本价格-xxx'!E12+0.08</f>
        <v>1.08</v>
      </c>
      <c r="G59" s="84">
        <f t="shared" si="23"/>
        <v>1.1664</v>
      </c>
      <c r="L59" s="121"/>
    </row>
    <row r="60" spans="1:12">
      <c r="A60" s="81"/>
      <c r="B60" s="51" t="s">
        <v>75</v>
      </c>
      <c r="C60" s="51">
        <v>32</v>
      </c>
      <c r="D60" s="84">
        <f t="shared" si="22"/>
        <v>0.06</v>
      </c>
      <c r="E60" s="82">
        <f>'xxxx成本价格-xxx'!D13+0.08</f>
        <v>1.08</v>
      </c>
      <c r="F60" s="82">
        <f>'xxxx成本价格-xxx'!E13+0.08</f>
        <v>1.08</v>
      </c>
      <c r="G60" s="84">
        <f t="shared" si="23"/>
        <v>2.2032</v>
      </c>
      <c r="L60" s="121"/>
    </row>
    <row r="61" spans="1:12">
      <c r="A61" s="81"/>
      <c r="B61" s="51" t="s">
        <v>76</v>
      </c>
      <c r="C61" s="51">
        <v>64</v>
      </c>
      <c r="D61" s="84">
        <f t="shared" si="22"/>
        <v>0.06</v>
      </c>
      <c r="E61" s="82">
        <f>'xxxx成本价格-xxx'!D14+0.08</f>
        <v>1.08</v>
      </c>
      <c r="F61" s="82">
        <f>'xxxx成本价格-xxx'!E14+0.08</f>
        <v>1.08</v>
      </c>
      <c r="G61" s="84">
        <f t="shared" si="23"/>
        <v>4.2768</v>
      </c>
      <c r="L61" s="121"/>
    </row>
    <row r="62" spans="12:12">
      <c r="L62" s="121"/>
    </row>
    <row r="63" spans="12:12">
      <c r="L63" s="121"/>
    </row>
    <row r="64" spans="1:12">
      <c r="A64" s="85" t="s">
        <v>121</v>
      </c>
      <c r="B64" s="86"/>
      <c r="C64" s="87" t="s">
        <v>122</v>
      </c>
      <c r="D64" s="87"/>
      <c r="E64" s="87"/>
      <c r="F64" s="87" t="s">
        <v>49</v>
      </c>
      <c r="G64" s="87"/>
      <c r="H64" s="86" t="s">
        <v>123</v>
      </c>
      <c r="I64" s="86"/>
      <c r="J64" s="122" t="s">
        <v>124</v>
      </c>
      <c r="L64" s="123"/>
    </row>
    <row r="65" spans="1:12">
      <c r="A65" s="85"/>
      <c r="B65" s="131" t="s">
        <v>51</v>
      </c>
      <c r="C65" s="131" t="s">
        <v>125</v>
      </c>
      <c r="D65" s="131" t="s">
        <v>126</v>
      </c>
      <c r="E65" s="131" t="s">
        <v>127</v>
      </c>
      <c r="F65" s="131" t="s">
        <v>49</v>
      </c>
      <c r="G65" s="131" t="s">
        <v>128</v>
      </c>
      <c r="H65" s="131" t="s">
        <v>50</v>
      </c>
      <c r="I65" s="131" t="s">
        <v>118</v>
      </c>
      <c r="J65" s="122"/>
      <c r="K65" s="123"/>
      <c r="L65" s="123"/>
    </row>
    <row r="66" spans="1:12">
      <c r="A66" s="85"/>
      <c r="B66" s="132" t="s">
        <v>18</v>
      </c>
      <c r="C66" s="133">
        <f>0.1/1.13</f>
        <v>0.088495575221239</v>
      </c>
      <c r="D66" s="136">
        <v>0.353982300884956</v>
      </c>
      <c r="E66" s="135">
        <v>0.06</v>
      </c>
      <c r="F66" s="135">
        <f>0.23+0.01</f>
        <v>0.24</v>
      </c>
      <c r="G66" s="135">
        <f>1.634/9</f>
        <v>0.181555555555556</v>
      </c>
      <c r="H66" s="136">
        <f>0.115378787878788*0.7</f>
        <v>0.0807651515151516</v>
      </c>
      <c r="I66" s="152">
        <f t="shared" ref="I66:I77" si="24">SUM(C66:H66)</f>
        <v>1.0047985831769</v>
      </c>
      <c r="J66" s="122"/>
      <c r="K66" s="123"/>
      <c r="L66" s="123"/>
    </row>
    <row r="67" spans="1:12">
      <c r="A67" s="85"/>
      <c r="B67" s="132" t="s">
        <v>25</v>
      </c>
      <c r="C67" s="133">
        <f>0.1/1.13</f>
        <v>0.088495575221239</v>
      </c>
      <c r="D67" s="136">
        <v>0.398230088495575</v>
      </c>
      <c r="E67" s="135">
        <v>0.06</v>
      </c>
      <c r="F67" s="135">
        <f>0.25+0.01</f>
        <v>0.26</v>
      </c>
      <c r="G67" s="135">
        <f t="shared" ref="G67:G77" si="25">1.634/9</f>
        <v>0.181555555555556</v>
      </c>
      <c r="H67" s="136">
        <f>0.123432835820896*0.7</f>
        <v>0.0864029850746272</v>
      </c>
      <c r="I67" s="152">
        <f t="shared" si="24"/>
        <v>1.074684204347</v>
      </c>
      <c r="J67" s="122"/>
      <c r="K67" s="153"/>
      <c r="L67" s="153"/>
    </row>
    <row r="68" spans="1:12">
      <c r="A68" s="85"/>
      <c r="B68" s="132" t="s">
        <v>22</v>
      </c>
      <c r="C68" s="137">
        <f>0.26/1.13</f>
        <v>0.230088495575221</v>
      </c>
      <c r="D68" s="136">
        <v>0.353982300884956</v>
      </c>
      <c r="E68" s="135">
        <v>0.06</v>
      </c>
      <c r="F68" s="135">
        <v>0.227513793103448</v>
      </c>
      <c r="G68" s="135">
        <f t="shared" si="25"/>
        <v>0.181555555555556</v>
      </c>
      <c r="H68" s="136">
        <f>0.117027027027027*0.7</f>
        <v>0.0819189189189189</v>
      </c>
      <c r="I68" s="152">
        <f t="shared" si="24"/>
        <v>1.1350590640381</v>
      </c>
      <c r="J68" s="122"/>
      <c r="K68" s="123"/>
      <c r="L68" s="123"/>
    </row>
    <row r="69" spans="1:12">
      <c r="A69" s="85"/>
      <c r="B69" s="132" t="s">
        <v>129</v>
      </c>
      <c r="C69" s="137">
        <f>0.26/1.13</f>
        <v>0.230088495575221</v>
      </c>
      <c r="D69" s="136">
        <v>0.398230088495575</v>
      </c>
      <c r="E69" s="135">
        <v>0.06</v>
      </c>
      <c r="F69" s="135">
        <v>0.325068965517241</v>
      </c>
      <c r="G69" s="135">
        <f t="shared" si="25"/>
        <v>0.181555555555556</v>
      </c>
      <c r="H69" s="136">
        <f>0.127*0.7</f>
        <v>0.0889</v>
      </c>
      <c r="I69" s="152">
        <f t="shared" si="24"/>
        <v>1.28384310514359</v>
      </c>
      <c r="J69" s="122"/>
      <c r="K69" s="123"/>
      <c r="L69" s="123"/>
    </row>
    <row r="70" spans="1:12">
      <c r="A70" s="85"/>
      <c r="B70" s="132" t="s">
        <v>130</v>
      </c>
      <c r="C70" s="138">
        <f>0.2/1.13</f>
        <v>0.176991150442478</v>
      </c>
      <c r="D70" s="136">
        <v>0.345132743362832</v>
      </c>
      <c r="E70" s="135">
        <v>0.06</v>
      </c>
      <c r="F70" s="135">
        <v>0.323722222222222</v>
      </c>
      <c r="G70" s="135">
        <f t="shared" si="25"/>
        <v>0.181555555555556</v>
      </c>
      <c r="H70" s="136">
        <f t="shared" ref="H70:H74" si="26">0.15*0.7</f>
        <v>0.105</v>
      </c>
      <c r="I70" s="152">
        <f t="shared" si="24"/>
        <v>1.19240167158309</v>
      </c>
      <c r="J70" s="122"/>
      <c r="K70" s="123"/>
      <c r="L70" s="123"/>
    </row>
    <row r="71" spans="1:12">
      <c r="A71" s="85"/>
      <c r="B71" s="132" t="s">
        <v>131</v>
      </c>
      <c r="C71" s="138">
        <f>0.2/1.13</f>
        <v>0.176991150442478</v>
      </c>
      <c r="D71" s="136">
        <v>0.345132743362832</v>
      </c>
      <c r="E71" s="135">
        <v>0.06</v>
      </c>
      <c r="F71" s="135">
        <v>0.324</v>
      </c>
      <c r="G71" s="135">
        <f t="shared" si="25"/>
        <v>0.181555555555556</v>
      </c>
      <c r="H71" s="136">
        <f t="shared" si="26"/>
        <v>0.105</v>
      </c>
      <c r="I71" s="152">
        <f t="shared" si="24"/>
        <v>1.19267944936087</v>
      </c>
      <c r="J71" s="122"/>
      <c r="K71" s="123"/>
      <c r="L71" s="123"/>
    </row>
    <row r="72" spans="1:12">
      <c r="A72" s="85"/>
      <c r="B72" s="132" t="s">
        <v>132</v>
      </c>
      <c r="C72" s="133">
        <f>0.14/1.13</f>
        <v>0.123893805309735</v>
      </c>
      <c r="D72" s="136">
        <v>0.353982300884956</v>
      </c>
      <c r="E72" s="135">
        <v>0.06</v>
      </c>
      <c r="F72" s="131">
        <v>0.38</v>
      </c>
      <c r="G72" s="135">
        <f t="shared" si="25"/>
        <v>0.181555555555556</v>
      </c>
      <c r="H72" s="136">
        <f>0.13*0.7</f>
        <v>0.091</v>
      </c>
      <c r="I72" s="152">
        <f t="shared" si="24"/>
        <v>1.19043166175025</v>
      </c>
      <c r="J72" s="122"/>
      <c r="K72" s="123"/>
      <c r="L72" s="123"/>
    </row>
    <row r="73" spans="1:12">
      <c r="A73" s="85"/>
      <c r="B73" s="132" t="s">
        <v>133</v>
      </c>
      <c r="C73" s="139">
        <f>0.14/1.13</f>
        <v>0.123893805309735</v>
      </c>
      <c r="D73" s="136">
        <v>0.398230088495575</v>
      </c>
      <c r="E73" s="135">
        <v>0.06</v>
      </c>
      <c r="F73" s="131">
        <v>0.44</v>
      </c>
      <c r="G73" s="135">
        <f t="shared" si="25"/>
        <v>0.181555555555556</v>
      </c>
      <c r="H73" s="136">
        <f>0.145*0.7</f>
        <v>0.1015</v>
      </c>
      <c r="I73" s="152">
        <f t="shared" si="24"/>
        <v>1.30517944936087</v>
      </c>
      <c r="J73" s="122"/>
      <c r="K73" s="123"/>
      <c r="L73" s="123"/>
    </row>
    <row r="74" spans="1:12">
      <c r="A74" s="85"/>
      <c r="B74" s="132" t="s">
        <v>134</v>
      </c>
      <c r="C74" s="133">
        <f>0.36/1.13</f>
        <v>0.31858407079646</v>
      </c>
      <c r="D74" s="136">
        <v>0.353982300884956</v>
      </c>
      <c r="E74" s="135">
        <v>0.06</v>
      </c>
      <c r="F74" s="131">
        <v>0.41</v>
      </c>
      <c r="G74" s="135">
        <f t="shared" si="25"/>
        <v>0.181555555555556</v>
      </c>
      <c r="H74" s="136">
        <f t="shared" si="26"/>
        <v>0.105</v>
      </c>
      <c r="I74" s="152">
        <f t="shared" si="24"/>
        <v>1.42912192723697</v>
      </c>
      <c r="J74" s="122"/>
      <c r="K74" s="123"/>
      <c r="L74" s="123"/>
    </row>
    <row r="75" spans="1:12">
      <c r="A75" s="85"/>
      <c r="B75" s="132" t="s">
        <v>135</v>
      </c>
      <c r="C75" s="133">
        <f>0.36/1.13</f>
        <v>0.31858407079646</v>
      </c>
      <c r="D75" s="136">
        <v>0.398230088495575</v>
      </c>
      <c r="E75" s="135">
        <v>0.06</v>
      </c>
      <c r="F75" s="131">
        <v>0.52</v>
      </c>
      <c r="G75" s="135">
        <f t="shared" si="25"/>
        <v>0.181555555555556</v>
      </c>
      <c r="H75" s="136">
        <f>0.165*0.7</f>
        <v>0.1155</v>
      </c>
      <c r="I75" s="152">
        <f t="shared" si="24"/>
        <v>1.59386971484759</v>
      </c>
      <c r="J75" s="122"/>
      <c r="K75" s="123"/>
      <c r="L75" s="123"/>
    </row>
    <row r="76" spans="1:12">
      <c r="A76" s="85"/>
      <c r="B76" s="132" t="s">
        <v>136</v>
      </c>
      <c r="C76" s="138">
        <f>0.35/1.13</f>
        <v>0.309734513274336</v>
      </c>
      <c r="D76" s="136">
        <v>0.345132743362832</v>
      </c>
      <c r="E76" s="135">
        <v>0.06</v>
      </c>
      <c r="F76" s="131">
        <v>0.53</v>
      </c>
      <c r="G76" s="135">
        <f t="shared" si="25"/>
        <v>0.181555555555556</v>
      </c>
      <c r="H76" s="136">
        <f>0.18*0.7</f>
        <v>0.126</v>
      </c>
      <c r="I76" s="152">
        <f t="shared" si="24"/>
        <v>1.55242281219272</v>
      </c>
      <c r="J76" s="122"/>
      <c r="K76" s="123"/>
      <c r="L76" s="123"/>
    </row>
    <row r="77" spans="1:12">
      <c r="A77" s="85"/>
      <c r="B77" s="132" t="s">
        <v>137</v>
      </c>
      <c r="C77" s="138">
        <f>0.35/1.13</f>
        <v>0.309734513274336</v>
      </c>
      <c r="D77" s="136">
        <v>0.345132743362832</v>
      </c>
      <c r="E77" s="135">
        <v>0.06</v>
      </c>
      <c r="F77" s="131">
        <v>0.53</v>
      </c>
      <c r="G77" s="135">
        <f t="shared" si="25"/>
        <v>0.181555555555556</v>
      </c>
      <c r="H77" s="136">
        <f>0.18*0.7</f>
        <v>0.126</v>
      </c>
      <c r="I77" s="152">
        <f t="shared" si="24"/>
        <v>1.55242281219272</v>
      </c>
      <c r="J77" s="122"/>
      <c r="K77" s="123"/>
      <c r="L77" s="123"/>
    </row>
    <row r="78" spans="1:12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</row>
    <row r="79" spans="1:12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</row>
    <row r="80" spans="1:12">
      <c r="A80" s="140" t="s">
        <v>138</v>
      </c>
      <c r="B80" s="141"/>
      <c r="C80" s="141" t="s">
        <v>139</v>
      </c>
      <c r="D80" s="141"/>
      <c r="E80" s="141"/>
      <c r="F80" s="141"/>
      <c r="G80" s="141" t="s">
        <v>140</v>
      </c>
      <c r="H80" s="141"/>
      <c r="I80" s="141"/>
      <c r="J80" s="141"/>
      <c r="K80" s="123"/>
      <c r="L80" s="123"/>
    </row>
    <row r="81" ht="21.6" spans="1:12">
      <c r="A81" s="142"/>
      <c r="B81" s="143" t="s">
        <v>51</v>
      </c>
      <c r="C81" s="144" t="s">
        <v>141</v>
      </c>
      <c r="D81" s="145" t="s">
        <v>142</v>
      </c>
      <c r="E81" s="145" t="s">
        <v>114</v>
      </c>
      <c r="F81" s="146" t="s">
        <v>143</v>
      </c>
      <c r="G81" s="145" t="s">
        <v>144</v>
      </c>
      <c r="H81" s="145" t="s">
        <v>145</v>
      </c>
      <c r="I81" s="145" t="s">
        <v>146</v>
      </c>
      <c r="J81" s="145" t="s">
        <v>13</v>
      </c>
      <c r="K81" s="123"/>
      <c r="L81" s="123"/>
    </row>
    <row r="82" spans="1:12">
      <c r="A82" s="142"/>
      <c r="B82" s="143" t="s">
        <v>65</v>
      </c>
      <c r="C82" s="145">
        <f>O3</f>
        <v>7.7961225404908</v>
      </c>
      <c r="D82" s="147">
        <f>VLOOKUP('xxxx成本价格-xxx'!F3,$B$66:$I$77,8,0)</f>
        <v>1.0047985831769</v>
      </c>
      <c r="E82" s="145">
        <v>3</v>
      </c>
      <c r="F82" s="148">
        <f>'xxxx成本价格-xxx'!I3</f>
        <v>0.9751</v>
      </c>
      <c r="G82" s="149">
        <v>0.458</v>
      </c>
      <c r="H82" s="149">
        <v>0.52</v>
      </c>
      <c r="I82" s="145">
        <f>0.143636363636364*0.7</f>
        <v>0.100545454545455</v>
      </c>
      <c r="J82" s="154">
        <f t="shared" ref="J82:J87" si="27">(C82+D82*E82)/F82+G82+H82+I82</f>
        <v>12.1651194367232</v>
      </c>
      <c r="K82" s="123"/>
      <c r="L82" s="123"/>
    </row>
    <row r="83" spans="1:12">
      <c r="A83" s="142"/>
      <c r="B83" s="143" t="s">
        <v>66</v>
      </c>
      <c r="C83" s="145">
        <f t="shared" ref="C83:C93" si="28">O4</f>
        <v>7.70489949317769</v>
      </c>
      <c r="D83" s="147">
        <f>VLOOKUP('xxxx成本价格-xxx'!F4,$B$66:$I$77,8,0)</f>
        <v>1.1350590640381</v>
      </c>
      <c r="E83" s="145">
        <v>5</v>
      </c>
      <c r="F83" s="148">
        <f>'xxxx成本价格-xxx'!I4</f>
        <v>0.9751</v>
      </c>
      <c r="G83" s="149">
        <v>0.458</v>
      </c>
      <c r="H83" s="149">
        <v>0.52</v>
      </c>
      <c r="I83" s="145">
        <f>0.135*0.7</f>
        <v>0.0945</v>
      </c>
      <c r="J83" s="154">
        <f t="shared" si="27"/>
        <v>14.7943693604432</v>
      </c>
      <c r="K83" s="123"/>
      <c r="L83" s="123"/>
    </row>
    <row r="84" spans="1:12">
      <c r="A84" s="142"/>
      <c r="B84" s="143" t="s">
        <v>119</v>
      </c>
      <c r="C84" s="145">
        <f t="shared" si="28"/>
        <v>8.84479423162037</v>
      </c>
      <c r="D84" s="147">
        <f>VLOOKUP('xxxx成本价格-xxx'!F5,$B$66:$I$77,8,0)</f>
        <v>1.074684204347</v>
      </c>
      <c r="E84" s="145">
        <v>9</v>
      </c>
      <c r="F84" s="148">
        <f>'xxxx成本价格-xxx'!I5</f>
        <v>0.970125</v>
      </c>
      <c r="G84" s="149">
        <v>0.56</v>
      </c>
      <c r="H84" s="149">
        <v>0.52</v>
      </c>
      <c r="I84" s="145">
        <f>0.1425*0.7</f>
        <v>0.09975</v>
      </c>
      <c r="J84" s="154">
        <f t="shared" si="27"/>
        <v>20.2669316216914</v>
      </c>
      <c r="K84" s="123"/>
      <c r="L84" s="123"/>
    </row>
    <row r="85" spans="1:12">
      <c r="A85" s="142"/>
      <c r="B85" s="150" t="s">
        <v>68</v>
      </c>
      <c r="C85" s="145">
        <f t="shared" si="28"/>
        <v>17.2440406100676</v>
      </c>
      <c r="D85" s="147">
        <f>VLOOKUP('xxxx成本价格-xxx'!F6,$B$66:$I$77,8,0)</f>
        <v>1.0047985831769</v>
      </c>
      <c r="E85" s="149">
        <v>17</v>
      </c>
      <c r="F85" s="148">
        <f>'xxxx成本价格-xxx'!I6</f>
        <v>0.960125</v>
      </c>
      <c r="G85" s="149">
        <v>1.077</v>
      </c>
      <c r="H85" s="149">
        <v>0.71</v>
      </c>
      <c r="I85" s="149">
        <f>0.196666666666667*0.7</f>
        <v>0.137666666666667</v>
      </c>
      <c r="J85" s="154">
        <f t="shared" si="27"/>
        <v>37.6758621090048</v>
      </c>
      <c r="K85" s="123"/>
      <c r="L85" s="123"/>
    </row>
    <row r="86" spans="1:12">
      <c r="A86" s="142"/>
      <c r="B86" s="150" t="s">
        <v>69</v>
      </c>
      <c r="C86" s="145">
        <f t="shared" si="28"/>
        <v>31.9652302398611</v>
      </c>
      <c r="D86" s="147">
        <f>VLOOKUP('xxxx成本价格-xxx'!F7,$B$66:$I$77,8,0)</f>
        <v>1.0047985831769</v>
      </c>
      <c r="E86" s="149">
        <v>33</v>
      </c>
      <c r="F86" s="148">
        <f>'xxxx成本价格-xxx'!I7</f>
        <v>0.950125</v>
      </c>
      <c r="G86" s="149">
        <v>1.556</v>
      </c>
      <c r="H86" s="149">
        <v>1.224</v>
      </c>
      <c r="I86" s="149">
        <f>0.449*0.7</f>
        <v>0.3143</v>
      </c>
      <c r="J86" s="154">
        <f t="shared" si="27"/>
        <v>71.6364218099711</v>
      </c>
      <c r="K86" s="123"/>
      <c r="L86" s="123"/>
    </row>
    <row r="87" spans="1:12">
      <c r="A87" s="142"/>
      <c r="B87" s="150" t="s">
        <v>70</v>
      </c>
      <c r="C87" s="145">
        <f t="shared" si="28"/>
        <v>76.2124609130733</v>
      </c>
      <c r="D87" s="147">
        <f>VLOOKUP('xxxx成本价格-xxx'!F8,$B$66:$I$77,8,0)</f>
        <v>1.0047985831769</v>
      </c>
      <c r="E87" s="149">
        <v>65</v>
      </c>
      <c r="F87" s="148">
        <f>'xxxx成本价格-xxx'!I8</f>
        <v>0.93</v>
      </c>
      <c r="G87" s="149">
        <v>2.333</v>
      </c>
      <c r="H87" s="149">
        <v>2.224</v>
      </c>
      <c r="I87" s="149">
        <f>0.604285714285714*0.7</f>
        <v>0.423</v>
      </c>
      <c r="J87" s="154">
        <f t="shared" si="27"/>
        <v>157.156740666206</v>
      </c>
      <c r="K87" s="123"/>
      <c r="L87" s="123"/>
    </row>
    <row r="88" spans="1:12">
      <c r="A88" s="142"/>
      <c r="B88" s="150" t="s">
        <v>71</v>
      </c>
      <c r="C88" s="145">
        <f t="shared" si="28"/>
        <v>19.3808433724392</v>
      </c>
      <c r="D88" s="147">
        <f>VLOOKUP('xxxx成本价格-xxx'!F9,$B$66:$I$77,8,0)</f>
        <v>1.0047985831769</v>
      </c>
      <c r="E88" s="149">
        <v>4</v>
      </c>
      <c r="F88" s="148">
        <f>'xxxx成本价格-xxx'!I9</f>
        <v>0.9751</v>
      </c>
      <c r="G88" s="149">
        <v>0.458</v>
      </c>
      <c r="H88" s="149">
        <v>0.52</v>
      </c>
      <c r="I88" s="149">
        <f>0.143333333333333*0.7</f>
        <v>0.100333333333333</v>
      </c>
      <c r="J88" s="155">
        <f>(C88+D88*E88)/F88+G88+H88+I88+1.634/9*2</f>
        <v>25.439021826402</v>
      </c>
      <c r="K88" s="123"/>
      <c r="L88" s="123"/>
    </row>
    <row r="89" spans="1:12">
      <c r="A89" s="142"/>
      <c r="B89" s="143" t="s">
        <v>72</v>
      </c>
      <c r="C89" s="145">
        <f t="shared" si="28"/>
        <v>19.5328145782039</v>
      </c>
      <c r="D89" s="147">
        <f>VLOOKUP('xxxx成本价格-xxx'!F10,$B$66:$I$77,8,0)</f>
        <v>1.0047985831769</v>
      </c>
      <c r="E89" s="145">
        <v>6</v>
      </c>
      <c r="F89" s="148">
        <f>'xxxx成本价格-xxx'!I10</f>
        <v>0.9751</v>
      </c>
      <c r="G89" s="149">
        <v>0.458</v>
      </c>
      <c r="H89" s="149">
        <v>0.52</v>
      </c>
      <c r="I89" s="145">
        <f>0.141428571428571*0.7</f>
        <v>0.0989999999999997</v>
      </c>
      <c r="J89" s="155">
        <f>(C89+D89*E89)/F89+G89+H89+I89+1.634/9*4</f>
        <v>28.0175654457535</v>
      </c>
      <c r="K89" s="123"/>
      <c r="L89" s="123"/>
    </row>
    <row r="90" spans="1:12">
      <c r="A90" s="142"/>
      <c r="B90" s="143" t="s">
        <v>120</v>
      </c>
      <c r="C90" s="145">
        <f t="shared" si="28"/>
        <v>21.9020326278849</v>
      </c>
      <c r="D90" s="147">
        <f>VLOOKUP('xxxx成本价格-xxx'!F11,$B$66:$I$77,8,0)</f>
        <v>1.0047985831769</v>
      </c>
      <c r="E90" s="145">
        <v>10</v>
      </c>
      <c r="F90" s="148">
        <f>'xxxx成本价格-xxx'!I11</f>
        <v>0.970125</v>
      </c>
      <c r="G90" s="149">
        <v>0.56</v>
      </c>
      <c r="H90" s="149">
        <v>0.52</v>
      </c>
      <c r="I90" s="145">
        <f>0.156*0.7</f>
        <v>0.1092</v>
      </c>
      <c r="J90" s="155">
        <f>(C90+D90*E90)/F90+G90+H90+I90+1.634/9*8</f>
        <v>35.5755637431471</v>
      </c>
      <c r="K90" s="123"/>
      <c r="L90" s="123"/>
    </row>
    <row r="91" spans="1:12">
      <c r="A91" s="142"/>
      <c r="B91" s="143" t="s">
        <v>74</v>
      </c>
      <c r="C91" s="145">
        <f t="shared" si="28"/>
        <v>41.0154177984612</v>
      </c>
      <c r="D91" s="147">
        <f>VLOOKUP('xxxx成本价格-xxx'!F12,$B$66:$I$77,8,0)</f>
        <v>1.0047985831769</v>
      </c>
      <c r="E91" s="145">
        <v>18</v>
      </c>
      <c r="F91" s="148">
        <f>'xxxx成本价格-xxx'!I12</f>
        <v>0.960125</v>
      </c>
      <c r="G91" s="149">
        <v>1.077</v>
      </c>
      <c r="H91" s="149">
        <v>0.71</v>
      </c>
      <c r="I91" s="145">
        <f>0.1975*0.7</f>
        <v>0.13825</v>
      </c>
      <c r="J91" s="155">
        <f>(C91+D91*E91)/F91+G91+H91+I91+1.634/9*16</f>
        <v>66.3864907135424</v>
      </c>
      <c r="K91" s="123"/>
      <c r="L91" s="123"/>
    </row>
    <row r="92" spans="1:12">
      <c r="A92" s="142"/>
      <c r="B92" s="143" t="s">
        <v>75</v>
      </c>
      <c r="C92" s="145">
        <f t="shared" si="28"/>
        <v>67.3704032407035</v>
      </c>
      <c r="D92" s="147">
        <f>VLOOKUP('xxxx成本价格-xxx'!F13,$B$66:$I$77,8,0)</f>
        <v>1.0047985831769</v>
      </c>
      <c r="E92" s="145">
        <v>34</v>
      </c>
      <c r="F92" s="148">
        <f>'xxxx成本价格-xxx'!I13</f>
        <v>0.950125</v>
      </c>
      <c r="G92" s="149">
        <v>1.556</v>
      </c>
      <c r="H92" s="149">
        <v>1.224</v>
      </c>
      <c r="I92" s="145">
        <f>0.47*0.7</f>
        <v>0.329</v>
      </c>
      <c r="J92" s="155">
        <f>(C92+D92*E92)/F92+G92+H92+I92+1.634/9*32</f>
        <v>115.782143196768</v>
      </c>
      <c r="K92" s="123"/>
      <c r="L92" s="123"/>
    </row>
    <row r="93" spans="1:12">
      <c r="A93" s="151"/>
      <c r="B93" s="143" t="s">
        <v>76</v>
      </c>
      <c r="C93" s="145">
        <f t="shared" si="28"/>
        <v>175.639588058385</v>
      </c>
      <c r="D93" s="147">
        <f>VLOOKUP('xxxx成本价格-xxx'!F14,$B$66:$I$77,8,0)</f>
        <v>1.0047985831769</v>
      </c>
      <c r="E93" s="145">
        <v>66</v>
      </c>
      <c r="F93" s="148">
        <f>'xxxx成本价格-xxx'!I14</f>
        <v>0.93</v>
      </c>
      <c r="G93" s="149">
        <v>2.333</v>
      </c>
      <c r="H93" s="149">
        <v>2.224</v>
      </c>
      <c r="I93" s="145">
        <f>0.7875*0.7</f>
        <v>0.55125</v>
      </c>
      <c r="J93" s="155">
        <f>(C93+D93*E93)/F93+G93+H93+I93+1.634/9*64</f>
        <v>276.895864209384</v>
      </c>
      <c r="K93" s="123"/>
      <c r="L93" s="123"/>
    </row>
    <row r="94" spans="11:11">
      <c r="K94" s="123"/>
    </row>
    <row r="95" spans="11:11">
      <c r="K95" s="123"/>
    </row>
    <row r="96" spans="11:11">
      <c r="K96" s="123"/>
    </row>
  </sheetData>
  <mergeCells count="21">
    <mergeCell ref="C1:G1"/>
    <mergeCell ref="D16:I16"/>
    <mergeCell ref="L16:M16"/>
    <mergeCell ref="N16:O16"/>
    <mergeCell ref="B32:D32"/>
    <mergeCell ref="E32:O32"/>
    <mergeCell ref="P32:S32"/>
    <mergeCell ref="D33:I33"/>
    <mergeCell ref="C64:E64"/>
    <mergeCell ref="F64:G64"/>
    <mergeCell ref="C80:F80"/>
    <mergeCell ref="G80:J80"/>
    <mergeCell ref="A1:A14"/>
    <mergeCell ref="A16:A29"/>
    <mergeCell ref="A32:A47"/>
    <mergeCell ref="A49:A61"/>
    <mergeCell ref="A64:A77"/>
    <mergeCell ref="A80:A93"/>
    <mergeCell ref="B16:B17"/>
    <mergeCell ref="C16:C17"/>
    <mergeCell ref="P16:P17"/>
  </mergeCells>
  <conditionalFormatting sqref="G18:G30">
    <cfRule type="cellIs" dxfId="0" priority="2" operator="lessThan">
      <formula>0</formula>
    </cfRule>
  </conditionalFormatting>
  <conditionalFormatting sqref="G35:G47">
    <cfRule type="cellIs" dxfId="0" priority="1" operator="lessThan">
      <formula>0</formula>
    </cfRule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9"/>
  <sheetViews>
    <sheetView topLeftCell="A61" workbookViewId="0">
      <selection activeCell="H94" sqref="H94"/>
    </sheetView>
  </sheetViews>
  <sheetFormatPr defaultColWidth="9" defaultRowHeight="14.4"/>
  <cols>
    <col min="1" max="1" width="5.25" style="43" customWidth="1"/>
    <col min="2" max="2" width="11.5" style="43" customWidth="1"/>
    <col min="3" max="3" width="29" style="43" customWidth="1"/>
    <col min="4" max="4" width="9.87962962962963" style="43" customWidth="1"/>
    <col min="5" max="5" width="16.7777777777778" style="43" customWidth="1"/>
    <col min="6" max="6" width="15.1296296296296" style="43" customWidth="1"/>
    <col min="7" max="7" width="13.75" style="43"/>
    <col min="8" max="8" width="13.1296296296296" style="43" customWidth="1"/>
    <col min="9" max="9" width="9" style="43"/>
    <col min="10" max="10" width="11.25" style="43" customWidth="1"/>
    <col min="11" max="11" width="19.1296296296296" style="43" customWidth="1"/>
    <col min="12" max="12" width="7.12962962962963" style="43" customWidth="1"/>
    <col min="13" max="13" width="10.3796296296296" style="43" customWidth="1"/>
    <col min="14" max="14" width="10.8796296296296" style="43" customWidth="1"/>
    <col min="15" max="16384" width="9" style="43"/>
  </cols>
  <sheetData>
    <row r="1" ht="22.2" spans="1:16">
      <c r="A1" s="44" t="s">
        <v>46</v>
      </c>
      <c r="B1" s="45"/>
      <c r="C1" s="46" t="s">
        <v>47</v>
      </c>
      <c r="D1" s="47"/>
      <c r="E1" s="47"/>
      <c r="F1" s="47"/>
      <c r="G1" s="47"/>
      <c r="H1" s="47" t="s">
        <v>48</v>
      </c>
      <c r="I1" s="47" t="s">
        <v>49</v>
      </c>
      <c r="J1" s="88" t="s">
        <v>50</v>
      </c>
      <c r="K1" s="89"/>
      <c r="L1" s="89"/>
      <c r="M1" s="89"/>
      <c r="N1" s="90"/>
      <c r="O1" s="90"/>
      <c r="P1" s="90"/>
    </row>
    <row r="2" ht="32.4" spans="1:17">
      <c r="A2" s="44"/>
      <c r="B2" s="48" t="s">
        <v>51</v>
      </c>
      <c r="C2" s="48" t="s">
        <v>52</v>
      </c>
      <c r="D2" s="49" t="s">
        <v>53</v>
      </c>
      <c r="E2" s="48" t="s">
        <v>54</v>
      </c>
      <c r="F2" s="48" t="s">
        <v>55</v>
      </c>
      <c r="G2" s="48" t="s">
        <v>56</v>
      </c>
      <c r="H2" s="50" t="s">
        <v>57</v>
      </c>
      <c r="I2" s="91" t="s">
        <v>58</v>
      </c>
      <c r="J2" s="48" t="s">
        <v>59</v>
      </c>
      <c r="K2" s="92" t="s">
        <v>60</v>
      </c>
      <c r="L2" s="92" t="s">
        <v>61</v>
      </c>
      <c r="M2" s="92" t="s">
        <v>62</v>
      </c>
      <c r="N2" s="93" t="s">
        <v>63</v>
      </c>
      <c r="O2" s="94" t="s">
        <v>64</v>
      </c>
      <c r="P2" s="95"/>
      <c r="Q2" s="95"/>
    </row>
    <row r="3" spans="1:17">
      <c r="A3" s="44"/>
      <c r="B3" s="51" t="s">
        <v>65</v>
      </c>
      <c r="C3" s="52">
        <f>1.96/1.13</f>
        <v>1.73451327433628</v>
      </c>
      <c r="D3" s="53">
        <f>P36</f>
        <v>1.20882512255759</v>
      </c>
      <c r="E3" s="54">
        <f>P18</f>
        <v>0.503039241977295</v>
      </c>
      <c r="F3" s="55">
        <v>0.2</v>
      </c>
      <c r="G3" s="56">
        <f t="shared" ref="G3:G14" si="0">G51</f>
        <v>0.1944</v>
      </c>
      <c r="H3" s="57">
        <v>0.21</v>
      </c>
      <c r="I3" s="165">
        <v>2.9435</v>
      </c>
      <c r="J3" s="96">
        <f>0.7*0.7</f>
        <v>0.49</v>
      </c>
      <c r="K3" s="55">
        <f t="shared" ref="K3:K14" si="1">SUM(C3:H3)</f>
        <v>4.05077763887117</v>
      </c>
      <c r="L3" s="55">
        <f t="shared" ref="L3:L14" si="2">I3</f>
        <v>2.9435</v>
      </c>
      <c r="M3" s="55">
        <f t="shared" ref="M3:M14" si="3">J3</f>
        <v>0.49</v>
      </c>
      <c r="N3" s="97">
        <f>'xxxx成本价格-xxx'!H3</f>
        <v>0.96</v>
      </c>
      <c r="O3" s="98">
        <f>SUM(C3:J3)/N3</f>
        <v>7.7961225404908</v>
      </c>
      <c r="P3" s="54"/>
      <c r="Q3" s="54"/>
    </row>
    <row r="4" spans="1:17">
      <c r="A4" s="44"/>
      <c r="B4" s="51" t="s">
        <v>66</v>
      </c>
      <c r="C4" s="52">
        <f>1.61/1.13</f>
        <v>1.42477876106195</v>
      </c>
      <c r="D4" s="53">
        <f t="shared" ref="D4:D14" si="4">P37</f>
        <v>1.40205318214623</v>
      </c>
      <c r="E4" s="54">
        <f t="shared" ref="E4:E14" si="5">P19</f>
        <v>0.503039241977295</v>
      </c>
      <c r="F4" s="55">
        <v>0.2</v>
      </c>
      <c r="G4" s="56">
        <f t="shared" si="0"/>
        <v>0.324</v>
      </c>
      <c r="H4" s="57">
        <v>0.21</v>
      </c>
      <c r="I4" s="165">
        <v>2.7407</v>
      </c>
      <c r="J4" s="96">
        <f>0.735833333333333*0.7</f>
        <v>0.515083333333333</v>
      </c>
      <c r="K4" s="55">
        <f t="shared" si="1"/>
        <v>4.06387118518548</v>
      </c>
      <c r="L4" s="55">
        <f t="shared" si="2"/>
        <v>2.7407</v>
      </c>
      <c r="M4" s="55">
        <f t="shared" si="3"/>
        <v>0.515083333333333</v>
      </c>
      <c r="N4" s="97">
        <f>'xxxx成本价格-xxx'!H4</f>
        <v>0.95</v>
      </c>
      <c r="O4" s="98">
        <f t="shared" ref="O4:O14" si="6">SUM(C4:J4)/N4</f>
        <v>7.70489949317769</v>
      </c>
      <c r="P4" s="54"/>
      <c r="Q4" s="54"/>
    </row>
    <row r="5" spans="1:17">
      <c r="A5" s="44"/>
      <c r="B5" s="58" t="s">
        <v>67</v>
      </c>
      <c r="C5" s="52">
        <f>1.61/1.13</f>
        <v>1.42477876106195</v>
      </c>
      <c r="D5" s="53">
        <f t="shared" si="4"/>
        <v>1.82136985033344</v>
      </c>
      <c r="E5" s="54">
        <f t="shared" si="5"/>
        <v>0.503039241977295</v>
      </c>
      <c r="F5" s="55">
        <v>0.2</v>
      </c>
      <c r="G5" s="56">
        <f t="shared" si="0"/>
        <v>0.5832</v>
      </c>
      <c r="H5" s="57">
        <v>0.21</v>
      </c>
      <c r="I5" s="165">
        <v>3.1095</v>
      </c>
      <c r="J5" s="96">
        <f>0.786666666666667*0.7</f>
        <v>0.550666666666667</v>
      </c>
      <c r="K5" s="55">
        <f t="shared" si="1"/>
        <v>4.74238785337268</v>
      </c>
      <c r="L5" s="55">
        <f t="shared" si="2"/>
        <v>3.1095</v>
      </c>
      <c r="M5" s="55">
        <f t="shared" si="3"/>
        <v>0.550666666666667</v>
      </c>
      <c r="N5" s="97">
        <f>'xxxx成本价格-xxx'!H5</f>
        <v>0.95</v>
      </c>
      <c r="O5" s="98">
        <f t="shared" si="6"/>
        <v>8.84479423162037</v>
      </c>
      <c r="P5" s="99"/>
      <c r="Q5" s="99"/>
    </row>
    <row r="6" spans="1:17">
      <c r="A6" s="44"/>
      <c r="B6" s="58" t="s">
        <v>68</v>
      </c>
      <c r="C6" s="52">
        <f>4.01/1.13</f>
        <v>3.54867256637168</v>
      </c>
      <c r="D6" s="53">
        <f t="shared" si="4"/>
        <v>5.11428636511456</v>
      </c>
      <c r="E6" s="54">
        <f t="shared" si="5"/>
        <v>0.503039241977295</v>
      </c>
      <c r="F6" s="55">
        <v>0.57</v>
      </c>
      <c r="G6" s="56">
        <f t="shared" si="0"/>
        <v>1.1016</v>
      </c>
      <c r="H6" s="57">
        <v>0.26</v>
      </c>
      <c r="I6" s="165">
        <v>4.4083</v>
      </c>
      <c r="J6" s="96">
        <f>1.005*0.7</f>
        <v>0.7035</v>
      </c>
      <c r="K6" s="55">
        <f t="shared" si="1"/>
        <v>11.0975981734635</v>
      </c>
      <c r="L6" s="55">
        <f t="shared" si="2"/>
        <v>4.4083</v>
      </c>
      <c r="M6" s="55">
        <f t="shared" si="3"/>
        <v>0.7035</v>
      </c>
      <c r="N6" s="97">
        <f>'xxxx成本价格-xxx'!H6</f>
        <v>0.94</v>
      </c>
      <c r="O6" s="98">
        <f t="shared" si="6"/>
        <v>17.2440406100676</v>
      </c>
      <c r="P6" s="99"/>
      <c r="Q6" s="99"/>
    </row>
    <row r="7" spans="1:17">
      <c r="A7" s="44"/>
      <c r="B7" s="51" t="s">
        <v>69</v>
      </c>
      <c r="C7" s="52">
        <f>9.02/1.13</f>
        <v>7.98230088495575</v>
      </c>
      <c r="D7" s="53">
        <f t="shared" si="4"/>
        <v>10.4604050270725</v>
      </c>
      <c r="E7" s="54">
        <f t="shared" si="5"/>
        <v>0.503039241977295</v>
      </c>
      <c r="F7" s="55">
        <f>0.78</f>
        <v>0.78</v>
      </c>
      <c r="G7" s="56">
        <f t="shared" si="0"/>
        <v>2.1384</v>
      </c>
      <c r="H7" s="57">
        <v>0.48</v>
      </c>
      <c r="I7" s="165">
        <v>6.0897</v>
      </c>
      <c r="J7" s="96">
        <f>1.39166666666667*0.7</f>
        <v>0.974166666666669</v>
      </c>
      <c r="K7" s="55">
        <f t="shared" si="1"/>
        <v>22.3441451540055</v>
      </c>
      <c r="L7" s="55">
        <f t="shared" si="2"/>
        <v>6.0897</v>
      </c>
      <c r="M7" s="55">
        <f t="shared" si="3"/>
        <v>0.974166666666669</v>
      </c>
      <c r="N7" s="97">
        <f>'xxxx成本价格-xxx'!H7</f>
        <v>0.92</v>
      </c>
      <c r="O7" s="98">
        <f t="shared" si="6"/>
        <v>31.9652302398611</v>
      </c>
      <c r="P7" s="99"/>
      <c r="Q7" s="99"/>
    </row>
    <row r="8" spans="1:17">
      <c r="A8" s="44"/>
      <c r="B8" s="51" t="s">
        <v>70</v>
      </c>
      <c r="C8" s="52">
        <f>21.48/1.13</f>
        <v>19.0088495575221</v>
      </c>
      <c r="D8" s="53">
        <f t="shared" si="4"/>
        <v>29.3111926889332</v>
      </c>
      <c r="E8" s="54">
        <f t="shared" si="5"/>
        <v>0.503039241977295</v>
      </c>
      <c r="F8" s="55">
        <f>1.55</f>
        <v>1.55</v>
      </c>
      <c r="G8" s="56">
        <f t="shared" si="0"/>
        <v>4.212</v>
      </c>
      <c r="H8" s="59">
        <v>0.63</v>
      </c>
      <c r="I8" s="165">
        <v>11.8268</v>
      </c>
      <c r="J8" s="96">
        <f>2.21333333333333*0.7</f>
        <v>1.54933333333333</v>
      </c>
      <c r="K8" s="55">
        <f t="shared" si="1"/>
        <v>55.2150814884326</v>
      </c>
      <c r="L8" s="55">
        <f t="shared" si="2"/>
        <v>11.8268</v>
      </c>
      <c r="M8" s="55">
        <f t="shared" si="3"/>
        <v>1.54933333333333</v>
      </c>
      <c r="N8" s="97">
        <f>'xxxx成本价格-xxx'!H8</f>
        <v>0.9</v>
      </c>
      <c r="O8" s="98">
        <f t="shared" si="6"/>
        <v>76.2124609130733</v>
      </c>
      <c r="P8" s="54"/>
      <c r="Q8" s="54"/>
    </row>
    <row r="9" spans="1:17">
      <c r="A9" s="44"/>
      <c r="B9" s="51" t="s">
        <v>71</v>
      </c>
      <c r="C9" s="52">
        <v>10.6194690265487</v>
      </c>
      <c r="D9" s="53">
        <f t="shared" si="4"/>
        <v>1.46601538804432</v>
      </c>
      <c r="E9" s="54">
        <f t="shared" si="5"/>
        <v>1.20111678922426</v>
      </c>
      <c r="F9" s="55">
        <v>0.2</v>
      </c>
      <c r="G9" s="56">
        <f t="shared" si="0"/>
        <v>0.2592</v>
      </c>
      <c r="H9" s="57">
        <v>0.18</v>
      </c>
      <c r="I9" s="166">
        <v>3.898</v>
      </c>
      <c r="J9" s="96">
        <f>0.84*0.7</f>
        <v>0.588</v>
      </c>
      <c r="K9" s="55">
        <f t="shared" si="1"/>
        <v>13.9258012038173</v>
      </c>
      <c r="L9" s="55">
        <f t="shared" si="2"/>
        <v>3.898</v>
      </c>
      <c r="M9" s="55">
        <f t="shared" si="3"/>
        <v>0.588</v>
      </c>
      <c r="N9" s="97">
        <f>'xxxx成本价格-xxx'!H9</f>
        <v>0.95</v>
      </c>
      <c r="O9" s="98">
        <f t="shared" si="6"/>
        <v>19.3808433724392</v>
      </c>
      <c r="P9" s="101"/>
      <c r="Q9" s="99"/>
    </row>
    <row r="10" spans="1:17">
      <c r="A10" s="44"/>
      <c r="B10" s="51" t="s">
        <v>72</v>
      </c>
      <c r="C10" s="52">
        <v>10.3362831858407</v>
      </c>
      <c r="D10" s="53">
        <f t="shared" si="4"/>
        <v>1.57174572844675</v>
      </c>
      <c r="E10" s="54">
        <f t="shared" si="5"/>
        <v>1.20111678922426</v>
      </c>
      <c r="F10" s="55">
        <v>0.2</v>
      </c>
      <c r="G10" s="56">
        <f t="shared" si="0"/>
        <v>0.3888</v>
      </c>
      <c r="H10" s="57">
        <v>0.18</v>
      </c>
      <c r="I10" s="166">
        <v>3.8648</v>
      </c>
      <c r="J10" s="96">
        <f>0.883*0.7</f>
        <v>0.6181</v>
      </c>
      <c r="K10" s="55">
        <f t="shared" si="1"/>
        <v>13.8779457035117</v>
      </c>
      <c r="L10" s="55">
        <f t="shared" si="2"/>
        <v>3.8648</v>
      </c>
      <c r="M10" s="55">
        <f t="shared" si="3"/>
        <v>0.6181</v>
      </c>
      <c r="N10" s="97">
        <f>'xxxx成本价格-xxx'!H10</f>
        <v>0.94</v>
      </c>
      <c r="O10" s="98">
        <f t="shared" si="6"/>
        <v>19.5328145782039</v>
      </c>
      <c r="P10" s="101"/>
      <c r="Q10" s="54"/>
    </row>
    <row r="11" spans="1:17">
      <c r="A11" s="44"/>
      <c r="B11" s="51" t="s">
        <v>73</v>
      </c>
      <c r="C11" s="52">
        <v>11.2212389380531</v>
      </c>
      <c r="D11" s="53">
        <f t="shared" si="4"/>
        <v>2.16075494293448</v>
      </c>
      <c r="E11" s="54">
        <f t="shared" si="5"/>
        <v>1.20111678922426</v>
      </c>
      <c r="F11" s="55">
        <v>0.2</v>
      </c>
      <c r="G11" s="56">
        <f t="shared" si="0"/>
        <v>0.648</v>
      </c>
      <c r="H11" s="57">
        <v>0.18</v>
      </c>
      <c r="I11" s="166">
        <v>4.316</v>
      </c>
      <c r="J11" s="96">
        <f>0.944*0.7</f>
        <v>0.6608</v>
      </c>
      <c r="K11" s="55">
        <f t="shared" si="1"/>
        <v>15.6111106702118</v>
      </c>
      <c r="L11" s="55">
        <f t="shared" si="2"/>
        <v>4.316</v>
      </c>
      <c r="M11" s="55">
        <f t="shared" si="3"/>
        <v>0.6608</v>
      </c>
      <c r="N11" s="97">
        <f>'xxxx成本价格-xxx'!H11</f>
        <v>0.94</v>
      </c>
      <c r="O11" s="98">
        <f t="shared" si="6"/>
        <v>21.9020326278849</v>
      </c>
      <c r="P11" s="101"/>
      <c r="Q11" s="99"/>
    </row>
    <row r="12" spans="1:17">
      <c r="A12" s="44"/>
      <c r="B12" s="51" t="s">
        <v>74</v>
      </c>
      <c r="C12" s="52">
        <v>23.2920353982301</v>
      </c>
      <c r="D12" s="53">
        <f t="shared" si="4"/>
        <v>5.11428636511456</v>
      </c>
      <c r="E12" s="54">
        <f t="shared" si="5"/>
        <v>1.20111678922426</v>
      </c>
      <c r="F12" s="55">
        <v>0.57</v>
      </c>
      <c r="G12" s="56">
        <f t="shared" si="0"/>
        <v>1.1664</v>
      </c>
      <c r="H12" s="57">
        <v>0.26</v>
      </c>
      <c r="I12" s="166">
        <v>5.6963</v>
      </c>
      <c r="J12" s="96">
        <f>1.206*0.7</f>
        <v>0.8442</v>
      </c>
      <c r="K12" s="55">
        <f t="shared" si="1"/>
        <v>31.6038385525689</v>
      </c>
      <c r="L12" s="55">
        <f t="shared" si="2"/>
        <v>5.6963</v>
      </c>
      <c r="M12" s="55">
        <f t="shared" si="3"/>
        <v>0.8442</v>
      </c>
      <c r="N12" s="97">
        <f>'xxxx成本价格-xxx'!H12</f>
        <v>0.93</v>
      </c>
      <c r="O12" s="98">
        <f t="shared" si="6"/>
        <v>41.0154177984612</v>
      </c>
      <c r="P12" s="101"/>
      <c r="Q12" s="54"/>
    </row>
    <row r="13" spans="1:17">
      <c r="A13" s="44"/>
      <c r="B13" s="51" t="s">
        <v>75</v>
      </c>
      <c r="C13" s="52">
        <v>37.0973451327434</v>
      </c>
      <c r="D13" s="53">
        <f t="shared" si="4"/>
        <v>10.4604050270725</v>
      </c>
      <c r="E13" s="54">
        <f t="shared" si="5"/>
        <v>1.20111678922426</v>
      </c>
      <c r="F13" s="55">
        <f>0.78</f>
        <v>0.78</v>
      </c>
      <c r="G13" s="56">
        <f t="shared" si="0"/>
        <v>2.2032</v>
      </c>
      <c r="H13" s="57">
        <v>0.48</v>
      </c>
      <c r="I13" s="166">
        <v>7.916</v>
      </c>
      <c r="J13" s="96">
        <f>1.67*0.7</f>
        <v>1.169</v>
      </c>
      <c r="K13" s="55">
        <f t="shared" si="1"/>
        <v>52.2220669490402</v>
      </c>
      <c r="L13" s="55">
        <f t="shared" si="2"/>
        <v>7.916</v>
      </c>
      <c r="M13" s="55">
        <f t="shared" si="3"/>
        <v>1.169</v>
      </c>
      <c r="N13" s="97">
        <f>'xxxx成本价格-xxx'!H13</f>
        <v>0.91</v>
      </c>
      <c r="O13" s="98">
        <f t="shared" si="6"/>
        <v>67.3704032407035</v>
      </c>
      <c r="P13" s="101"/>
      <c r="Q13" s="99"/>
    </row>
    <row r="14" spans="1:17">
      <c r="A14" s="44"/>
      <c r="B14" s="51" t="s">
        <v>76</v>
      </c>
      <c r="C14" s="52">
        <v>103.522123893805</v>
      </c>
      <c r="D14" s="53">
        <f t="shared" si="4"/>
        <v>29.3111926889332</v>
      </c>
      <c r="E14" s="54">
        <f t="shared" si="5"/>
        <v>1.20111678922426</v>
      </c>
      <c r="F14" s="55">
        <f>1.55</f>
        <v>1.55</v>
      </c>
      <c r="G14" s="56">
        <f t="shared" si="0"/>
        <v>4.2768</v>
      </c>
      <c r="H14" s="59">
        <v>0.63</v>
      </c>
      <c r="I14" s="166">
        <v>13.9688</v>
      </c>
      <c r="J14" s="96">
        <f>2.656*0.7</f>
        <v>1.8592</v>
      </c>
      <c r="K14" s="55">
        <f t="shared" si="1"/>
        <v>140.491233371962</v>
      </c>
      <c r="L14" s="55">
        <f t="shared" si="2"/>
        <v>13.9688</v>
      </c>
      <c r="M14" s="55">
        <f t="shared" si="3"/>
        <v>1.8592</v>
      </c>
      <c r="N14" s="97">
        <f>'xxxx成本价格-xxx'!H14</f>
        <v>0.89</v>
      </c>
      <c r="O14" s="98">
        <f t="shared" si="6"/>
        <v>175.639588058385</v>
      </c>
      <c r="P14" s="101"/>
      <c r="Q14" s="54"/>
    </row>
    <row r="16" ht="17.4" spans="1:16">
      <c r="A16" s="60" t="s">
        <v>54</v>
      </c>
      <c r="B16" s="61" t="s">
        <v>1</v>
      </c>
      <c r="C16" s="62" t="s">
        <v>77</v>
      </c>
      <c r="D16" s="63" t="s">
        <v>78</v>
      </c>
      <c r="E16" s="63"/>
      <c r="F16" s="63"/>
      <c r="G16" s="63"/>
      <c r="H16" s="63"/>
      <c r="I16" s="63"/>
      <c r="J16" s="71" t="s">
        <v>49</v>
      </c>
      <c r="K16" s="102" t="s">
        <v>79</v>
      </c>
      <c r="L16" s="103" t="s">
        <v>80</v>
      </c>
      <c r="M16" s="104"/>
      <c r="N16" s="102" t="s">
        <v>81</v>
      </c>
      <c r="O16" s="102"/>
      <c r="P16" s="105" t="s">
        <v>82</v>
      </c>
    </row>
    <row r="17" spans="1:16">
      <c r="A17" s="60"/>
      <c r="B17" s="61"/>
      <c r="C17" s="62"/>
      <c r="D17" s="64" t="s">
        <v>83</v>
      </c>
      <c r="E17" s="65" t="s">
        <v>84</v>
      </c>
      <c r="F17" s="65" t="s">
        <v>85</v>
      </c>
      <c r="G17" s="65" t="s">
        <v>86</v>
      </c>
      <c r="H17" s="65" t="s">
        <v>87</v>
      </c>
      <c r="I17" s="65" t="s">
        <v>88</v>
      </c>
      <c r="J17" s="68" t="s">
        <v>89</v>
      </c>
      <c r="K17" s="65" t="s">
        <v>90</v>
      </c>
      <c r="L17" s="69" t="s">
        <v>91</v>
      </c>
      <c r="M17" s="69" t="s">
        <v>92</v>
      </c>
      <c r="N17" s="65" t="s">
        <v>93</v>
      </c>
      <c r="O17" s="65" t="s">
        <v>94</v>
      </c>
      <c r="P17" s="105"/>
    </row>
    <row r="18" ht="15.6" spans="1:16">
      <c r="A18" s="60"/>
      <c r="B18" s="61" t="s">
        <v>147</v>
      </c>
      <c r="C18" s="66" t="str">
        <f>'xxxx成本价格-xxx'!C3</f>
        <v>光纤，华信藤仓，1芯，G657A1</v>
      </c>
      <c r="D18" s="66">
        <f>'xxxx成本价格-xxx'!D3+0.5</f>
        <v>1.5</v>
      </c>
      <c r="E18" s="65">
        <v>0.1</v>
      </c>
      <c r="F18" s="67">
        <v>0.1</v>
      </c>
      <c r="G18" s="161">
        <f>VLOOKUP(C18,材料价格!B:D,3,0)</f>
        <v>0.0309734513274336</v>
      </c>
      <c r="H18" s="69">
        <f t="shared" ref="H18:H29" si="7">D18+0.05</f>
        <v>1.55</v>
      </c>
      <c r="I18" s="69">
        <v>1</v>
      </c>
      <c r="J18" s="67">
        <v>0.18</v>
      </c>
      <c r="K18" s="106">
        <f t="shared" ref="K18:K23" si="8">0.1*0.7</f>
        <v>0.07</v>
      </c>
      <c r="L18" s="68">
        <f t="shared" ref="L18:L29" si="9">E18+F18+H18*I18*G18</f>
        <v>0.248008849557522</v>
      </c>
      <c r="M18" s="68">
        <f t="shared" ref="M18:M29" si="10">J18+L18+K18</f>
        <v>0.498008849557522</v>
      </c>
      <c r="N18" s="167">
        <v>0.99</v>
      </c>
      <c r="O18" s="167">
        <v>0.96</v>
      </c>
      <c r="P18" s="108">
        <f>M18/N18</f>
        <v>0.503039241977295</v>
      </c>
    </row>
    <row r="19" ht="15.6" spans="1:16">
      <c r="A19" s="60"/>
      <c r="B19" s="61" t="s">
        <v>148</v>
      </c>
      <c r="C19" s="66" t="str">
        <f t="shared" ref="C19:C29" si="11">C18</f>
        <v>光纤，华信藤仓，1芯，G657A1</v>
      </c>
      <c r="D19" s="66">
        <f>'xxxx成本价格-xxx'!D4+0.5</f>
        <v>1.5</v>
      </c>
      <c r="E19" s="65">
        <v>0.1</v>
      </c>
      <c r="F19" s="67">
        <v>0.1</v>
      </c>
      <c r="G19" s="161">
        <f>VLOOKUP(C19,材料价格!B:D,3,0)</f>
        <v>0.0309734513274336</v>
      </c>
      <c r="H19" s="69">
        <f t="shared" si="7"/>
        <v>1.55</v>
      </c>
      <c r="I19" s="69">
        <v>1</v>
      </c>
      <c r="J19" s="67">
        <v>0.18</v>
      </c>
      <c r="K19" s="106">
        <f t="shared" si="8"/>
        <v>0.07</v>
      </c>
      <c r="L19" s="68">
        <f t="shared" si="9"/>
        <v>0.248008849557522</v>
      </c>
      <c r="M19" s="68">
        <f t="shared" si="10"/>
        <v>0.498008849557522</v>
      </c>
      <c r="N19" s="167">
        <v>0.99</v>
      </c>
      <c r="O19" s="167">
        <v>0.96</v>
      </c>
      <c r="P19" s="108">
        <f t="shared" ref="P19:P29" si="12">M19/N19</f>
        <v>0.503039241977295</v>
      </c>
    </row>
    <row r="20" ht="15.6" spans="1:16">
      <c r="A20" s="60"/>
      <c r="B20" s="61" t="s">
        <v>149</v>
      </c>
      <c r="C20" s="66" t="str">
        <f t="shared" si="11"/>
        <v>光纤，华信藤仓，1芯，G657A1</v>
      </c>
      <c r="D20" s="66">
        <f>'xxxx成本价格-xxx'!D5+0.5</f>
        <v>1.5</v>
      </c>
      <c r="E20" s="65">
        <v>0.1</v>
      </c>
      <c r="F20" s="67">
        <v>0.1</v>
      </c>
      <c r="G20" s="161">
        <f>VLOOKUP(C20,材料价格!B:D,3,0)</f>
        <v>0.0309734513274336</v>
      </c>
      <c r="H20" s="69">
        <f t="shared" si="7"/>
        <v>1.55</v>
      </c>
      <c r="I20" s="69">
        <v>1</v>
      </c>
      <c r="J20" s="67">
        <v>0.18</v>
      </c>
      <c r="K20" s="106">
        <f t="shared" si="8"/>
        <v>0.07</v>
      </c>
      <c r="L20" s="68">
        <f t="shared" si="9"/>
        <v>0.248008849557522</v>
      </c>
      <c r="M20" s="68">
        <f t="shared" si="10"/>
        <v>0.498008849557522</v>
      </c>
      <c r="N20" s="167">
        <v>0.99</v>
      </c>
      <c r="O20" s="167">
        <v>0.96</v>
      </c>
      <c r="P20" s="108">
        <f t="shared" si="12"/>
        <v>0.503039241977295</v>
      </c>
    </row>
    <row r="21" ht="15.6" spans="1:16">
      <c r="A21" s="60"/>
      <c r="B21" s="61" t="s">
        <v>150</v>
      </c>
      <c r="C21" s="66" t="str">
        <f t="shared" si="11"/>
        <v>光纤，华信藤仓，1芯，G657A1</v>
      </c>
      <c r="D21" s="66">
        <f>'xxxx成本价格-xxx'!D6+0.5</f>
        <v>1.5</v>
      </c>
      <c r="E21" s="65">
        <v>0.1</v>
      </c>
      <c r="F21" s="67">
        <v>0.1</v>
      </c>
      <c r="G21" s="161">
        <f>VLOOKUP(C21,材料价格!B:D,3,0)</f>
        <v>0.0309734513274336</v>
      </c>
      <c r="H21" s="69">
        <f t="shared" si="7"/>
        <v>1.55</v>
      </c>
      <c r="I21" s="69">
        <v>1</v>
      </c>
      <c r="J21" s="67">
        <v>0.18</v>
      </c>
      <c r="K21" s="106">
        <f t="shared" si="8"/>
        <v>0.07</v>
      </c>
      <c r="L21" s="68">
        <f t="shared" si="9"/>
        <v>0.248008849557522</v>
      </c>
      <c r="M21" s="68">
        <f t="shared" si="10"/>
        <v>0.498008849557522</v>
      </c>
      <c r="N21" s="167">
        <v>0.99</v>
      </c>
      <c r="O21" s="167">
        <v>0.96</v>
      </c>
      <c r="P21" s="108">
        <f t="shared" si="12"/>
        <v>0.503039241977295</v>
      </c>
    </row>
    <row r="22" ht="15.6" spans="1:16">
      <c r="A22" s="60"/>
      <c r="B22" s="61" t="s">
        <v>151</v>
      </c>
      <c r="C22" s="66" t="str">
        <f t="shared" si="11"/>
        <v>光纤，华信藤仓，1芯，G657A1</v>
      </c>
      <c r="D22" s="66">
        <f>'xxxx成本价格-xxx'!D7+0.5</f>
        <v>1.5</v>
      </c>
      <c r="E22" s="65">
        <v>0.1</v>
      </c>
      <c r="F22" s="67">
        <v>0.1</v>
      </c>
      <c r="G22" s="161">
        <f>VLOOKUP(C22,材料价格!B:D,3,0)</f>
        <v>0.0309734513274336</v>
      </c>
      <c r="H22" s="69">
        <f t="shared" si="7"/>
        <v>1.55</v>
      </c>
      <c r="I22" s="69">
        <v>1</v>
      </c>
      <c r="J22" s="67">
        <v>0.18</v>
      </c>
      <c r="K22" s="106">
        <f t="shared" si="8"/>
        <v>0.07</v>
      </c>
      <c r="L22" s="68">
        <f t="shared" si="9"/>
        <v>0.248008849557522</v>
      </c>
      <c r="M22" s="68">
        <f t="shared" si="10"/>
        <v>0.498008849557522</v>
      </c>
      <c r="N22" s="167">
        <v>0.99</v>
      </c>
      <c r="O22" s="167">
        <v>0.96</v>
      </c>
      <c r="P22" s="108">
        <f t="shared" si="12"/>
        <v>0.503039241977295</v>
      </c>
    </row>
    <row r="23" ht="15.6" spans="1:16">
      <c r="A23" s="60"/>
      <c r="B23" s="61" t="s">
        <v>152</v>
      </c>
      <c r="C23" s="66" t="str">
        <f t="shared" si="11"/>
        <v>光纤，华信藤仓，1芯，G657A1</v>
      </c>
      <c r="D23" s="66">
        <f>'xxxx成本价格-xxx'!D8+0.5</f>
        <v>1.5</v>
      </c>
      <c r="E23" s="65">
        <v>0.1</v>
      </c>
      <c r="F23" s="67">
        <v>0.1</v>
      </c>
      <c r="G23" s="161">
        <f>VLOOKUP(C23,材料价格!B:D,3,0)</f>
        <v>0.0309734513274336</v>
      </c>
      <c r="H23" s="69">
        <f t="shared" si="7"/>
        <v>1.55</v>
      </c>
      <c r="I23" s="69">
        <v>1</v>
      </c>
      <c r="J23" s="67">
        <v>0.18</v>
      </c>
      <c r="K23" s="106">
        <f t="shared" si="8"/>
        <v>0.07</v>
      </c>
      <c r="L23" s="68">
        <f t="shared" si="9"/>
        <v>0.248008849557522</v>
      </c>
      <c r="M23" s="68">
        <f t="shared" si="10"/>
        <v>0.498008849557522</v>
      </c>
      <c r="N23" s="167">
        <v>0.99</v>
      </c>
      <c r="O23" s="167">
        <v>0.96</v>
      </c>
      <c r="P23" s="108">
        <f t="shared" si="12"/>
        <v>0.503039241977295</v>
      </c>
    </row>
    <row r="24" ht="15.6" spans="1:16">
      <c r="A24" s="60"/>
      <c r="B24" s="61" t="s">
        <v>153</v>
      </c>
      <c r="C24" s="66" t="str">
        <f t="shared" si="11"/>
        <v>光纤，华信藤仓，1芯，G657A1</v>
      </c>
      <c r="D24" s="66">
        <f>'xxxx成本价格-xxx'!D9+0.5</f>
        <v>1.5</v>
      </c>
      <c r="E24" s="68">
        <v>0.22</v>
      </c>
      <c r="F24" s="67">
        <v>0.153854418540247</v>
      </c>
      <c r="G24" s="161">
        <f>VLOOKUP(C24,材料价格!B:D,3,0)</f>
        <v>0.0309734513274336</v>
      </c>
      <c r="H24" s="69">
        <f t="shared" si="7"/>
        <v>1.55</v>
      </c>
      <c r="I24" s="69">
        <v>2</v>
      </c>
      <c r="J24" s="67">
        <v>0.4732</v>
      </c>
      <c r="K24" s="106">
        <f t="shared" ref="K24:K29" si="13">0.3*0.7</f>
        <v>0.21</v>
      </c>
      <c r="L24" s="68">
        <f t="shared" si="9"/>
        <v>0.469872117655291</v>
      </c>
      <c r="M24" s="68">
        <f t="shared" si="10"/>
        <v>1.15307211765529</v>
      </c>
      <c r="N24" s="167">
        <v>0.96</v>
      </c>
      <c r="O24" s="167">
        <v>0.94</v>
      </c>
      <c r="P24" s="108">
        <f t="shared" si="12"/>
        <v>1.20111678922426</v>
      </c>
    </row>
    <row r="25" ht="15.6" spans="1:16">
      <c r="A25" s="60"/>
      <c r="B25" s="61" t="s">
        <v>154</v>
      </c>
      <c r="C25" s="66" t="str">
        <f t="shared" si="11"/>
        <v>光纤，华信藤仓，1芯，G657A1</v>
      </c>
      <c r="D25" s="66">
        <f>'xxxx成本价格-xxx'!D10+0.5</f>
        <v>1.5</v>
      </c>
      <c r="E25" s="68">
        <v>0.22</v>
      </c>
      <c r="F25" s="67">
        <v>0.153854418540247</v>
      </c>
      <c r="G25" s="161">
        <f>VLOOKUP(C25,材料价格!B:D,3,0)</f>
        <v>0.0309734513274336</v>
      </c>
      <c r="H25" s="69">
        <f t="shared" si="7"/>
        <v>1.55</v>
      </c>
      <c r="I25" s="69">
        <v>2</v>
      </c>
      <c r="J25" s="67">
        <v>0.4732</v>
      </c>
      <c r="K25" s="106">
        <f t="shared" si="13"/>
        <v>0.21</v>
      </c>
      <c r="L25" s="68">
        <f t="shared" si="9"/>
        <v>0.469872117655291</v>
      </c>
      <c r="M25" s="68">
        <f t="shared" si="10"/>
        <v>1.15307211765529</v>
      </c>
      <c r="N25" s="167">
        <v>0.96</v>
      </c>
      <c r="O25" s="167">
        <v>0.94</v>
      </c>
      <c r="P25" s="108">
        <f t="shared" si="12"/>
        <v>1.20111678922426</v>
      </c>
    </row>
    <row r="26" ht="15.6" spans="1:16">
      <c r="A26" s="60"/>
      <c r="B26" s="61" t="s">
        <v>155</v>
      </c>
      <c r="C26" s="66" t="str">
        <f t="shared" si="11"/>
        <v>光纤，华信藤仓，1芯，G657A1</v>
      </c>
      <c r="D26" s="66">
        <f>'xxxx成本价格-xxx'!D11+0.5</f>
        <v>1.5</v>
      </c>
      <c r="E26" s="68">
        <v>0.22</v>
      </c>
      <c r="F26" s="67">
        <v>0.153854418540247</v>
      </c>
      <c r="G26" s="161">
        <f>VLOOKUP(C26,材料价格!B:D,3,0)</f>
        <v>0.0309734513274336</v>
      </c>
      <c r="H26" s="69">
        <f t="shared" si="7"/>
        <v>1.55</v>
      </c>
      <c r="I26" s="69">
        <v>2</v>
      </c>
      <c r="J26" s="67">
        <v>0.4732</v>
      </c>
      <c r="K26" s="106">
        <f t="shared" si="13"/>
        <v>0.21</v>
      </c>
      <c r="L26" s="68">
        <f t="shared" si="9"/>
        <v>0.469872117655291</v>
      </c>
      <c r="M26" s="68">
        <f t="shared" si="10"/>
        <v>1.15307211765529</v>
      </c>
      <c r="N26" s="167">
        <v>0.96</v>
      </c>
      <c r="O26" s="167">
        <v>0.94</v>
      </c>
      <c r="P26" s="108">
        <f t="shared" si="12"/>
        <v>1.20111678922426</v>
      </c>
    </row>
    <row r="27" ht="15.6" spans="1:16">
      <c r="A27" s="60"/>
      <c r="B27" s="61" t="s">
        <v>156</v>
      </c>
      <c r="C27" s="66" t="str">
        <f t="shared" si="11"/>
        <v>光纤，华信藤仓，1芯，G657A1</v>
      </c>
      <c r="D27" s="66">
        <f>'xxxx成本价格-xxx'!D12+0.5</f>
        <v>1.5</v>
      </c>
      <c r="E27" s="68">
        <v>0.22</v>
      </c>
      <c r="F27" s="67">
        <v>0.153854418540247</v>
      </c>
      <c r="G27" s="161">
        <f>VLOOKUP(C27,材料价格!B:D,3,0)</f>
        <v>0.0309734513274336</v>
      </c>
      <c r="H27" s="69">
        <f t="shared" si="7"/>
        <v>1.55</v>
      </c>
      <c r="I27" s="69">
        <v>2</v>
      </c>
      <c r="J27" s="67">
        <v>0.4732</v>
      </c>
      <c r="K27" s="106">
        <f t="shared" si="13"/>
        <v>0.21</v>
      </c>
      <c r="L27" s="68">
        <f t="shared" si="9"/>
        <v>0.469872117655291</v>
      </c>
      <c r="M27" s="68">
        <f t="shared" si="10"/>
        <v>1.15307211765529</v>
      </c>
      <c r="N27" s="167">
        <v>0.96</v>
      </c>
      <c r="O27" s="167">
        <v>0.94</v>
      </c>
      <c r="P27" s="108">
        <f t="shared" si="12"/>
        <v>1.20111678922426</v>
      </c>
    </row>
    <row r="28" ht="15.6" spans="1:16">
      <c r="A28" s="60"/>
      <c r="B28" s="61" t="s">
        <v>157</v>
      </c>
      <c r="C28" s="66" t="str">
        <f t="shared" si="11"/>
        <v>光纤，华信藤仓，1芯，G657A1</v>
      </c>
      <c r="D28" s="66">
        <f>'xxxx成本价格-xxx'!D13+0.5</f>
        <v>1.5</v>
      </c>
      <c r="E28" s="68">
        <v>0.22</v>
      </c>
      <c r="F28" s="67">
        <v>0.153854418540247</v>
      </c>
      <c r="G28" s="161">
        <f>VLOOKUP(C28,材料价格!B:D,3,0)</f>
        <v>0.0309734513274336</v>
      </c>
      <c r="H28" s="69">
        <f t="shared" si="7"/>
        <v>1.55</v>
      </c>
      <c r="I28" s="69">
        <v>2</v>
      </c>
      <c r="J28" s="67">
        <v>0.4732</v>
      </c>
      <c r="K28" s="106">
        <f t="shared" si="13"/>
        <v>0.21</v>
      </c>
      <c r="L28" s="68">
        <f t="shared" si="9"/>
        <v>0.469872117655291</v>
      </c>
      <c r="M28" s="68">
        <f t="shared" si="10"/>
        <v>1.15307211765529</v>
      </c>
      <c r="N28" s="167">
        <v>0.96</v>
      </c>
      <c r="O28" s="167">
        <v>0.94</v>
      </c>
      <c r="P28" s="108">
        <f t="shared" si="12"/>
        <v>1.20111678922426</v>
      </c>
    </row>
    <row r="29" ht="15.6" spans="1:16">
      <c r="A29" s="60"/>
      <c r="B29" s="61" t="s">
        <v>158</v>
      </c>
      <c r="C29" s="66" t="str">
        <f t="shared" si="11"/>
        <v>光纤，华信藤仓，1芯，G657A1</v>
      </c>
      <c r="D29" s="66">
        <f>'xxxx成本价格-xxx'!D14+0.5</f>
        <v>1.5</v>
      </c>
      <c r="E29" s="68">
        <v>0.22</v>
      </c>
      <c r="F29" s="67">
        <v>0.153854418540247</v>
      </c>
      <c r="G29" s="161">
        <f>VLOOKUP(C29,材料价格!B:D,3,0)</f>
        <v>0.0309734513274336</v>
      </c>
      <c r="H29" s="69">
        <f t="shared" si="7"/>
        <v>1.55</v>
      </c>
      <c r="I29" s="69">
        <v>2</v>
      </c>
      <c r="J29" s="67">
        <v>0.4732</v>
      </c>
      <c r="K29" s="106">
        <f t="shared" si="13"/>
        <v>0.21</v>
      </c>
      <c r="L29" s="68">
        <f t="shared" si="9"/>
        <v>0.469872117655291</v>
      </c>
      <c r="M29" s="68">
        <f t="shared" si="10"/>
        <v>1.15307211765529</v>
      </c>
      <c r="N29" s="167">
        <v>0.96</v>
      </c>
      <c r="O29" s="167">
        <v>0.94</v>
      </c>
      <c r="P29" s="108">
        <f t="shared" si="12"/>
        <v>1.20111678922426</v>
      </c>
    </row>
    <row r="30" customFormat="1" spans="1:17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</row>
    <row r="31" customFormat="1" spans="1:16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</row>
    <row r="32" customFormat="1" spans="1:16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</row>
    <row r="33" ht="17.4" spans="1:19">
      <c r="A33" s="162" t="s">
        <v>53</v>
      </c>
      <c r="B33" s="63" t="s">
        <v>97</v>
      </c>
      <c r="C33" s="63"/>
      <c r="D33" s="63"/>
      <c r="E33" s="71" t="s">
        <v>98</v>
      </c>
      <c r="F33" s="71"/>
      <c r="G33" s="71"/>
      <c r="H33" s="72"/>
      <c r="I33" s="71"/>
      <c r="J33" s="71"/>
      <c r="K33" s="71"/>
      <c r="L33" s="71"/>
      <c r="M33" s="71"/>
      <c r="N33" s="71"/>
      <c r="O33" s="71"/>
      <c r="P33" s="109" t="s">
        <v>81</v>
      </c>
      <c r="Q33" s="124"/>
      <c r="R33" s="124"/>
      <c r="S33" s="124"/>
    </row>
    <row r="34" ht="17.4" spans="1:19">
      <c r="A34" s="162"/>
      <c r="B34" s="63"/>
      <c r="C34" s="63"/>
      <c r="D34" s="63" t="s">
        <v>78</v>
      </c>
      <c r="E34" s="63"/>
      <c r="F34" s="63"/>
      <c r="G34" s="63"/>
      <c r="H34" s="74"/>
      <c r="I34" s="63"/>
      <c r="J34" s="71" t="s">
        <v>49</v>
      </c>
      <c r="K34" s="71" t="s">
        <v>79</v>
      </c>
      <c r="L34" s="71"/>
      <c r="M34" s="71"/>
      <c r="N34" s="71"/>
      <c r="O34" s="102"/>
      <c r="P34" s="110"/>
      <c r="Q34" s="102"/>
      <c r="R34" s="125"/>
      <c r="S34" s="126"/>
    </row>
    <row r="35" spans="1:19">
      <c r="A35" s="162"/>
      <c r="B35" s="66" t="s">
        <v>1</v>
      </c>
      <c r="C35" s="66" t="s">
        <v>77</v>
      </c>
      <c r="D35" s="64" t="s">
        <v>99</v>
      </c>
      <c r="E35" s="65" t="s">
        <v>100</v>
      </c>
      <c r="F35" s="65" t="s">
        <v>85</v>
      </c>
      <c r="G35" s="65" t="s">
        <v>101</v>
      </c>
      <c r="H35" s="75" t="s">
        <v>102</v>
      </c>
      <c r="I35" s="65" t="s">
        <v>88</v>
      </c>
      <c r="J35" s="68" t="s">
        <v>89</v>
      </c>
      <c r="K35" s="65" t="s">
        <v>90</v>
      </c>
      <c r="L35" s="65" t="s">
        <v>103</v>
      </c>
      <c r="M35" s="65" t="s">
        <v>89</v>
      </c>
      <c r="N35" s="65" t="s">
        <v>64</v>
      </c>
      <c r="O35" s="65" t="s">
        <v>93</v>
      </c>
      <c r="P35" s="111" t="s">
        <v>104</v>
      </c>
      <c r="Q35" s="65"/>
      <c r="R35" s="125"/>
      <c r="S35" s="126"/>
    </row>
    <row r="36" spans="1:19">
      <c r="A36" s="162"/>
      <c r="B36" s="66" t="s">
        <v>105</v>
      </c>
      <c r="C36" s="66" t="str">
        <f>'xxxx成本价格-xxx'!C3</f>
        <v>光纤，华信藤仓，1芯，G657A1</v>
      </c>
      <c r="D36" s="64">
        <f>'xxxx成本价格-xxx'!E3+0.5</f>
        <v>1.5</v>
      </c>
      <c r="E36" s="68">
        <v>0.22</v>
      </c>
      <c r="F36" s="68">
        <v>0.153854418540247</v>
      </c>
      <c r="G36" s="68">
        <f>VLOOKUP(C36,材料价格!B:E,3,0)</f>
        <v>0.0309734513274336</v>
      </c>
      <c r="H36" s="75">
        <f t="shared" ref="H36:H48" si="14">D36+0.05</f>
        <v>1.55</v>
      </c>
      <c r="I36" s="65">
        <v>2</v>
      </c>
      <c r="J36" s="68">
        <v>0.4806</v>
      </c>
      <c r="K36" s="156">
        <f t="shared" ref="K36:K38" si="15">0.3*0.7</f>
        <v>0.21</v>
      </c>
      <c r="L36" s="68">
        <f t="shared" ref="L36:L48" si="16">E36+F36+H36*I36*G36</f>
        <v>0.469872117655291</v>
      </c>
      <c r="M36" s="68">
        <f t="shared" ref="M36:M48" si="17">J36</f>
        <v>0.4806</v>
      </c>
      <c r="N36" s="68">
        <f t="shared" ref="N36:N47" si="18">K36+L36+M36</f>
        <v>1.16047211765529</v>
      </c>
      <c r="O36" s="107">
        <v>0.96</v>
      </c>
      <c r="P36" s="114">
        <f t="shared" ref="P36:P48" si="19">N36/O36</f>
        <v>1.20882512255759</v>
      </c>
      <c r="Q36" s="68"/>
      <c r="R36" s="127"/>
      <c r="S36" s="126"/>
    </row>
    <row r="37" spans="1:19">
      <c r="A37" s="162"/>
      <c r="B37" s="66" t="s">
        <v>106</v>
      </c>
      <c r="C37" s="66" t="str">
        <f>'xxxx成本价格-xxx'!C4</f>
        <v>光纤，华信藤仓，4芯，G657A1，灰白红黑</v>
      </c>
      <c r="D37" s="64">
        <f>'xxxx成本价格-xxx'!E4+0.5</f>
        <v>1.5</v>
      </c>
      <c r="E37" s="68">
        <v>0.22</v>
      </c>
      <c r="F37" s="68">
        <v>0.153854418540247</v>
      </c>
      <c r="G37" s="68">
        <f>VLOOKUP(C37,材料价格!B:E,3,0)</f>
        <v>0.230088495575221</v>
      </c>
      <c r="H37" s="75">
        <f t="shared" si="14"/>
        <v>1.55</v>
      </c>
      <c r="I37" s="65">
        <v>1</v>
      </c>
      <c r="J37" s="68">
        <v>0.4195</v>
      </c>
      <c r="K37" s="156">
        <f t="shared" si="15"/>
        <v>0.21</v>
      </c>
      <c r="L37" s="68">
        <f t="shared" si="16"/>
        <v>0.73049158668184</v>
      </c>
      <c r="M37" s="68">
        <f t="shared" si="17"/>
        <v>0.4195</v>
      </c>
      <c r="N37" s="68">
        <f t="shared" si="18"/>
        <v>1.35999158668184</v>
      </c>
      <c r="O37" s="107">
        <v>0.97</v>
      </c>
      <c r="P37" s="114">
        <f t="shared" si="19"/>
        <v>1.40205318214623</v>
      </c>
      <c r="Q37" s="68"/>
      <c r="R37" s="127"/>
      <c r="S37" s="126"/>
    </row>
    <row r="38" spans="1:19">
      <c r="A38" s="162"/>
      <c r="B38" s="66" t="s">
        <v>107</v>
      </c>
      <c r="C38" s="66" t="str">
        <f>'xxxx成本价格-xxx'!C5</f>
        <v>光纤，华信藤仓，4芯，G657A1</v>
      </c>
      <c r="D38" s="64">
        <f>'xxxx成本价格-xxx'!E5+0.5</f>
        <v>1.5</v>
      </c>
      <c r="E38" s="68">
        <v>0.22</v>
      </c>
      <c r="F38" s="68">
        <v>0.169454418540247</v>
      </c>
      <c r="G38" s="68">
        <f>VLOOKUP(C38,材料价格!B:E,3,0)</f>
        <v>0.230088495575221</v>
      </c>
      <c r="H38" s="75">
        <f t="shared" si="14"/>
        <v>1.55</v>
      </c>
      <c r="I38" s="65">
        <v>2</v>
      </c>
      <c r="J38" s="68">
        <v>0.454</v>
      </c>
      <c r="K38" s="156">
        <f t="shared" si="15"/>
        <v>0.21</v>
      </c>
      <c r="L38" s="68">
        <f t="shared" si="16"/>
        <v>1.10272875482343</v>
      </c>
      <c r="M38" s="68">
        <f t="shared" si="17"/>
        <v>0.454</v>
      </c>
      <c r="N38" s="68">
        <f t="shared" si="18"/>
        <v>1.76672875482343</v>
      </c>
      <c r="O38" s="107">
        <v>0.97</v>
      </c>
      <c r="P38" s="114">
        <f t="shared" si="19"/>
        <v>1.82136985033344</v>
      </c>
      <c r="Q38" s="68"/>
      <c r="R38" s="127"/>
      <c r="S38" s="126"/>
    </row>
    <row r="39" spans="1:19">
      <c r="A39" s="162"/>
      <c r="B39" s="66" t="s">
        <v>108</v>
      </c>
      <c r="C39" s="66" t="str">
        <f>'xxxx成本价格-xxx'!C6</f>
        <v>光纤，康宁，8芯，G657A1 Ultra，华信藤仓并带</v>
      </c>
      <c r="D39" s="64">
        <f>'xxxx成本价格-xxx'!E6+0.5</f>
        <v>1.5</v>
      </c>
      <c r="E39" s="68">
        <v>0.664</v>
      </c>
      <c r="F39" s="68">
        <v>0.192538418540247</v>
      </c>
      <c r="G39" s="68">
        <f>VLOOKUP(C39,材料价格!B:E,3,0)</f>
        <v>1.00884955752212</v>
      </c>
      <c r="H39" s="75">
        <f t="shared" si="14"/>
        <v>1.55</v>
      </c>
      <c r="I39" s="65">
        <v>2</v>
      </c>
      <c r="J39" s="68">
        <v>0.5596</v>
      </c>
      <c r="K39" s="157">
        <f>0.45*0.7</f>
        <v>0.315</v>
      </c>
      <c r="L39" s="68">
        <f t="shared" si="16"/>
        <v>3.98397204685883</v>
      </c>
      <c r="M39" s="68">
        <f t="shared" si="17"/>
        <v>0.5596</v>
      </c>
      <c r="N39" s="68">
        <f t="shared" si="18"/>
        <v>4.85857204685883</v>
      </c>
      <c r="O39" s="107">
        <v>0.95</v>
      </c>
      <c r="P39" s="114">
        <f t="shared" si="19"/>
        <v>5.11428636511456</v>
      </c>
      <c r="Q39" s="68"/>
      <c r="R39" s="127"/>
      <c r="S39" s="126"/>
    </row>
    <row r="40" spans="1:19">
      <c r="A40" s="162"/>
      <c r="B40" s="66" t="s">
        <v>109</v>
      </c>
      <c r="C40" s="66" t="str">
        <f>'xxxx成本价格-xxx'!C7</f>
        <v>光纤，康宁，8芯，G657A1 Ultra，华信藤仓并带</v>
      </c>
      <c r="D40" s="64">
        <f>'xxxx成本价格-xxx'!E7+0.5</f>
        <v>1.5</v>
      </c>
      <c r="E40" s="68">
        <v>1.681</v>
      </c>
      <c r="F40" s="68">
        <v>0.338909418540247</v>
      </c>
      <c r="G40" s="68">
        <f>VLOOKUP(C40,材料价格!B:E,3,0)</f>
        <v>1.00884955752212</v>
      </c>
      <c r="H40" s="75">
        <f t="shared" si="14"/>
        <v>1.55</v>
      </c>
      <c r="I40" s="65">
        <v>4</v>
      </c>
      <c r="J40" s="68">
        <v>0.9844</v>
      </c>
      <c r="K40" s="157">
        <f>0.67*0.7</f>
        <v>0.469</v>
      </c>
      <c r="L40" s="68">
        <f t="shared" si="16"/>
        <v>8.27477667517742</v>
      </c>
      <c r="M40" s="68">
        <f t="shared" si="17"/>
        <v>0.9844</v>
      </c>
      <c r="N40" s="68">
        <f t="shared" si="18"/>
        <v>9.72817667517742</v>
      </c>
      <c r="O40" s="107">
        <v>0.93</v>
      </c>
      <c r="P40" s="114">
        <f t="shared" si="19"/>
        <v>10.4604050270725</v>
      </c>
      <c r="Q40" s="68"/>
      <c r="R40" s="127"/>
      <c r="S40" s="126"/>
    </row>
    <row r="41" spans="1:19">
      <c r="A41" s="162"/>
      <c r="B41" s="66" t="s">
        <v>110</v>
      </c>
      <c r="C41" s="66" t="str">
        <f>'xxxx成本价格-xxx'!C8</f>
        <v>光纤，康宁，8芯，G657A1 Ultra，华信藤仓并带</v>
      </c>
      <c r="D41" s="64">
        <f>'xxxx成本价格-xxx'!E8+0.5</f>
        <v>1.5</v>
      </c>
      <c r="E41" s="68">
        <v>7.788</v>
      </c>
      <c r="F41" s="68">
        <v>0.630055418540247</v>
      </c>
      <c r="G41" s="68">
        <f>VLOOKUP(C41,材料价格!B:E,3,0)</f>
        <v>1.00884955752212</v>
      </c>
      <c r="H41" s="75">
        <f t="shared" si="14"/>
        <v>1.55</v>
      </c>
      <c r="I41" s="65">
        <v>8</v>
      </c>
      <c r="J41" s="68">
        <v>2.6165</v>
      </c>
      <c r="K41" s="157">
        <f>1.12*0.7</f>
        <v>0.784</v>
      </c>
      <c r="L41" s="68">
        <f t="shared" si="16"/>
        <v>20.9277899318146</v>
      </c>
      <c r="M41" s="68">
        <f t="shared" si="17"/>
        <v>2.6165</v>
      </c>
      <c r="N41" s="68">
        <f t="shared" si="18"/>
        <v>24.3282899318146</v>
      </c>
      <c r="O41" s="107">
        <v>0.83</v>
      </c>
      <c r="P41" s="114">
        <f t="shared" si="19"/>
        <v>29.3111926889332</v>
      </c>
      <c r="Q41" s="68"/>
      <c r="R41" s="127"/>
      <c r="S41" s="126"/>
    </row>
    <row r="42" spans="1:19">
      <c r="A42" s="162"/>
      <c r="B42" s="66" t="s">
        <v>105</v>
      </c>
      <c r="C42" s="66" t="str">
        <f>'xxxx成本价格-xxx'!C9</f>
        <v>光纤，康宁，1芯，G657A1 Ultra</v>
      </c>
      <c r="D42" s="64">
        <f>'xxxx成本价格-xxx'!E9+0.5</f>
        <v>1.5</v>
      </c>
      <c r="E42" s="68">
        <v>0.22</v>
      </c>
      <c r="F42" s="68">
        <v>0.153854418540247</v>
      </c>
      <c r="G42" s="68">
        <f>VLOOKUP(C42,材料价格!B:E,3,0)</f>
        <v>0.110619469026549</v>
      </c>
      <c r="H42" s="75">
        <f t="shared" si="14"/>
        <v>1.55</v>
      </c>
      <c r="I42" s="65">
        <v>2</v>
      </c>
      <c r="J42" s="68">
        <v>0.4806</v>
      </c>
      <c r="K42" s="156">
        <f t="shared" ref="K42:K44" si="20">0.3*0.7</f>
        <v>0.21</v>
      </c>
      <c r="L42" s="68">
        <f t="shared" si="16"/>
        <v>0.716774772522548</v>
      </c>
      <c r="M42" s="68">
        <f t="shared" si="17"/>
        <v>0.4806</v>
      </c>
      <c r="N42" s="68">
        <f t="shared" si="18"/>
        <v>1.40737477252255</v>
      </c>
      <c r="O42" s="107">
        <v>0.96</v>
      </c>
      <c r="P42" s="114">
        <f t="shared" si="19"/>
        <v>1.46601538804432</v>
      </c>
      <c r="Q42" s="68"/>
      <c r="R42" s="127"/>
      <c r="S42" s="126"/>
    </row>
    <row r="43" spans="1:19">
      <c r="A43" s="162"/>
      <c r="B43" s="66" t="s">
        <v>106</v>
      </c>
      <c r="C43" s="66" t="str">
        <f>'xxxx成本价格-xxx'!C10</f>
        <v>光纤，康宁，4芯，康宁G657A1,蓝橙绿棕</v>
      </c>
      <c r="D43" s="64">
        <f>'xxxx成本价格-xxx'!E10+0.5</f>
        <v>1.5</v>
      </c>
      <c r="E43" s="68">
        <v>0.22</v>
      </c>
      <c r="F43" s="68">
        <v>0.153854418540247</v>
      </c>
      <c r="G43" s="68">
        <f>VLOOKUP(C43,材料价格!B:E,3,0)</f>
        <v>0.336283185840708</v>
      </c>
      <c r="H43" s="75">
        <f t="shared" si="14"/>
        <v>1.55</v>
      </c>
      <c r="I43" s="65">
        <v>1</v>
      </c>
      <c r="J43" s="68">
        <v>0.4195</v>
      </c>
      <c r="K43" s="156">
        <f t="shared" si="20"/>
        <v>0.21</v>
      </c>
      <c r="L43" s="68">
        <f t="shared" si="16"/>
        <v>0.895093356593344</v>
      </c>
      <c r="M43" s="68">
        <f t="shared" si="17"/>
        <v>0.4195</v>
      </c>
      <c r="N43" s="68">
        <f t="shared" si="18"/>
        <v>1.52459335659334</v>
      </c>
      <c r="O43" s="107">
        <v>0.97</v>
      </c>
      <c r="P43" s="114">
        <f t="shared" si="19"/>
        <v>1.57174572844675</v>
      </c>
      <c r="Q43" s="68"/>
      <c r="R43" s="127"/>
      <c r="S43" s="126"/>
    </row>
    <row r="44" spans="1:19">
      <c r="A44" s="162"/>
      <c r="B44" s="66" t="s">
        <v>107</v>
      </c>
      <c r="C44" s="66" t="str">
        <f>'xxxx成本价格-xxx'!C11</f>
        <v>光纤，康宁，4芯，康宁G657A1,蓝橙绿棕</v>
      </c>
      <c r="D44" s="64">
        <f>'xxxx成本价格-xxx'!E11+0.5</f>
        <v>1.5</v>
      </c>
      <c r="E44" s="68">
        <v>0.22</v>
      </c>
      <c r="F44" s="68">
        <v>0.169454418540247</v>
      </c>
      <c r="G44" s="68">
        <f>VLOOKUP(C44,材料价格!B:E,3,0)</f>
        <v>0.336283185840708</v>
      </c>
      <c r="H44" s="75">
        <f t="shared" si="14"/>
        <v>1.55</v>
      </c>
      <c r="I44" s="65">
        <v>2</v>
      </c>
      <c r="J44" s="68">
        <v>0.454</v>
      </c>
      <c r="K44" s="156">
        <f t="shared" si="20"/>
        <v>0.21</v>
      </c>
      <c r="L44" s="68">
        <f t="shared" si="16"/>
        <v>1.43193229464644</v>
      </c>
      <c r="M44" s="68">
        <f t="shared" si="17"/>
        <v>0.454</v>
      </c>
      <c r="N44" s="68">
        <f t="shared" si="18"/>
        <v>2.09593229464644</v>
      </c>
      <c r="O44" s="107">
        <v>0.97</v>
      </c>
      <c r="P44" s="114">
        <f t="shared" si="19"/>
        <v>2.16075494293448</v>
      </c>
      <c r="Q44" s="68"/>
      <c r="R44" s="127"/>
      <c r="S44" s="126"/>
    </row>
    <row r="45" spans="1:19">
      <c r="A45" s="162"/>
      <c r="B45" s="66" t="s">
        <v>108</v>
      </c>
      <c r="C45" s="66" t="str">
        <f>'xxxx成本价格-xxx'!C12</f>
        <v>光纤，康宁，8芯，G657A1 Ultra，华信藤仓并带</v>
      </c>
      <c r="D45" s="64">
        <f>'xxxx成本价格-xxx'!E12+0.5</f>
        <v>1.5</v>
      </c>
      <c r="E45" s="68">
        <v>0.664</v>
      </c>
      <c r="F45" s="68">
        <v>0.192538418540247</v>
      </c>
      <c r="G45" s="68">
        <f>VLOOKUP(C45,材料价格!B:E,3,0)</f>
        <v>1.00884955752212</v>
      </c>
      <c r="H45" s="75">
        <f t="shared" si="14"/>
        <v>1.55</v>
      </c>
      <c r="I45" s="65">
        <v>2</v>
      </c>
      <c r="J45" s="68">
        <v>0.5596</v>
      </c>
      <c r="K45" s="157">
        <f>0.45*0.7</f>
        <v>0.315</v>
      </c>
      <c r="L45" s="68">
        <f t="shared" si="16"/>
        <v>3.98397204685883</v>
      </c>
      <c r="M45" s="68">
        <f t="shared" si="17"/>
        <v>0.5596</v>
      </c>
      <c r="N45" s="68">
        <f t="shared" si="18"/>
        <v>4.85857204685883</v>
      </c>
      <c r="O45" s="107">
        <v>0.95</v>
      </c>
      <c r="P45" s="114">
        <f t="shared" si="19"/>
        <v>5.11428636511456</v>
      </c>
      <c r="Q45" s="68"/>
      <c r="R45" s="127"/>
      <c r="S45" s="126"/>
    </row>
    <row r="46" spans="1:19">
      <c r="A46" s="162"/>
      <c r="B46" s="66" t="s">
        <v>109</v>
      </c>
      <c r="C46" s="66" t="str">
        <f>'xxxx成本价格-xxx'!C13</f>
        <v>光纤，康宁，8芯，G657A1 Ultra，华信藤仓并带</v>
      </c>
      <c r="D46" s="64">
        <f>'xxxx成本价格-xxx'!E13+0.5</f>
        <v>1.5</v>
      </c>
      <c r="E46" s="68">
        <v>1.681</v>
      </c>
      <c r="F46" s="68">
        <v>0.338909418540247</v>
      </c>
      <c r="G46" s="68">
        <f>VLOOKUP(C46,材料价格!B:E,3,0)</f>
        <v>1.00884955752212</v>
      </c>
      <c r="H46" s="75">
        <f t="shared" si="14"/>
        <v>1.55</v>
      </c>
      <c r="I46" s="65">
        <v>4</v>
      </c>
      <c r="J46" s="68">
        <v>0.9844</v>
      </c>
      <c r="K46" s="157">
        <f>0.67*0.7</f>
        <v>0.469</v>
      </c>
      <c r="L46" s="68">
        <f t="shared" si="16"/>
        <v>8.27477667517742</v>
      </c>
      <c r="M46" s="68">
        <f t="shared" si="17"/>
        <v>0.9844</v>
      </c>
      <c r="N46" s="68">
        <f t="shared" si="18"/>
        <v>9.72817667517742</v>
      </c>
      <c r="O46" s="107">
        <v>0.93</v>
      </c>
      <c r="P46" s="114">
        <f t="shared" si="19"/>
        <v>10.4604050270725</v>
      </c>
      <c r="Q46" s="68"/>
      <c r="R46" s="127"/>
      <c r="S46" s="126"/>
    </row>
    <row r="47" spans="1:19">
      <c r="A47" s="162"/>
      <c r="B47" s="66" t="s">
        <v>110</v>
      </c>
      <c r="C47" s="66" t="str">
        <f>'xxxx成本价格-xxx'!C14</f>
        <v>光纤，康宁，8芯，G657A1 Ultra，华信藤仓并带</v>
      </c>
      <c r="D47" s="64">
        <f>'xxxx成本价格-xxx'!E14+0.5</f>
        <v>1.5</v>
      </c>
      <c r="E47" s="68">
        <v>7.788</v>
      </c>
      <c r="F47" s="68">
        <v>0.630055418540247</v>
      </c>
      <c r="G47" s="68">
        <f>VLOOKUP(C47,材料价格!B:E,3,0)</f>
        <v>1.00884955752212</v>
      </c>
      <c r="H47" s="75">
        <f t="shared" si="14"/>
        <v>1.55</v>
      </c>
      <c r="I47" s="65">
        <v>8</v>
      </c>
      <c r="J47" s="68">
        <v>2.6165</v>
      </c>
      <c r="K47" s="157">
        <f>1.12*0.7</f>
        <v>0.784</v>
      </c>
      <c r="L47" s="68">
        <f t="shared" si="16"/>
        <v>20.9277899318146</v>
      </c>
      <c r="M47" s="68">
        <f t="shared" si="17"/>
        <v>2.6165</v>
      </c>
      <c r="N47" s="68">
        <f t="shared" si="18"/>
        <v>24.3282899318146</v>
      </c>
      <c r="O47" s="107">
        <v>0.83</v>
      </c>
      <c r="P47" s="114">
        <f t="shared" si="19"/>
        <v>29.3111926889332</v>
      </c>
      <c r="Q47" s="68"/>
      <c r="R47" s="127"/>
      <c r="S47" s="126"/>
    </row>
    <row r="48" ht="25.8" spans="1:19">
      <c r="A48" s="163"/>
      <c r="B48" s="66" t="s">
        <v>111</v>
      </c>
      <c r="C48" s="78" t="s">
        <v>112</v>
      </c>
      <c r="D48" s="79">
        <v>1</v>
      </c>
      <c r="E48" s="68">
        <v>0.602</v>
      </c>
      <c r="F48" s="67">
        <v>0.32</v>
      </c>
      <c r="G48" s="68">
        <f>VLOOKUP(C48,材料价格!B:E,3,0)</f>
        <v>0.460176991150443</v>
      </c>
      <c r="H48" s="69">
        <f t="shared" si="14"/>
        <v>1.05</v>
      </c>
      <c r="I48" s="69">
        <v>1</v>
      </c>
      <c r="J48" s="158">
        <v>0.4624</v>
      </c>
      <c r="K48" s="159">
        <v>0.45</v>
      </c>
      <c r="L48" s="68">
        <f t="shared" si="16"/>
        <v>1.40518584070796</v>
      </c>
      <c r="M48" s="68">
        <f t="shared" si="17"/>
        <v>0.4624</v>
      </c>
      <c r="N48" s="119">
        <f>J48+L48+K48</f>
        <v>2.31758584070796</v>
      </c>
      <c r="O48" s="120">
        <v>0.97</v>
      </c>
      <c r="P48" s="114">
        <f t="shared" si="19"/>
        <v>2.38926375330718</v>
      </c>
      <c r="Q48" s="128"/>
      <c r="R48" s="129"/>
      <c r="S48" s="130"/>
    </row>
    <row r="49" ht="25.8" spans="1:19">
      <c r="A49" s="163"/>
      <c r="B49" s="66"/>
      <c r="C49" s="66"/>
      <c r="D49" s="66"/>
      <c r="E49" s="68"/>
      <c r="F49" s="67"/>
      <c r="G49" s="161"/>
      <c r="H49" s="164"/>
      <c r="I49" s="164"/>
      <c r="J49" s="168"/>
      <c r="K49" s="164"/>
      <c r="L49" s="169"/>
      <c r="M49" s="169"/>
      <c r="N49" s="170"/>
      <c r="O49" s="171"/>
      <c r="P49" s="170"/>
      <c r="Q49" s="172"/>
      <c r="R49" s="172"/>
      <c r="S49" s="130"/>
    </row>
    <row r="50" spans="1:7">
      <c r="A50" s="81" t="s">
        <v>113</v>
      </c>
      <c r="B50" s="48" t="s">
        <v>51</v>
      </c>
      <c r="C50" s="48" t="s">
        <v>114</v>
      </c>
      <c r="D50" s="82" t="s">
        <v>115</v>
      </c>
      <c r="E50" s="82" t="s">
        <v>116</v>
      </c>
      <c r="F50" s="82" t="s">
        <v>117</v>
      </c>
      <c r="G50" s="82" t="s">
        <v>118</v>
      </c>
    </row>
    <row r="51" spans="1:7">
      <c r="A51" s="81"/>
      <c r="B51" s="51" t="s">
        <v>65</v>
      </c>
      <c r="C51" s="51">
        <v>2</v>
      </c>
      <c r="D51" s="83">
        <v>0.06</v>
      </c>
      <c r="E51" s="82">
        <f>'xxxx成本价格-xxx'!D3+0.08</f>
        <v>1.08</v>
      </c>
      <c r="F51" s="82">
        <f>'xxxx成本价格-xxx'!E3+0.08</f>
        <v>1.08</v>
      </c>
      <c r="G51" s="84">
        <f t="shared" ref="G51:G56" si="21">D51*E51+C51*D51*F51</f>
        <v>0.1944</v>
      </c>
    </row>
    <row r="52" spans="1:7">
      <c r="A52" s="81"/>
      <c r="B52" s="51" t="s">
        <v>66</v>
      </c>
      <c r="C52" s="51">
        <v>4</v>
      </c>
      <c r="D52" s="84">
        <f t="shared" ref="D52:D62" si="22">D51</f>
        <v>0.06</v>
      </c>
      <c r="E52" s="82">
        <f>'xxxx成本价格-xxx'!D4+0.08</f>
        <v>1.08</v>
      </c>
      <c r="F52" s="82">
        <f>'xxxx成本价格-xxx'!E4+0.08</f>
        <v>1.08</v>
      </c>
      <c r="G52" s="84">
        <f t="shared" si="21"/>
        <v>0.324</v>
      </c>
    </row>
    <row r="53" spans="1:7">
      <c r="A53" s="81"/>
      <c r="B53" s="58" t="s">
        <v>119</v>
      </c>
      <c r="C53" s="58">
        <v>8</v>
      </c>
      <c r="D53" s="84">
        <f t="shared" si="22"/>
        <v>0.06</v>
      </c>
      <c r="E53" s="82">
        <f>'xxxx成本价格-xxx'!D5+0.08</f>
        <v>1.08</v>
      </c>
      <c r="F53" s="82">
        <f>'xxxx成本价格-xxx'!E5+0.08</f>
        <v>1.08</v>
      </c>
      <c r="G53" s="84">
        <f t="shared" si="21"/>
        <v>0.5832</v>
      </c>
    </row>
    <row r="54" spans="1:7">
      <c r="A54" s="81"/>
      <c r="B54" s="58" t="s">
        <v>68</v>
      </c>
      <c r="C54" s="58">
        <v>16</v>
      </c>
      <c r="D54" s="84">
        <f t="shared" si="22"/>
        <v>0.06</v>
      </c>
      <c r="E54" s="82">
        <f>'xxxx成本价格-xxx'!D6+0.08</f>
        <v>1.08</v>
      </c>
      <c r="F54" s="82">
        <f>'xxxx成本价格-xxx'!E6+0.08</f>
        <v>1.08</v>
      </c>
      <c r="G54" s="84">
        <f t="shared" si="21"/>
        <v>1.1016</v>
      </c>
    </row>
    <row r="55" spans="1:12">
      <c r="A55" s="81"/>
      <c r="B55" s="51" t="s">
        <v>69</v>
      </c>
      <c r="C55" s="51">
        <v>32</v>
      </c>
      <c r="D55" s="84">
        <f t="shared" si="22"/>
        <v>0.06</v>
      </c>
      <c r="E55" s="82">
        <f>'xxxx成本价格-xxx'!D7+0.08</f>
        <v>1.08</v>
      </c>
      <c r="F55" s="82">
        <f>'xxxx成本价格-xxx'!E7+0.08</f>
        <v>1.08</v>
      </c>
      <c r="G55" s="84">
        <f t="shared" si="21"/>
        <v>2.1384</v>
      </c>
      <c r="L55" s="121"/>
    </row>
    <row r="56" spans="1:12">
      <c r="A56" s="81"/>
      <c r="B56" s="51" t="s">
        <v>70</v>
      </c>
      <c r="C56" s="51">
        <v>64</v>
      </c>
      <c r="D56" s="84">
        <f t="shared" si="22"/>
        <v>0.06</v>
      </c>
      <c r="E56" s="82">
        <f>'xxxx成本价格-xxx'!D8+0.08</f>
        <v>1.08</v>
      </c>
      <c r="F56" s="82">
        <f>'xxxx成本价格-xxx'!E8+0.08</f>
        <v>1.08</v>
      </c>
      <c r="G56" s="84">
        <f t="shared" si="21"/>
        <v>4.212</v>
      </c>
      <c r="L56" s="121"/>
    </row>
    <row r="57" spans="1:12">
      <c r="A57" s="81"/>
      <c r="B57" s="51" t="s">
        <v>71</v>
      </c>
      <c r="C57" s="51">
        <v>2</v>
      </c>
      <c r="D57" s="84">
        <f t="shared" si="22"/>
        <v>0.06</v>
      </c>
      <c r="E57" s="82">
        <f>'xxxx成本价格-xxx'!D9+0.08</f>
        <v>1.08</v>
      </c>
      <c r="F57" s="82">
        <f>'xxxx成本价格-xxx'!E9+0.08</f>
        <v>1.08</v>
      </c>
      <c r="G57" s="84">
        <f t="shared" ref="G57:G62" si="23">D57*E57*2+C57*D57*F57</f>
        <v>0.2592</v>
      </c>
      <c r="L57" s="121"/>
    </row>
    <row r="58" spans="1:12">
      <c r="A58" s="81"/>
      <c r="B58" s="51" t="s">
        <v>72</v>
      </c>
      <c r="C58" s="51">
        <v>4</v>
      </c>
      <c r="D58" s="84">
        <f t="shared" si="22"/>
        <v>0.06</v>
      </c>
      <c r="E58" s="82">
        <f>'xxxx成本价格-xxx'!D10+0.08</f>
        <v>1.08</v>
      </c>
      <c r="F58" s="82">
        <f>'xxxx成本价格-xxx'!E10+0.08</f>
        <v>1.08</v>
      </c>
      <c r="G58" s="84">
        <f t="shared" si="23"/>
        <v>0.3888</v>
      </c>
      <c r="L58" s="121"/>
    </row>
    <row r="59" spans="1:12">
      <c r="A59" s="81"/>
      <c r="B59" s="51" t="s">
        <v>120</v>
      </c>
      <c r="C59" s="51">
        <v>8</v>
      </c>
      <c r="D59" s="84">
        <f t="shared" si="22"/>
        <v>0.06</v>
      </c>
      <c r="E59" s="82">
        <f>'xxxx成本价格-xxx'!D11+0.08</f>
        <v>1.08</v>
      </c>
      <c r="F59" s="82">
        <f>'xxxx成本价格-xxx'!E11+0.08</f>
        <v>1.08</v>
      </c>
      <c r="G59" s="84">
        <f t="shared" si="23"/>
        <v>0.648</v>
      </c>
      <c r="L59" s="121"/>
    </row>
    <row r="60" spans="1:12">
      <c r="A60" s="81"/>
      <c r="B60" s="51" t="s">
        <v>74</v>
      </c>
      <c r="C60" s="51">
        <v>16</v>
      </c>
      <c r="D60" s="84">
        <f t="shared" si="22"/>
        <v>0.06</v>
      </c>
      <c r="E60" s="82">
        <f>'xxxx成本价格-xxx'!D12+0.08</f>
        <v>1.08</v>
      </c>
      <c r="F60" s="82">
        <f>'xxxx成本价格-xxx'!E12+0.08</f>
        <v>1.08</v>
      </c>
      <c r="G60" s="84">
        <f t="shared" si="23"/>
        <v>1.1664</v>
      </c>
      <c r="L60" s="121"/>
    </row>
    <row r="61" spans="1:12">
      <c r="A61" s="81"/>
      <c r="B61" s="51" t="s">
        <v>75</v>
      </c>
      <c r="C61" s="51">
        <v>32</v>
      </c>
      <c r="D61" s="84">
        <f t="shared" si="22"/>
        <v>0.06</v>
      </c>
      <c r="E61" s="82">
        <f>'xxxx成本价格-xxx'!D13+0.08</f>
        <v>1.08</v>
      </c>
      <c r="F61" s="82">
        <f>'xxxx成本价格-xxx'!E13+0.08</f>
        <v>1.08</v>
      </c>
      <c r="G61" s="84">
        <f t="shared" si="23"/>
        <v>2.2032</v>
      </c>
      <c r="L61" s="121"/>
    </row>
    <row r="62" spans="1:12">
      <c r="A62" s="81"/>
      <c r="B62" s="51" t="s">
        <v>76</v>
      </c>
      <c r="C62" s="51">
        <v>64</v>
      </c>
      <c r="D62" s="84">
        <f t="shared" si="22"/>
        <v>0.06</v>
      </c>
      <c r="E62" s="82">
        <f>'xxxx成本价格-xxx'!D14+0.08</f>
        <v>1.08</v>
      </c>
      <c r="F62" s="82">
        <f>'xxxx成本价格-xxx'!E14+0.08</f>
        <v>1.08</v>
      </c>
      <c r="G62" s="84">
        <f t="shared" si="23"/>
        <v>4.2768</v>
      </c>
      <c r="L62" s="121"/>
    </row>
    <row r="63" spans="12:12">
      <c r="L63" s="121"/>
    </row>
    <row r="64" spans="12:12">
      <c r="L64" s="121"/>
    </row>
    <row r="65" spans="1:12">
      <c r="A65" s="85" t="s">
        <v>121</v>
      </c>
      <c r="B65" s="86"/>
      <c r="C65" s="87" t="s">
        <v>122</v>
      </c>
      <c r="D65" s="87"/>
      <c r="E65" s="87"/>
      <c r="F65" s="87" t="s">
        <v>49</v>
      </c>
      <c r="G65" s="87"/>
      <c r="H65" s="86" t="s">
        <v>123</v>
      </c>
      <c r="I65" s="86"/>
      <c r="J65" s="122" t="s">
        <v>124</v>
      </c>
      <c r="K65" s="123"/>
      <c r="L65" s="123"/>
    </row>
    <row r="66" spans="1:12">
      <c r="A66" s="85"/>
      <c r="B66" s="131" t="s">
        <v>51</v>
      </c>
      <c r="C66" s="131" t="s">
        <v>125</v>
      </c>
      <c r="D66" s="131" t="s">
        <v>126</v>
      </c>
      <c r="E66" s="131" t="s">
        <v>127</v>
      </c>
      <c r="F66" s="131" t="s">
        <v>49</v>
      </c>
      <c r="G66" s="131" t="s">
        <v>128</v>
      </c>
      <c r="H66" s="131" t="s">
        <v>50</v>
      </c>
      <c r="I66" s="131" t="s">
        <v>118</v>
      </c>
      <c r="J66" s="122"/>
      <c r="K66" s="123"/>
      <c r="L66" s="123"/>
    </row>
    <row r="67" spans="1:12">
      <c r="A67" s="85"/>
      <c r="B67" s="132" t="s">
        <v>18</v>
      </c>
      <c r="C67" s="133">
        <f>0.1/1.13</f>
        <v>0.088495575221239</v>
      </c>
      <c r="D67" s="134">
        <v>0.353982300884956</v>
      </c>
      <c r="E67" s="135">
        <v>0.06</v>
      </c>
      <c r="F67" s="135">
        <f>0.23+0.01</f>
        <v>0.24</v>
      </c>
      <c r="G67" s="135">
        <f>1.634/9</f>
        <v>0.181555555555556</v>
      </c>
      <c r="H67" s="136">
        <f>0.115378787878788*0.7</f>
        <v>0.0807651515151516</v>
      </c>
      <c r="I67" s="152">
        <f>SUM(C67:H67)</f>
        <v>1.0047985831769</v>
      </c>
      <c r="J67" s="122"/>
      <c r="K67" s="123"/>
      <c r="L67" s="123"/>
    </row>
    <row r="68" spans="1:12">
      <c r="A68" s="85"/>
      <c r="B68" s="132" t="s">
        <v>25</v>
      </c>
      <c r="C68" s="133">
        <f>0.1/1.13</f>
        <v>0.088495575221239</v>
      </c>
      <c r="D68" s="134">
        <v>0.398230088495575</v>
      </c>
      <c r="E68" s="135">
        <v>0.06</v>
      </c>
      <c r="F68" s="135">
        <f>0.25+0.01</f>
        <v>0.26</v>
      </c>
      <c r="G68" s="135">
        <f t="shared" ref="G68:G78" si="24">1.634/9</f>
        <v>0.181555555555556</v>
      </c>
      <c r="H68" s="136">
        <f>0.123432835820896*0.7</f>
        <v>0.0864029850746272</v>
      </c>
      <c r="I68" s="152">
        <f t="shared" ref="I68:I78" si="25">SUM(C68:H68)</f>
        <v>1.074684204347</v>
      </c>
      <c r="J68" s="122"/>
      <c r="K68" s="153"/>
      <c r="L68" s="153"/>
    </row>
    <row r="69" spans="1:12">
      <c r="A69" s="85"/>
      <c r="B69" s="132" t="s">
        <v>22</v>
      </c>
      <c r="C69" s="137">
        <f>0.26/1.13</f>
        <v>0.230088495575221</v>
      </c>
      <c r="D69" s="134">
        <v>0.353982300884956</v>
      </c>
      <c r="E69" s="135">
        <v>0.06</v>
      </c>
      <c r="F69" s="135">
        <v>0.227513793103448</v>
      </c>
      <c r="G69" s="135">
        <f t="shared" si="24"/>
        <v>0.181555555555556</v>
      </c>
      <c r="H69" s="136">
        <f>0.117027027027027*0.7</f>
        <v>0.0819189189189189</v>
      </c>
      <c r="I69" s="152">
        <f t="shared" si="25"/>
        <v>1.1350590640381</v>
      </c>
      <c r="J69" s="122"/>
      <c r="K69" s="123"/>
      <c r="L69" s="123"/>
    </row>
    <row r="70" spans="1:12">
      <c r="A70" s="85"/>
      <c r="B70" s="132" t="s">
        <v>129</v>
      </c>
      <c r="C70" s="137">
        <f>0.26/1.13</f>
        <v>0.230088495575221</v>
      </c>
      <c r="D70" s="134">
        <v>0.398230088495575</v>
      </c>
      <c r="E70" s="135">
        <v>0.06</v>
      </c>
      <c r="F70" s="135">
        <v>0.325068965517241</v>
      </c>
      <c r="G70" s="135">
        <f t="shared" si="24"/>
        <v>0.181555555555556</v>
      </c>
      <c r="H70" s="136">
        <f>0.127*0.7</f>
        <v>0.0889</v>
      </c>
      <c r="I70" s="152">
        <f t="shared" si="25"/>
        <v>1.28384310514359</v>
      </c>
      <c r="J70" s="122"/>
      <c r="K70" s="123"/>
      <c r="L70" s="123"/>
    </row>
    <row r="71" spans="1:12">
      <c r="A71" s="85"/>
      <c r="B71" s="132" t="s">
        <v>130</v>
      </c>
      <c r="C71" s="138">
        <f>0.2/1.13</f>
        <v>0.176991150442478</v>
      </c>
      <c r="D71" s="134">
        <v>0.345132743362832</v>
      </c>
      <c r="E71" s="135">
        <v>0.06</v>
      </c>
      <c r="F71" s="135">
        <v>0.323722222222222</v>
      </c>
      <c r="G71" s="135">
        <f t="shared" si="24"/>
        <v>0.181555555555556</v>
      </c>
      <c r="H71" s="136">
        <f t="shared" ref="H71:H75" si="26">0.15*0.7</f>
        <v>0.105</v>
      </c>
      <c r="I71" s="152">
        <f t="shared" si="25"/>
        <v>1.19240167158309</v>
      </c>
      <c r="J71" s="122"/>
      <c r="K71" s="123"/>
      <c r="L71" s="123"/>
    </row>
    <row r="72" spans="1:12">
      <c r="A72" s="85"/>
      <c r="B72" s="132" t="s">
        <v>131</v>
      </c>
      <c r="C72" s="138">
        <f>0.2/1.13</f>
        <v>0.176991150442478</v>
      </c>
      <c r="D72" s="134">
        <v>0.345132743362832</v>
      </c>
      <c r="E72" s="135">
        <v>0.06</v>
      </c>
      <c r="F72" s="135">
        <v>0.324</v>
      </c>
      <c r="G72" s="135">
        <f t="shared" si="24"/>
        <v>0.181555555555556</v>
      </c>
      <c r="H72" s="136">
        <f t="shared" si="26"/>
        <v>0.105</v>
      </c>
      <c r="I72" s="152">
        <f t="shared" si="25"/>
        <v>1.19267944936087</v>
      </c>
      <c r="J72" s="122"/>
      <c r="K72" s="123"/>
      <c r="L72" s="123"/>
    </row>
    <row r="73" spans="1:12">
      <c r="A73" s="85"/>
      <c r="B73" s="132" t="s">
        <v>132</v>
      </c>
      <c r="C73" s="133">
        <f>0.14/1.13</f>
        <v>0.123893805309735</v>
      </c>
      <c r="D73" s="134">
        <v>0.353982300884956</v>
      </c>
      <c r="E73" s="135">
        <v>0.06</v>
      </c>
      <c r="F73" s="131">
        <v>0.38</v>
      </c>
      <c r="G73" s="135">
        <f t="shared" si="24"/>
        <v>0.181555555555556</v>
      </c>
      <c r="H73" s="136">
        <f>0.13*0.7</f>
        <v>0.091</v>
      </c>
      <c r="I73" s="152">
        <f t="shared" si="25"/>
        <v>1.19043166175025</v>
      </c>
      <c r="J73" s="122"/>
      <c r="K73" s="123"/>
      <c r="L73" s="123"/>
    </row>
    <row r="74" spans="1:12">
      <c r="A74" s="85"/>
      <c r="B74" s="132" t="s">
        <v>133</v>
      </c>
      <c r="C74" s="139">
        <f>0.14/1.13</f>
        <v>0.123893805309735</v>
      </c>
      <c r="D74" s="134">
        <v>0.398230088495575</v>
      </c>
      <c r="E74" s="135">
        <v>0.06</v>
      </c>
      <c r="F74" s="131">
        <v>0.44</v>
      </c>
      <c r="G74" s="135">
        <f t="shared" si="24"/>
        <v>0.181555555555556</v>
      </c>
      <c r="H74" s="136">
        <f>0.145*0.7</f>
        <v>0.1015</v>
      </c>
      <c r="I74" s="152">
        <f t="shared" si="25"/>
        <v>1.30517944936087</v>
      </c>
      <c r="J74" s="122"/>
      <c r="K74" s="123"/>
      <c r="L74" s="123"/>
    </row>
    <row r="75" spans="1:12">
      <c r="A75" s="85"/>
      <c r="B75" s="132" t="s">
        <v>134</v>
      </c>
      <c r="C75" s="133">
        <f>0.36/1.13</f>
        <v>0.31858407079646</v>
      </c>
      <c r="D75" s="134">
        <v>0.353982300884956</v>
      </c>
      <c r="E75" s="135">
        <v>0.06</v>
      </c>
      <c r="F75" s="131">
        <v>0.41</v>
      </c>
      <c r="G75" s="135">
        <f t="shared" si="24"/>
        <v>0.181555555555556</v>
      </c>
      <c r="H75" s="136">
        <f t="shared" si="26"/>
        <v>0.105</v>
      </c>
      <c r="I75" s="152">
        <f t="shared" si="25"/>
        <v>1.42912192723697</v>
      </c>
      <c r="J75" s="122"/>
      <c r="K75" s="123"/>
      <c r="L75" s="123"/>
    </row>
    <row r="76" spans="1:12">
      <c r="A76" s="85"/>
      <c r="B76" s="132" t="s">
        <v>135</v>
      </c>
      <c r="C76" s="133">
        <f>0.36/1.13</f>
        <v>0.31858407079646</v>
      </c>
      <c r="D76" s="134">
        <v>0.398230088495575</v>
      </c>
      <c r="E76" s="135">
        <v>0.06</v>
      </c>
      <c r="F76" s="131">
        <v>0.52</v>
      </c>
      <c r="G76" s="135">
        <f t="shared" si="24"/>
        <v>0.181555555555556</v>
      </c>
      <c r="H76" s="136">
        <f>0.165*0.7</f>
        <v>0.1155</v>
      </c>
      <c r="I76" s="152">
        <f t="shared" si="25"/>
        <v>1.59386971484759</v>
      </c>
      <c r="J76" s="122"/>
      <c r="K76" s="123"/>
      <c r="L76" s="123"/>
    </row>
    <row r="77" spans="1:12">
      <c r="A77" s="85"/>
      <c r="B77" s="132" t="s">
        <v>136</v>
      </c>
      <c r="C77" s="138">
        <f>0.35/1.13</f>
        <v>0.309734513274336</v>
      </c>
      <c r="D77" s="134">
        <v>0.345132743362832</v>
      </c>
      <c r="E77" s="135">
        <v>0.06</v>
      </c>
      <c r="F77" s="131">
        <v>0.53</v>
      </c>
      <c r="G77" s="135">
        <f t="shared" si="24"/>
        <v>0.181555555555556</v>
      </c>
      <c r="H77" s="136">
        <f>0.18*0.7</f>
        <v>0.126</v>
      </c>
      <c r="I77" s="152">
        <f t="shared" si="25"/>
        <v>1.55242281219272</v>
      </c>
      <c r="J77" s="122"/>
      <c r="K77" s="123"/>
      <c r="L77" s="123"/>
    </row>
    <row r="78" spans="1:12">
      <c r="A78" s="85"/>
      <c r="B78" s="132" t="s">
        <v>137</v>
      </c>
      <c r="C78" s="138">
        <f>0.35/1.13</f>
        <v>0.309734513274336</v>
      </c>
      <c r="D78" s="134">
        <v>0.345132743362832</v>
      </c>
      <c r="E78" s="135">
        <v>0.06</v>
      </c>
      <c r="F78" s="131">
        <v>0.53</v>
      </c>
      <c r="G78" s="135">
        <f t="shared" si="24"/>
        <v>0.181555555555556</v>
      </c>
      <c r="H78" s="136">
        <f>0.18*0.7</f>
        <v>0.126</v>
      </c>
      <c r="I78" s="152">
        <f t="shared" si="25"/>
        <v>1.55242281219272</v>
      </c>
      <c r="J78" s="122"/>
      <c r="K78" s="123"/>
      <c r="L78" s="123"/>
    </row>
    <row r="79" spans="1:12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</row>
    <row r="80" spans="1:12">
      <c r="A80" s="123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3"/>
    </row>
    <row r="81" spans="1:12">
      <c r="A81" s="140" t="s">
        <v>138</v>
      </c>
      <c r="B81" s="141"/>
      <c r="C81" s="141" t="s">
        <v>139</v>
      </c>
      <c r="D81" s="141"/>
      <c r="E81" s="141"/>
      <c r="F81" s="141"/>
      <c r="G81" s="141" t="s">
        <v>140</v>
      </c>
      <c r="H81" s="141"/>
      <c r="I81" s="141"/>
      <c r="J81" s="141"/>
      <c r="K81" s="123"/>
      <c r="L81" s="123"/>
    </row>
    <row r="82" ht="21.6" spans="1:12">
      <c r="A82" s="142"/>
      <c r="B82" s="143" t="s">
        <v>51</v>
      </c>
      <c r="C82" s="144" t="s">
        <v>141</v>
      </c>
      <c r="D82" s="145" t="s">
        <v>142</v>
      </c>
      <c r="E82" s="145" t="s">
        <v>114</v>
      </c>
      <c r="F82" s="146" t="s">
        <v>143</v>
      </c>
      <c r="G82" s="145" t="s">
        <v>144</v>
      </c>
      <c r="H82" s="145" t="s">
        <v>145</v>
      </c>
      <c r="I82" s="145" t="s">
        <v>146</v>
      </c>
      <c r="J82" s="145" t="s">
        <v>13</v>
      </c>
      <c r="K82" s="123"/>
      <c r="L82" s="123"/>
    </row>
    <row r="83" spans="1:12">
      <c r="A83" s="142"/>
      <c r="B83" s="143" t="s">
        <v>65</v>
      </c>
      <c r="C83" s="145">
        <f>O3</f>
        <v>7.7961225404908</v>
      </c>
      <c r="D83" s="147">
        <f>VLOOKUP('xxxx成本价格-xxx'!F3,$B$67:$I$78,8,0)</f>
        <v>1.0047985831769</v>
      </c>
      <c r="E83" s="145">
        <v>3</v>
      </c>
      <c r="F83" s="148">
        <f>'xxxx成本价格-xxx'!I3</f>
        <v>0.9751</v>
      </c>
      <c r="G83" s="149">
        <v>0.458</v>
      </c>
      <c r="H83" s="149">
        <v>0.2267</v>
      </c>
      <c r="I83" s="145">
        <f>0.143636363636364*0.7</f>
        <v>0.100545454545455</v>
      </c>
      <c r="J83" s="154">
        <f t="shared" ref="J83:J88" si="27">(C83+D83*E83)/F83+G83+H83+I83</f>
        <v>11.8718194367232</v>
      </c>
      <c r="K83" s="123"/>
      <c r="L83" s="123"/>
    </row>
    <row r="84" spans="1:12">
      <c r="A84" s="142"/>
      <c r="B84" s="143" t="s">
        <v>66</v>
      </c>
      <c r="C84" s="145">
        <f t="shared" ref="C84:C94" si="28">O4</f>
        <v>7.70489949317769</v>
      </c>
      <c r="D84" s="147">
        <f>VLOOKUP('xxxx成本价格-xxx'!F4,$B$67:$I$78,8,0)</f>
        <v>1.1350590640381</v>
      </c>
      <c r="E84" s="145">
        <v>5</v>
      </c>
      <c r="F84" s="148">
        <f>'xxxx成本价格-xxx'!I4</f>
        <v>0.9751</v>
      </c>
      <c r="G84" s="149">
        <v>0.458</v>
      </c>
      <c r="H84" s="149">
        <v>0.2267</v>
      </c>
      <c r="I84" s="145">
        <f>0.135*0.7</f>
        <v>0.0945</v>
      </c>
      <c r="J84" s="154">
        <f t="shared" si="27"/>
        <v>14.5010693604432</v>
      </c>
      <c r="K84" s="123"/>
      <c r="L84" s="123"/>
    </row>
    <row r="85" spans="1:12">
      <c r="A85" s="142"/>
      <c r="B85" s="143" t="s">
        <v>119</v>
      </c>
      <c r="C85" s="145">
        <f t="shared" si="28"/>
        <v>8.84479423162037</v>
      </c>
      <c r="D85" s="147">
        <f>VLOOKUP('xxxx成本价格-xxx'!F5,$B$67:$I$78,8,0)</f>
        <v>1.074684204347</v>
      </c>
      <c r="E85" s="145">
        <v>9</v>
      </c>
      <c r="F85" s="148">
        <f>'xxxx成本价格-xxx'!I5</f>
        <v>0.970125</v>
      </c>
      <c r="G85" s="149">
        <v>0.56</v>
      </c>
      <c r="H85" s="149">
        <v>0.2267</v>
      </c>
      <c r="I85" s="145">
        <f>0.1425*0.7</f>
        <v>0.09975</v>
      </c>
      <c r="J85" s="154">
        <f t="shared" si="27"/>
        <v>19.9736316216914</v>
      </c>
      <c r="K85" s="123"/>
      <c r="L85" s="123"/>
    </row>
    <row r="86" spans="1:12">
      <c r="A86" s="142"/>
      <c r="B86" s="150" t="s">
        <v>68</v>
      </c>
      <c r="C86" s="145">
        <f t="shared" si="28"/>
        <v>17.2440406100676</v>
      </c>
      <c r="D86" s="147">
        <f>VLOOKUP('xxxx成本价格-xxx'!F6,$B$67:$I$78,8,0)</f>
        <v>1.0047985831769</v>
      </c>
      <c r="E86" s="149">
        <v>17</v>
      </c>
      <c r="F86" s="148">
        <f>'xxxx成本价格-xxx'!I6</f>
        <v>0.960125</v>
      </c>
      <c r="G86" s="149">
        <v>1.077</v>
      </c>
      <c r="H86" s="149">
        <v>0.256</v>
      </c>
      <c r="I86" s="149">
        <f>0.196666666666667*0.7</f>
        <v>0.137666666666667</v>
      </c>
      <c r="J86" s="154">
        <f t="shared" si="27"/>
        <v>37.2218621090048</v>
      </c>
      <c r="K86" s="123"/>
      <c r="L86" s="123"/>
    </row>
    <row r="87" spans="1:12">
      <c r="A87" s="142"/>
      <c r="B87" s="150" t="s">
        <v>69</v>
      </c>
      <c r="C87" s="145">
        <f t="shared" si="28"/>
        <v>31.9652302398611</v>
      </c>
      <c r="D87" s="147">
        <f>VLOOKUP('xxxx成本价格-xxx'!F7,$B$67:$I$78,8,0)</f>
        <v>1.0047985831769</v>
      </c>
      <c r="E87" s="149">
        <v>33</v>
      </c>
      <c r="F87" s="148">
        <f>'xxxx成本价格-xxx'!I7</f>
        <v>0.950125</v>
      </c>
      <c r="G87" s="149">
        <v>1.556</v>
      </c>
      <c r="H87" s="149">
        <v>0.324</v>
      </c>
      <c r="I87" s="149">
        <f>0.449*0.7</f>
        <v>0.3143</v>
      </c>
      <c r="J87" s="154">
        <f t="shared" si="27"/>
        <v>70.7364218099711</v>
      </c>
      <c r="K87" s="123"/>
      <c r="L87" s="123"/>
    </row>
    <row r="88" spans="1:12">
      <c r="A88" s="142"/>
      <c r="B88" s="150" t="s">
        <v>70</v>
      </c>
      <c r="C88" s="145">
        <f t="shared" si="28"/>
        <v>76.2124609130733</v>
      </c>
      <c r="D88" s="147">
        <f>VLOOKUP('xxxx成本价格-xxx'!F8,$B$67:$I$78,8,0)</f>
        <v>1.0047985831769</v>
      </c>
      <c r="E88" s="149">
        <v>65</v>
      </c>
      <c r="F88" s="148">
        <f>'xxxx成本价格-xxx'!I8</f>
        <v>0.93</v>
      </c>
      <c r="G88" s="149">
        <v>2.333</v>
      </c>
      <c r="H88" s="149">
        <v>1.524</v>
      </c>
      <c r="I88" s="149">
        <f>0.604285714285714*0.7</f>
        <v>0.423</v>
      </c>
      <c r="J88" s="154">
        <f t="shared" si="27"/>
        <v>156.456740666206</v>
      </c>
      <c r="K88" s="123"/>
      <c r="L88" s="123"/>
    </row>
    <row r="89" spans="1:12">
      <c r="A89" s="142"/>
      <c r="B89" s="150" t="s">
        <v>71</v>
      </c>
      <c r="C89" s="145">
        <f t="shared" si="28"/>
        <v>19.3808433724392</v>
      </c>
      <c r="D89" s="147">
        <f>VLOOKUP('xxxx成本价格-xxx'!F9,$B$67:$I$78,8,0)</f>
        <v>1.0047985831769</v>
      </c>
      <c r="E89" s="149">
        <v>4</v>
      </c>
      <c r="F89" s="148">
        <f>'xxxx成本价格-xxx'!I9</f>
        <v>0.9751</v>
      </c>
      <c r="G89" s="149">
        <v>0.458</v>
      </c>
      <c r="H89" s="149">
        <v>0.2267</v>
      </c>
      <c r="I89" s="149">
        <f>0.143333333333333*0.7</f>
        <v>0.100333333333333</v>
      </c>
      <c r="J89" s="155">
        <f>(C89+D89*E89)/F89+G89+H89+I89+1.634/9*2</f>
        <v>25.145721826402</v>
      </c>
      <c r="K89" s="123"/>
      <c r="L89" s="123"/>
    </row>
    <row r="90" spans="1:12">
      <c r="A90" s="142"/>
      <c r="B90" s="143" t="s">
        <v>72</v>
      </c>
      <c r="C90" s="145">
        <f t="shared" si="28"/>
        <v>19.5328145782039</v>
      </c>
      <c r="D90" s="147">
        <f>VLOOKUP('xxxx成本价格-xxx'!F10,$B$67:$I$78,8,0)</f>
        <v>1.0047985831769</v>
      </c>
      <c r="E90" s="145">
        <v>6</v>
      </c>
      <c r="F90" s="148">
        <f>'xxxx成本价格-xxx'!I10</f>
        <v>0.9751</v>
      </c>
      <c r="G90" s="149">
        <v>0.458</v>
      </c>
      <c r="H90" s="149">
        <v>0.2267</v>
      </c>
      <c r="I90" s="145">
        <f>0.141428571428571*0.7</f>
        <v>0.0989999999999997</v>
      </c>
      <c r="J90" s="155">
        <f>(C90+D90*E90)/F90+G90+H90+I90+1.634/9*4</f>
        <v>27.7242654457535</v>
      </c>
      <c r="K90" s="123"/>
      <c r="L90" s="123"/>
    </row>
    <row r="91" spans="1:12">
      <c r="A91" s="142"/>
      <c r="B91" s="143" t="s">
        <v>120</v>
      </c>
      <c r="C91" s="145">
        <f t="shared" si="28"/>
        <v>21.9020326278849</v>
      </c>
      <c r="D91" s="147">
        <f>VLOOKUP('xxxx成本价格-xxx'!F11,$B$67:$I$78,8,0)</f>
        <v>1.0047985831769</v>
      </c>
      <c r="E91" s="145">
        <v>10</v>
      </c>
      <c r="F91" s="148">
        <f>'xxxx成本价格-xxx'!I11</f>
        <v>0.970125</v>
      </c>
      <c r="G91" s="149">
        <v>0.56</v>
      </c>
      <c r="H91" s="149">
        <v>0.2267</v>
      </c>
      <c r="I91" s="145">
        <f>0.156*0.7</f>
        <v>0.1092</v>
      </c>
      <c r="J91" s="155">
        <f>(C91+D91*E91)/F91+G91+H91+I91+1.634/9*8</f>
        <v>35.2822637431471</v>
      </c>
      <c r="K91" s="123"/>
      <c r="L91" s="123"/>
    </row>
    <row r="92" spans="1:12">
      <c r="A92" s="142"/>
      <c r="B92" s="143" t="s">
        <v>74</v>
      </c>
      <c r="C92" s="145">
        <f t="shared" si="28"/>
        <v>41.0154177984612</v>
      </c>
      <c r="D92" s="147">
        <f>VLOOKUP('xxxx成本价格-xxx'!F12,$B$67:$I$78,8,0)</f>
        <v>1.0047985831769</v>
      </c>
      <c r="E92" s="145">
        <v>18</v>
      </c>
      <c r="F92" s="148">
        <f>'xxxx成本价格-xxx'!I12</f>
        <v>0.960125</v>
      </c>
      <c r="G92" s="149">
        <v>1.077</v>
      </c>
      <c r="H92" s="149">
        <v>0.256</v>
      </c>
      <c r="I92" s="145">
        <f>0.1975*0.7</f>
        <v>0.13825</v>
      </c>
      <c r="J92" s="155">
        <f>(C92+D92*E92)/F92+G92+H92+I92+1.634/9*16</f>
        <v>65.9324907135424</v>
      </c>
      <c r="K92" s="123"/>
      <c r="L92" s="123"/>
    </row>
    <row r="93" spans="1:12">
      <c r="A93" s="142"/>
      <c r="B93" s="143" t="s">
        <v>75</v>
      </c>
      <c r="C93" s="145">
        <f t="shared" si="28"/>
        <v>67.3704032407035</v>
      </c>
      <c r="D93" s="147">
        <f>VLOOKUP('xxxx成本价格-xxx'!F13,$B$67:$I$78,8,0)</f>
        <v>1.0047985831769</v>
      </c>
      <c r="E93" s="145">
        <v>34</v>
      </c>
      <c r="F93" s="148">
        <f>'xxxx成本价格-xxx'!I13</f>
        <v>0.950125</v>
      </c>
      <c r="G93" s="149">
        <v>1.556</v>
      </c>
      <c r="H93" s="149">
        <v>0.324</v>
      </c>
      <c r="I93" s="145">
        <f>0.47*0.7</f>
        <v>0.329</v>
      </c>
      <c r="J93" s="155">
        <f>(C93+D93*E93)/F93+G93+H93+I93+1.634/9*32</f>
        <v>114.882143196768</v>
      </c>
      <c r="K93" s="123"/>
      <c r="L93" s="123"/>
    </row>
    <row r="94" spans="1:12">
      <c r="A94" s="151"/>
      <c r="B94" s="143" t="s">
        <v>76</v>
      </c>
      <c r="C94" s="145">
        <f t="shared" si="28"/>
        <v>175.639588058385</v>
      </c>
      <c r="D94" s="147">
        <f>VLOOKUP('xxxx成本价格-xxx'!F14,$B$67:$I$78,8,0)</f>
        <v>1.0047985831769</v>
      </c>
      <c r="E94" s="145">
        <v>66</v>
      </c>
      <c r="F94" s="148">
        <f>'xxxx成本价格-xxx'!I14</f>
        <v>0.93</v>
      </c>
      <c r="G94" s="149">
        <v>2.333</v>
      </c>
      <c r="H94" s="149">
        <v>1.524</v>
      </c>
      <c r="I94" s="145">
        <f>0.7875*0.7</f>
        <v>0.55125</v>
      </c>
      <c r="J94" s="155">
        <f>(C94+D94*E94)/F94+G94+H94+I94+1.634/9*64</f>
        <v>276.195864209384</v>
      </c>
      <c r="K94" s="123"/>
      <c r="L94" s="123"/>
    </row>
    <row r="95" spans="11:12">
      <c r="K95" s="123"/>
      <c r="L95" s="123"/>
    </row>
    <row r="96" spans="11:12">
      <c r="K96" s="123"/>
      <c r="L96" s="123"/>
    </row>
    <row r="97" spans="11:12">
      <c r="K97" s="123"/>
      <c r="L97" s="123"/>
    </row>
    <row r="98" spans="11:11">
      <c r="K98" s="123"/>
    </row>
    <row r="99" spans="11:11">
      <c r="K99" s="123"/>
    </row>
  </sheetData>
  <mergeCells count="21">
    <mergeCell ref="C1:G1"/>
    <mergeCell ref="D16:I16"/>
    <mergeCell ref="L16:M16"/>
    <mergeCell ref="N16:O16"/>
    <mergeCell ref="B33:D33"/>
    <mergeCell ref="E33:O33"/>
    <mergeCell ref="P33:S33"/>
    <mergeCell ref="D34:I34"/>
    <mergeCell ref="C65:E65"/>
    <mergeCell ref="F65:G65"/>
    <mergeCell ref="C81:F81"/>
    <mergeCell ref="G81:J81"/>
    <mergeCell ref="A1:A14"/>
    <mergeCell ref="A16:A29"/>
    <mergeCell ref="A33:A47"/>
    <mergeCell ref="A50:A62"/>
    <mergeCell ref="A65:A78"/>
    <mergeCell ref="A81:A94"/>
    <mergeCell ref="B16:B17"/>
    <mergeCell ref="C16:C17"/>
    <mergeCell ref="P16:P17"/>
  </mergeCells>
  <conditionalFormatting sqref="G49">
    <cfRule type="cellIs" dxfId="1" priority="1" stopIfTrue="1" operator="lessThan">
      <formula>0.01</formula>
    </cfRule>
  </conditionalFormatting>
  <conditionalFormatting sqref="G36:G48">
    <cfRule type="cellIs" dxfId="0" priority="2" operator="lessThan">
      <formula>0</formula>
    </cfRule>
  </conditionalFormatting>
  <dataValidations count="1">
    <dataValidation type="list" allowBlank="1" showInputMessage="1" showErrorMessage="1" sqref="C49">
      <formula1>[2]材料价格!#REF!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8"/>
  <sheetViews>
    <sheetView workbookViewId="0">
      <selection activeCell="I35" sqref="I35:I46"/>
    </sheetView>
  </sheetViews>
  <sheetFormatPr defaultColWidth="9" defaultRowHeight="14.4"/>
  <cols>
    <col min="1" max="1" width="5.25" style="43" customWidth="1"/>
    <col min="2" max="2" width="9" style="43"/>
    <col min="3" max="3" width="31.1296296296296" style="43" customWidth="1"/>
    <col min="4" max="4" width="9.87962962962963" style="43" customWidth="1"/>
    <col min="5" max="5" width="12.3796296296296" style="43" customWidth="1"/>
    <col min="6" max="6" width="15.1296296296296" style="43" customWidth="1"/>
    <col min="7" max="7" width="13.75" style="43"/>
    <col min="8" max="8" width="13.1296296296296" style="43" customWidth="1"/>
    <col min="9" max="9" width="9" style="43"/>
    <col min="10" max="10" width="11.25" style="43" customWidth="1"/>
    <col min="11" max="11" width="19.1296296296296" style="43" customWidth="1"/>
    <col min="12" max="12" width="7.12962962962963" style="43" customWidth="1"/>
    <col min="13" max="13" width="10.3796296296296" style="43" customWidth="1"/>
    <col min="14" max="14" width="8.37962962962963" style="43" customWidth="1"/>
    <col min="15" max="17" width="9" style="43"/>
    <col min="18" max="18" width="12.6296296296296" style="43"/>
    <col min="19" max="16384" width="9" style="43"/>
  </cols>
  <sheetData>
    <row r="1" ht="22.2" spans="1:16">
      <c r="A1" s="44" t="s">
        <v>46</v>
      </c>
      <c r="B1" s="45"/>
      <c r="C1" s="46" t="s">
        <v>47</v>
      </c>
      <c r="D1" s="47"/>
      <c r="E1" s="47"/>
      <c r="F1" s="47"/>
      <c r="G1" s="47"/>
      <c r="H1" s="47" t="s">
        <v>48</v>
      </c>
      <c r="I1" s="47" t="s">
        <v>49</v>
      </c>
      <c r="J1" s="88" t="s">
        <v>50</v>
      </c>
      <c r="K1" s="89"/>
      <c r="L1" s="89"/>
      <c r="M1" s="89"/>
      <c r="N1" s="90"/>
      <c r="O1" s="90"/>
      <c r="P1" s="90"/>
    </row>
    <row r="2" ht="32.4" spans="1:17">
      <c r="A2" s="44"/>
      <c r="B2" s="48" t="s">
        <v>51</v>
      </c>
      <c r="C2" s="48" t="s">
        <v>52</v>
      </c>
      <c r="D2" s="49" t="s">
        <v>53</v>
      </c>
      <c r="E2" s="48" t="s">
        <v>54</v>
      </c>
      <c r="F2" s="48" t="s">
        <v>55</v>
      </c>
      <c r="G2" s="48" t="s">
        <v>56</v>
      </c>
      <c r="H2" s="50" t="s">
        <v>57</v>
      </c>
      <c r="I2" s="91" t="s">
        <v>58</v>
      </c>
      <c r="J2" s="48" t="s">
        <v>59</v>
      </c>
      <c r="K2" s="92" t="s">
        <v>60</v>
      </c>
      <c r="L2" s="92" t="s">
        <v>61</v>
      </c>
      <c r="M2" s="92" t="s">
        <v>62</v>
      </c>
      <c r="N2" s="93" t="s">
        <v>63</v>
      </c>
      <c r="O2" s="94" t="s">
        <v>64</v>
      </c>
      <c r="P2" s="95"/>
      <c r="Q2" s="95"/>
    </row>
    <row r="3" spans="1:17">
      <c r="A3" s="44"/>
      <c r="B3" s="51" t="s">
        <v>65</v>
      </c>
      <c r="C3" s="52">
        <f>1.96/1.13</f>
        <v>1.73451327433628</v>
      </c>
      <c r="D3" s="53">
        <f>P35</f>
        <v>1.19591951783783</v>
      </c>
      <c r="E3" s="54">
        <f>P18</f>
        <v>0.496781979082864</v>
      </c>
      <c r="F3" s="55">
        <v>0.2</v>
      </c>
      <c r="G3" s="56">
        <f t="shared" ref="G3:G14" si="0">G50</f>
        <v>0.1944</v>
      </c>
      <c r="H3" s="57">
        <v>0.21</v>
      </c>
      <c r="I3" s="55">
        <v>1.603</v>
      </c>
      <c r="J3" s="96">
        <f>0.7*0.7</f>
        <v>0.49</v>
      </c>
      <c r="K3" s="55">
        <f t="shared" ref="K3:K14" si="1">SUM(C3:H3)</f>
        <v>4.03161477125697</v>
      </c>
      <c r="L3" s="55">
        <f t="shared" ref="L3:L14" si="2">I3</f>
        <v>1.603</v>
      </c>
      <c r="M3" s="55">
        <f t="shared" ref="M3:M14" si="3">J3</f>
        <v>0.49</v>
      </c>
      <c r="N3" s="97">
        <f>'xxxx成本价格-xxx'!H3</f>
        <v>0.96</v>
      </c>
      <c r="O3" s="98">
        <f>SUM(C3:J3)/N3</f>
        <v>6.37980705339268</v>
      </c>
      <c r="P3" s="54"/>
      <c r="Q3" s="54"/>
    </row>
    <row r="4" spans="1:18">
      <c r="A4" s="44"/>
      <c r="B4" s="51" t="s">
        <v>66</v>
      </c>
      <c r="C4" s="52">
        <f>1.61/1.13</f>
        <v>1.42477876106195</v>
      </c>
      <c r="D4" s="53">
        <f t="shared" ref="D4:D14" si="4">P36</f>
        <v>1.3546122552235</v>
      </c>
      <c r="E4" s="54">
        <f t="shared" ref="E4:E14" si="5">P19</f>
        <v>0.496781979082864</v>
      </c>
      <c r="F4" s="55">
        <v>0.2</v>
      </c>
      <c r="G4" s="56">
        <f t="shared" si="0"/>
        <v>0.324</v>
      </c>
      <c r="H4" s="57">
        <v>0.21</v>
      </c>
      <c r="I4" s="55">
        <v>1.7098</v>
      </c>
      <c r="J4" s="96">
        <f>0.735833333333333*0.7</f>
        <v>0.515083333333333</v>
      </c>
      <c r="K4" s="55">
        <f t="shared" si="1"/>
        <v>4.01017299536831</v>
      </c>
      <c r="L4" s="55">
        <f t="shared" si="2"/>
        <v>1.7098</v>
      </c>
      <c r="M4" s="55">
        <f t="shared" si="3"/>
        <v>0.515083333333333</v>
      </c>
      <c r="N4" s="97">
        <f>'xxxx成本价格-xxx'!H4</f>
        <v>0.95</v>
      </c>
      <c r="O4" s="98">
        <f t="shared" ref="O4:O14" si="6">SUM(C4:J4)/N4</f>
        <v>6.563217188107</v>
      </c>
      <c r="P4" s="54"/>
      <c r="Q4" s="54"/>
      <c r="R4" s="43">
        <f>O4*0.95</f>
        <v>6.23505632870165</v>
      </c>
    </row>
    <row r="5" spans="1:17">
      <c r="A5" s="44"/>
      <c r="B5" s="58" t="s">
        <v>67</v>
      </c>
      <c r="C5" s="52">
        <f>1.61/1.13</f>
        <v>1.42477876106195</v>
      </c>
      <c r="D5" s="53">
        <f t="shared" si="4"/>
        <v>1.72648799648798</v>
      </c>
      <c r="E5" s="54">
        <f t="shared" si="5"/>
        <v>0.496781979082864</v>
      </c>
      <c r="F5" s="55">
        <v>0.2</v>
      </c>
      <c r="G5" s="56">
        <f t="shared" si="0"/>
        <v>0.5832</v>
      </c>
      <c r="H5" s="57">
        <v>0.21</v>
      </c>
      <c r="I5" s="55">
        <v>1.9225</v>
      </c>
      <c r="J5" s="96">
        <f>0.786666666666667*0.7</f>
        <v>0.550666666666667</v>
      </c>
      <c r="K5" s="55">
        <f t="shared" si="1"/>
        <v>4.6412487366328</v>
      </c>
      <c r="L5" s="55">
        <f t="shared" si="2"/>
        <v>1.9225</v>
      </c>
      <c r="M5" s="55">
        <f t="shared" si="3"/>
        <v>0.550666666666667</v>
      </c>
      <c r="N5" s="97">
        <f>'xxxx成本价格-xxx'!H5</f>
        <v>0.95</v>
      </c>
      <c r="O5" s="98">
        <f t="shared" si="6"/>
        <v>7.4888583192626</v>
      </c>
      <c r="P5" s="99"/>
      <c r="Q5" s="99"/>
    </row>
    <row r="6" spans="1:17">
      <c r="A6" s="44"/>
      <c r="B6" s="58" t="s">
        <v>68</v>
      </c>
      <c r="C6" s="52">
        <f>4.01/1.13</f>
        <v>3.54867256637168</v>
      </c>
      <c r="D6" s="53">
        <f t="shared" si="4"/>
        <v>4.68950760405261</v>
      </c>
      <c r="E6" s="54">
        <f t="shared" si="5"/>
        <v>0.496781979082864</v>
      </c>
      <c r="F6" s="55">
        <v>0.57</v>
      </c>
      <c r="G6" s="56">
        <f t="shared" si="0"/>
        <v>1.1016</v>
      </c>
      <c r="H6" s="57">
        <v>0.26</v>
      </c>
      <c r="I6" s="55">
        <v>2.7793</v>
      </c>
      <c r="J6" s="96">
        <f>1.005*0.7</f>
        <v>0.7035</v>
      </c>
      <c r="K6" s="55">
        <f t="shared" si="1"/>
        <v>10.6665621495072</v>
      </c>
      <c r="L6" s="55">
        <f t="shared" si="2"/>
        <v>2.7793</v>
      </c>
      <c r="M6" s="55">
        <f t="shared" si="3"/>
        <v>0.7035</v>
      </c>
      <c r="N6" s="97">
        <f>'xxxx成本价格-xxx'!H6</f>
        <v>0.94</v>
      </c>
      <c r="O6" s="98">
        <f t="shared" si="6"/>
        <v>15.0525129250076</v>
      </c>
      <c r="P6" s="99"/>
      <c r="Q6" s="99"/>
    </row>
    <row r="7" spans="1:17">
      <c r="A7" s="44"/>
      <c r="B7" s="51" t="s">
        <v>69</v>
      </c>
      <c r="C7" s="52">
        <f>9.02/1.13</f>
        <v>7.98230088495575</v>
      </c>
      <c r="D7" s="53">
        <f t="shared" si="4"/>
        <v>9.59257745070937</v>
      </c>
      <c r="E7" s="54">
        <f t="shared" si="5"/>
        <v>0.496781979082864</v>
      </c>
      <c r="F7" s="55">
        <f>0.78</f>
        <v>0.78</v>
      </c>
      <c r="G7" s="56">
        <f t="shared" si="0"/>
        <v>2.1384</v>
      </c>
      <c r="H7" s="57">
        <v>0.48</v>
      </c>
      <c r="I7" s="55">
        <v>3.9037</v>
      </c>
      <c r="J7" s="96">
        <f>1.39166666666667*0.7</f>
        <v>0.974166666666669</v>
      </c>
      <c r="K7" s="55">
        <f t="shared" si="1"/>
        <v>21.470060314748</v>
      </c>
      <c r="L7" s="55">
        <f t="shared" si="2"/>
        <v>3.9037</v>
      </c>
      <c r="M7" s="55">
        <f t="shared" si="3"/>
        <v>0.974166666666669</v>
      </c>
      <c r="N7" s="97">
        <f>'xxxx成本价格-xxx'!H7</f>
        <v>0.92</v>
      </c>
      <c r="O7" s="98">
        <f t="shared" si="6"/>
        <v>28.6390510667551</v>
      </c>
      <c r="P7" s="99"/>
      <c r="Q7" s="99"/>
    </row>
    <row r="8" spans="1:17">
      <c r="A8" s="44"/>
      <c r="B8" s="51" t="s">
        <v>70</v>
      </c>
      <c r="C8" s="52">
        <f>21.48/1.13</f>
        <v>19.0088495575221</v>
      </c>
      <c r="D8" s="53">
        <f t="shared" si="4"/>
        <v>27.3664224575653</v>
      </c>
      <c r="E8" s="54">
        <f t="shared" si="5"/>
        <v>0.496781979082864</v>
      </c>
      <c r="F8" s="55">
        <f>1.55</f>
        <v>1.55</v>
      </c>
      <c r="G8" s="56">
        <f t="shared" si="0"/>
        <v>4.212</v>
      </c>
      <c r="H8" s="59">
        <v>0.63</v>
      </c>
      <c r="I8" s="55">
        <v>7.0648</v>
      </c>
      <c r="J8" s="96">
        <f>2.21333333333333*0.7</f>
        <v>1.54933333333333</v>
      </c>
      <c r="K8" s="55">
        <f t="shared" si="1"/>
        <v>53.2640539941703</v>
      </c>
      <c r="L8" s="55">
        <f t="shared" si="2"/>
        <v>7.0648</v>
      </c>
      <c r="M8" s="55">
        <f t="shared" si="3"/>
        <v>1.54933333333333</v>
      </c>
      <c r="N8" s="97">
        <f>'xxxx成本价格-xxx'!H8</f>
        <v>0.9</v>
      </c>
      <c r="O8" s="98">
        <f t="shared" si="6"/>
        <v>68.753541475004</v>
      </c>
      <c r="P8" s="54"/>
      <c r="Q8" s="54"/>
    </row>
    <row r="9" spans="1:17">
      <c r="A9" s="44"/>
      <c r="B9" s="51" t="s">
        <v>71</v>
      </c>
      <c r="C9" s="52">
        <v>10.6194690265487</v>
      </c>
      <c r="D9" s="53">
        <f t="shared" si="4"/>
        <v>1.41992394261659</v>
      </c>
      <c r="E9" s="54">
        <f t="shared" si="5"/>
        <v>1.1882111845045</v>
      </c>
      <c r="F9" s="55">
        <v>0.2</v>
      </c>
      <c r="G9" s="56">
        <f t="shared" si="0"/>
        <v>0.2592</v>
      </c>
      <c r="H9" s="57">
        <v>0.18</v>
      </c>
      <c r="I9" s="100">
        <v>2.123</v>
      </c>
      <c r="J9" s="96">
        <f>0.84*0.7</f>
        <v>0.588</v>
      </c>
      <c r="K9" s="55">
        <f t="shared" si="1"/>
        <v>13.8668041536698</v>
      </c>
      <c r="L9" s="55">
        <f t="shared" si="2"/>
        <v>2.123</v>
      </c>
      <c r="M9" s="55">
        <f t="shared" si="3"/>
        <v>0.588</v>
      </c>
      <c r="N9" s="97">
        <f>'xxxx成本价格-xxx'!H9</f>
        <v>0.95</v>
      </c>
      <c r="O9" s="98">
        <f t="shared" si="6"/>
        <v>17.4503201617577</v>
      </c>
      <c r="P9" s="101"/>
      <c r="Q9" s="99"/>
    </row>
    <row r="10" spans="1:17">
      <c r="A10" s="44"/>
      <c r="B10" s="51" t="s">
        <v>72</v>
      </c>
      <c r="C10" s="52">
        <v>10.3362831858407</v>
      </c>
      <c r="D10" s="53">
        <f t="shared" si="4"/>
        <v>1.50240898909815</v>
      </c>
      <c r="E10" s="54">
        <f t="shared" si="5"/>
        <v>1.1882111845045</v>
      </c>
      <c r="F10" s="55">
        <v>0.2</v>
      </c>
      <c r="G10" s="56">
        <f t="shared" si="0"/>
        <v>0.3888</v>
      </c>
      <c r="H10" s="57">
        <v>0.18</v>
      </c>
      <c r="I10" s="100">
        <v>2.2208</v>
      </c>
      <c r="J10" s="96">
        <f>0.883*0.7</f>
        <v>0.6181</v>
      </c>
      <c r="K10" s="55">
        <f t="shared" si="1"/>
        <v>13.7957033594433</v>
      </c>
      <c r="L10" s="55">
        <f t="shared" si="2"/>
        <v>2.2208</v>
      </c>
      <c r="M10" s="55">
        <f t="shared" si="3"/>
        <v>0.6181</v>
      </c>
      <c r="N10" s="97">
        <f>'xxxx成本价格-xxx'!H10</f>
        <v>0.94</v>
      </c>
      <c r="O10" s="98">
        <f t="shared" si="6"/>
        <v>17.6963865525993</v>
      </c>
      <c r="P10" s="101"/>
      <c r="Q10" s="54"/>
    </row>
    <row r="11" spans="1:17">
      <c r="A11" s="44"/>
      <c r="B11" s="51" t="s">
        <v>73</v>
      </c>
      <c r="C11" s="52">
        <v>11.2212389380531</v>
      </c>
      <c r="D11" s="53">
        <f t="shared" si="4"/>
        <v>2.02208146423728</v>
      </c>
      <c r="E11" s="54">
        <f t="shared" si="5"/>
        <v>1.1882111845045</v>
      </c>
      <c r="F11" s="55">
        <v>0.2</v>
      </c>
      <c r="G11" s="56">
        <f t="shared" si="0"/>
        <v>0.648</v>
      </c>
      <c r="H11" s="57">
        <v>0.18</v>
      </c>
      <c r="I11" s="100">
        <v>2.4545</v>
      </c>
      <c r="J11" s="96">
        <f>0.944*0.7</f>
        <v>0.6608</v>
      </c>
      <c r="K11" s="55">
        <f t="shared" si="1"/>
        <v>15.4595315867949</v>
      </c>
      <c r="L11" s="55">
        <f t="shared" si="2"/>
        <v>2.4545</v>
      </c>
      <c r="M11" s="55">
        <f t="shared" si="3"/>
        <v>0.6608</v>
      </c>
      <c r="N11" s="97">
        <f>'xxxx成本价格-xxx'!H11</f>
        <v>0.94</v>
      </c>
      <c r="O11" s="98">
        <f t="shared" si="6"/>
        <v>19.7604591348882</v>
      </c>
      <c r="P11" s="101"/>
      <c r="Q11" s="99"/>
    </row>
    <row r="12" spans="1:17">
      <c r="A12" s="44"/>
      <c r="B12" s="51" t="s">
        <v>74</v>
      </c>
      <c r="C12" s="52">
        <v>23.2920353982301</v>
      </c>
      <c r="D12" s="53">
        <f t="shared" si="4"/>
        <v>4.68950760405261</v>
      </c>
      <c r="E12" s="54">
        <f t="shared" si="5"/>
        <v>1.1882111845045</v>
      </c>
      <c r="F12" s="55">
        <v>0.57</v>
      </c>
      <c r="G12" s="56">
        <f t="shared" si="0"/>
        <v>1.1664</v>
      </c>
      <c r="H12" s="57">
        <v>0.26</v>
      </c>
      <c r="I12" s="100">
        <v>3.3707</v>
      </c>
      <c r="J12" s="96">
        <f>1.206*0.7</f>
        <v>0.8442</v>
      </c>
      <c r="K12" s="55">
        <f t="shared" si="1"/>
        <v>31.1661541867872</v>
      </c>
      <c r="L12" s="55">
        <f t="shared" si="2"/>
        <v>3.3707</v>
      </c>
      <c r="M12" s="55">
        <f t="shared" si="3"/>
        <v>0.8442</v>
      </c>
      <c r="N12" s="97">
        <f>'xxxx成本价格-xxx'!H12</f>
        <v>0.93</v>
      </c>
      <c r="O12" s="98">
        <f t="shared" si="6"/>
        <v>38.044144286868</v>
      </c>
      <c r="P12" s="101"/>
      <c r="Q12" s="54"/>
    </row>
    <row r="13" spans="1:17">
      <c r="A13" s="44"/>
      <c r="B13" s="51" t="s">
        <v>75</v>
      </c>
      <c r="C13" s="52">
        <v>37.0973451327434</v>
      </c>
      <c r="D13" s="53">
        <f t="shared" si="4"/>
        <v>9.59257745070937</v>
      </c>
      <c r="E13" s="54">
        <f t="shared" si="5"/>
        <v>1.1882111845045</v>
      </c>
      <c r="F13" s="55">
        <f>0.78</f>
        <v>0.78</v>
      </c>
      <c r="G13" s="56">
        <f t="shared" si="0"/>
        <v>2.2032</v>
      </c>
      <c r="H13" s="57">
        <v>0.48</v>
      </c>
      <c r="I13" s="100">
        <v>4.7196</v>
      </c>
      <c r="J13" s="96">
        <f>1.67*0.7</f>
        <v>1.169</v>
      </c>
      <c r="K13" s="55">
        <f t="shared" si="1"/>
        <v>51.3413337679573</v>
      </c>
      <c r="L13" s="55">
        <f t="shared" si="2"/>
        <v>4.7196</v>
      </c>
      <c r="M13" s="55">
        <f t="shared" si="3"/>
        <v>1.169</v>
      </c>
      <c r="N13" s="97">
        <f>'xxxx成本价格-xxx'!H13</f>
        <v>0.91</v>
      </c>
      <c r="O13" s="98">
        <f t="shared" si="6"/>
        <v>62.8900371076453</v>
      </c>
      <c r="P13" s="101"/>
      <c r="Q13" s="99"/>
    </row>
    <row r="14" spans="1:17">
      <c r="A14" s="44"/>
      <c r="B14" s="51" t="s">
        <v>76</v>
      </c>
      <c r="C14" s="52">
        <v>103.522123893805</v>
      </c>
      <c r="D14" s="53">
        <f t="shared" si="4"/>
        <v>27.3664224575653</v>
      </c>
      <c r="E14" s="54">
        <f t="shared" si="5"/>
        <v>1.1882111845045</v>
      </c>
      <c r="F14" s="55">
        <f>1.55</f>
        <v>1.55</v>
      </c>
      <c r="G14" s="56">
        <f t="shared" si="0"/>
        <v>4.2768</v>
      </c>
      <c r="H14" s="59">
        <v>0.63</v>
      </c>
      <c r="I14" s="100">
        <v>8.2198</v>
      </c>
      <c r="J14" s="96">
        <f>2.656*0.7</f>
        <v>1.8592</v>
      </c>
      <c r="K14" s="55">
        <f t="shared" si="1"/>
        <v>138.533557535875</v>
      </c>
      <c r="L14" s="55">
        <f t="shared" si="2"/>
        <v>8.2198</v>
      </c>
      <c r="M14" s="55">
        <f t="shared" si="3"/>
        <v>1.8592</v>
      </c>
      <c r="N14" s="97">
        <f>'xxxx成本价格-xxx'!H14</f>
        <v>0.89</v>
      </c>
      <c r="O14" s="98">
        <f t="shared" si="6"/>
        <v>166.980401725702</v>
      </c>
      <c r="P14" s="101"/>
      <c r="Q14" s="54"/>
    </row>
    <row r="16" ht="17.4" spans="1:16">
      <c r="A16" s="60" t="s">
        <v>54</v>
      </c>
      <c r="B16" s="61" t="s">
        <v>1</v>
      </c>
      <c r="C16" s="62" t="s">
        <v>77</v>
      </c>
      <c r="D16" s="63" t="s">
        <v>78</v>
      </c>
      <c r="E16" s="63"/>
      <c r="F16" s="63"/>
      <c r="G16" s="63"/>
      <c r="H16" s="63"/>
      <c r="I16" s="63"/>
      <c r="J16" s="71" t="s">
        <v>49</v>
      </c>
      <c r="K16" s="102" t="s">
        <v>79</v>
      </c>
      <c r="L16" s="103" t="s">
        <v>80</v>
      </c>
      <c r="M16" s="104"/>
      <c r="N16" s="102" t="s">
        <v>81</v>
      </c>
      <c r="O16" s="102"/>
      <c r="P16" s="105" t="s">
        <v>82</v>
      </c>
    </row>
    <row r="17" spans="1:16">
      <c r="A17" s="60"/>
      <c r="B17" s="61"/>
      <c r="C17" s="62"/>
      <c r="D17" s="64" t="s">
        <v>83</v>
      </c>
      <c r="E17" s="65" t="s">
        <v>84</v>
      </c>
      <c r="F17" s="65" t="s">
        <v>85</v>
      </c>
      <c r="G17" s="65" t="s">
        <v>86</v>
      </c>
      <c r="H17" s="65" t="s">
        <v>87</v>
      </c>
      <c r="I17" s="65" t="s">
        <v>88</v>
      </c>
      <c r="J17" s="68" t="s">
        <v>89</v>
      </c>
      <c r="K17" s="65" t="s">
        <v>90</v>
      </c>
      <c r="L17" s="69" t="s">
        <v>91</v>
      </c>
      <c r="M17" s="69" t="s">
        <v>92</v>
      </c>
      <c r="N17" s="65" t="s">
        <v>93</v>
      </c>
      <c r="O17" s="65" t="s">
        <v>94</v>
      </c>
      <c r="P17" s="105"/>
    </row>
    <row r="18" ht="15.6" spans="1:16">
      <c r="A18" s="60"/>
      <c r="B18" s="61" t="s">
        <v>147</v>
      </c>
      <c r="C18" s="66" t="str">
        <f>'xxxx成本价格-xxx'!C3</f>
        <v>光纤，华信藤仓，1芯，G657A1</v>
      </c>
      <c r="D18" s="66">
        <f>'xxxx成本价格-xxx'!D3+0.3</f>
        <v>1.3</v>
      </c>
      <c r="E18" s="65">
        <v>0.1</v>
      </c>
      <c r="F18" s="67">
        <v>0.1</v>
      </c>
      <c r="G18" s="68">
        <f>VLOOKUP(C18,材料价格!B:E,3,0)</f>
        <v>0.0309734513274336</v>
      </c>
      <c r="H18" s="69">
        <f t="shared" ref="H18:H29" si="7">D18+0.05</f>
        <v>1.35</v>
      </c>
      <c r="I18" s="69">
        <v>1</v>
      </c>
      <c r="J18" s="67">
        <v>0.18</v>
      </c>
      <c r="K18" s="106">
        <f t="shared" ref="K18:K23" si="8">0.1*0.7</f>
        <v>0.07</v>
      </c>
      <c r="L18" s="68">
        <f t="shared" ref="L18:L29" si="9">E18+F18+H18*I18*G18</f>
        <v>0.241814159292035</v>
      </c>
      <c r="M18" s="68">
        <f t="shared" ref="M18:M29" si="10">J18+L18+K18</f>
        <v>0.491814159292035</v>
      </c>
      <c r="N18" s="107">
        <v>0.99</v>
      </c>
      <c r="O18" s="107">
        <v>0.96</v>
      </c>
      <c r="P18" s="108">
        <f t="shared" ref="P18:P29" si="11">M18/N18</f>
        <v>0.496781979082864</v>
      </c>
    </row>
    <row r="19" ht="15.6" spans="1:16">
      <c r="A19" s="60"/>
      <c r="B19" s="61" t="s">
        <v>148</v>
      </c>
      <c r="C19" s="66" t="str">
        <f t="shared" ref="C19:C29" si="12">C18</f>
        <v>光纤，华信藤仓，1芯，G657A1</v>
      </c>
      <c r="D19" s="66">
        <f>'xxxx成本价格-xxx'!D4+0.3</f>
        <v>1.3</v>
      </c>
      <c r="E19" s="65">
        <v>0.1</v>
      </c>
      <c r="F19" s="67">
        <v>0.1</v>
      </c>
      <c r="G19" s="68">
        <f>VLOOKUP(C19,材料价格!B:E,3,0)</f>
        <v>0.0309734513274336</v>
      </c>
      <c r="H19" s="69">
        <f t="shared" si="7"/>
        <v>1.35</v>
      </c>
      <c r="I19" s="69">
        <v>1</v>
      </c>
      <c r="J19" s="67">
        <v>0.18</v>
      </c>
      <c r="K19" s="106">
        <f t="shared" si="8"/>
        <v>0.07</v>
      </c>
      <c r="L19" s="68">
        <f t="shared" si="9"/>
        <v>0.241814159292035</v>
      </c>
      <c r="M19" s="68">
        <f t="shared" si="10"/>
        <v>0.491814159292035</v>
      </c>
      <c r="N19" s="107">
        <v>0.99</v>
      </c>
      <c r="O19" s="107">
        <v>0.96</v>
      </c>
      <c r="P19" s="108">
        <f t="shared" si="11"/>
        <v>0.496781979082864</v>
      </c>
    </row>
    <row r="20" ht="15.6" spans="1:16">
      <c r="A20" s="60"/>
      <c r="B20" s="61" t="s">
        <v>149</v>
      </c>
      <c r="C20" s="66" t="str">
        <f t="shared" si="12"/>
        <v>光纤，华信藤仓，1芯，G657A1</v>
      </c>
      <c r="D20" s="66">
        <f>'xxxx成本价格-xxx'!D5+0.3</f>
        <v>1.3</v>
      </c>
      <c r="E20" s="65">
        <v>0.1</v>
      </c>
      <c r="F20" s="67">
        <v>0.1</v>
      </c>
      <c r="G20" s="68">
        <f>VLOOKUP(C20,材料价格!B:E,3,0)</f>
        <v>0.0309734513274336</v>
      </c>
      <c r="H20" s="69">
        <f t="shared" si="7"/>
        <v>1.35</v>
      </c>
      <c r="I20" s="69">
        <v>1</v>
      </c>
      <c r="J20" s="67">
        <v>0.18</v>
      </c>
      <c r="K20" s="106">
        <f t="shared" si="8"/>
        <v>0.07</v>
      </c>
      <c r="L20" s="68">
        <f t="shared" si="9"/>
        <v>0.241814159292035</v>
      </c>
      <c r="M20" s="68">
        <f t="shared" si="10"/>
        <v>0.491814159292035</v>
      </c>
      <c r="N20" s="107">
        <v>0.99</v>
      </c>
      <c r="O20" s="107">
        <v>0.96</v>
      </c>
      <c r="P20" s="108">
        <f t="shared" si="11"/>
        <v>0.496781979082864</v>
      </c>
    </row>
    <row r="21" ht="15.6" spans="1:16">
      <c r="A21" s="60"/>
      <c r="B21" s="61" t="s">
        <v>150</v>
      </c>
      <c r="C21" s="66" t="str">
        <f t="shared" si="12"/>
        <v>光纤，华信藤仓，1芯，G657A1</v>
      </c>
      <c r="D21" s="66">
        <f>'xxxx成本价格-xxx'!D6+0.3</f>
        <v>1.3</v>
      </c>
      <c r="E21" s="65">
        <v>0.1</v>
      </c>
      <c r="F21" s="67">
        <v>0.1</v>
      </c>
      <c r="G21" s="68">
        <f>VLOOKUP(C21,材料价格!B:E,3,0)</f>
        <v>0.0309734513274336</v>
      </c>
      <c r="H21" s="69">
        <f t="shared" si="7"/>
        <v>1.35</v>
      </c>
      <c r="I21" s="69">
        <v>1</v>
      </c>
      <c r="J21" s="67">
        <v>0.18</v>
      </c>
      <c r="K21" s="106">
        <f t="shared" si="8"/>
        <v>0.07</v>
      </c>
      <c r="L21" s="68">
        <f t="shared" si="9"/>
        <v>0.241814159292035</v>
      </c>
      <c r="M21" s="68">
        <f t="shared" si="10"/>
        <v>0.491814159292035</v>
      </c>
      <c r="N21" s="107">
        <v>0.99</v>
      </c>
      <c r="O21" s="107">
        <v>0.96</v>
      </c>
      <c r="P21" s="108">
        <f t="shared" si="11"/>
        <v>0.496781979082864</v>
      </c>
    </row>
    <row r="22" ht="15.6" spans="1:16">
      <c r="A22" s="60"/>
      <c r="B22" s="61" t="s">
        <v>151</v>
      </c>
      <c r="C22" s="66" t="str">
        <f t="shared" si="12"/>
        <v>光纤，华信藤仓，1芯，G657A1</v>
      </c>
      <c r="D22" s="66">
        <f>'xxxx成本价格-xxx'!D7+0.3</f>
        <v>1.3</v>
      </c>
      <c r="E22" s="65">
        <v>0.1</v>
      </c>
      <c r="F22" s="67">
        <v>0.1</v>
      </c>
      <c r="G22" s="68">
        <f>VLOOKUP(C22,材料价格!B:E,3,0)</f>
        <v>0.0309734513274336</v>
      </c>
      <c r="H22" s="69">
        <f t="shared" si="7"/>
        <v>1.35</v>
      </c>
      <c r="I22" s="69">
        <v>1</v>
      </c>
      <c r="J22" s="67">
        <v>0.18</v>
      </c>
      <c r="K22" s="106">
        <f t="shared" si="8"/>
        <v>0.07</v>
      </c>
      <c r="L22" s="68">
        <f t="shared" si="9"/>
        <v>0.241814159292035</v>
      </c>
      <c r="M22" s="68">
        <f t="shared" si="10"/>
        <v>0.491814159292035</v>
      </c>
      <c r="N22" s="107">
        <v>0.99</v>
      </c>
      <c r="O22" s="107">
        <v>0.96</v>
      </c>
      <c r="P22" s="108">
        <f t="shared" si="11"/>
        <v>0.496781979082864</v>
      </c>
    </row>
    <row r="23" ht="15.6" spans="1:16">
      <c r="A23" s="60"/>
      <c r="B23" s="61" t="s">
        <v>152</v>
      </c>
      <c r="C23" s="66" t="str">
        <f t="shared" si="12"/>
        <v>光纤，华信藤仓，1芯，G657A1</v>
      </c>
      <c r="D23" s="66">
        <f>'xxxx成本价格-xxx'!D8+0.3</f>
        <v>1.3</v>
      </c>
      <c r="E23" s="65">
        <v>0.1</v>
      </c>
      <c r="F23" s="67">
        <v>0.1</v>
      </c>
      <c r="G23" s="68">
        <f>VLOOKUP(C23,材料价格!B:E,3,0)</f>
        <v>0.0309734513274336</v>
      </c>
      <c r="H23" s="69">
        <f t="shared" si="7"/>
        <v>1.35</v>
      </c>
      <c r="I23" s="69">
        <v>1</v>
      </c>
      <c r="J23" s="67">
        <v>0.18</v>
      </c>
      <c r="K23" s="106">
        <f t="shared" si="8"/>
        <v>0.07</v>
      </c>
      <c r="L23" s="68">
        <f t="shared" si="9"/>
        <v>0.241814159292035</v>
      </c>
      <c r="M23" s="68">
        <f t="shared" si="10"/>
        <v>0.491814159292035</v>
      </c>
      <c r="N23" s="107">
        <v>0.99</v>
      </c>
      <c r="O23" s="107">
        <v>0.96</v>
      </c>
      <c r="P23" s="108">
        <f t="shared" si="11"/>
        <v>0.496781979082864</v>
      </c>
    </row>
    <row r="24" ht="15.6" spans="1:16">
      <c r="A24" s="60"/>
      <c r="B24" s="61" t="s">
        <v>153</v>
      </c>
      <c r="C24" s="66" t="str">
        <f t="shared" si="12"/>
        <v>光纤，华信藤仓，1芯，G657A1</v>
      </c>
      <c r="D24" s="66">
        <f>'xxxx成本价格-xxx'!D9+0.3</f>
        <v>1.3</v>
      </c>
      <c r="E24" s="68">
        <v>0.22</v>
      </c>
      <c r="F24" s="67">
        <v>0.153854418540247</v>
      </c>
      <c r="G24" s="68">
        <f>VLOOKUP(C24,材料价格!B:E,3,0)</f>
        <v>0.0309734513274336</v>
      </c>
      <c r="H24" s="69">
        <f t="shared" si="7"/>
        <v>1.35</v>
      </c>
      <c r="I24" s="69">
        <v>2</v>
      </c>
      <c r="J24" s="67">
        <v>0.4732</v>
      </c>
      <c r="K24" s="106">
        <f t="shared" ref="K24:K29" si="13">0.3*0.7</f>
        <v>0.21</v>
      </c>
      <c r="L24" s="68">
        <f t="shared" si="9"/>
        <v>0.457482737124318</v>
      </c>
      <c r="M24" s="68">
        <f t="shared" si="10"/>
        <v>1.14068273712432</v>
      </c>
      <c r="N24" s="107">
        <v>0.96</v>
      </c>
      <c r="O24" s="107">
        <v>0.94</v>
      </c>
      <c r="P24" s="108">
        <f t="shared" si="11"/>
        <v>1.1882111845045</v>
      </c>
    </row>
    <row r="25" ht="15.6" spans="1:16">
      <c r="A25" s="60"/>
      <c r="B25" s="61" t="s">
        <v>154</v>
      </c>
      <c r="C25" s="66" t="str">
        <f t="shared" si="12"/>
        <v>光纤，华信藤仓，1芯，G657A1</v>
      </c>
      <c r="D25" s="66">
        <f>'xxxx成本价格-xxx'!D10+0.3</f>
        <v>1.3</v>
      </c>
      <c r="E25" s="68">
        <v>0.22</v>
      </c>
      <c r="F25" s="67">
        <v>0.153854418540247</v>
      </c>
      <c r="G25" s="68">
        <f>VLOOKUP(C25,材料价格!B:E,3,0)</f>
        <v>0.0309734513274336</v>
      </c>
      <c r="H25" s="69">
        <f t="shared" si="7"/>
        <v>1.35</v>
      </c>
      <c r="I25" s="69">
        <v>2</v>
      </c>
      <c r="J25" s="67">
        <v>0.4732</v>
      </c>
      <c r="K25" s="106">
        <f t="shared" si="13"/>
        <v>0.21</v>
      </c>
      <c r="L25" s="68">
        <f t="shared" si="9"/>
        <v>0.457482737124318</v>
      </c>
      <c r="M25" s="68">
        <f t="shared" si="10"/>
        <v>1.14068273712432</v>
      </c>
      <c r="N25" s="107">
        <v>0.96</v>
      </c>
      <c r="O25" s="107">
        <v>0.94</v>
      </c>
      <c r="P25" s="108">
        <f t="shared" si="11"/>
        <v>1.1882111845045</v>
      </c>
    </row>
    <row r="26" ht="15.6" spans="1:16">
      <c r="A26" s="60"/>
      <c r="B26" s="61" t="s">
        <v>155</v>
      </c>
      <c r="C26" s="66" t="str">
        <f t="shared" si="12"/>
        <v>光纤，华信藤仓，1芯，G657A1</v>
      </c>
      <c r="D26" s="66">
        <f>'xxxx成本价格-xxx'!D11+0.3</f>
        <v>1.3</v>
      </c>
      <c r="E26" s="68">
        <v>0.22</v>
      </c>
      <c r="F26" s="67">
        <v>0.153854418540247</v>
      </c>
      <c r="G26" s="68">
        <f>VLOOKUP(C26,材料价格!B:E,3,0)</f>
        <v>0.0309734513274336</v>
      </c>
      <c r="H26" s="69">
        <f t="shared" si="7"/>
        <v>1.35</v>
      </c>
      <c r="I26" s="69">
        <v>2</v>
      </c>
      <c r="J26" s="67">
        <v>0.4732</v>
      </c>
      <c r="K26" s="106">
        <f t="shared" si="13"/>
        <v>0.21</v>
      </c>
      <c r="L26" s="68">
        <f t="shared" si="9"/>
        <v>0.457482737124318</v>
      </c>
      <c r="M26" s="68">
        <f t="shared" si="10"/>
        <v>1.14068273712432</v>
      </c>
      <c r="N26" s="107">
        <v>0.96</v>
      </c>
      <c r="O26" s="107">
        <v>0.94</v>
      </c>
      <c r="P26" s="108">
        <f t="shared" si="11"/>
        <v>1.1882111845045</v>
      </c>
    </row>
    <row r="27" ht="15.6" spans="1:16">
      <c r="A27" s="60"/>
      <c r="B27" s="61" t="s">
        <v>156</v>
      </c>
      <c r="C27" s="66" t="str">
        <f t="shared" si="12"/>
        <v>光纤，华信藤仓，1芯，G657A1</v>
      </c>
      <c r="D27" s="66">
        <f>'xxxx成本价格-xxx'!D12+0.3</f>
        <v>1.3</v>
      </c>
      <c r="E27" s="68">
        <v>0.22</v>
      </c>
      <c r="F27" s="67">
        <v>0.153854418540247</v>
      </c>
      <c r="G27" s="68">
        <f>VLOOKUP(C27,材料价格!B:E,3,0)</f>
        <v>0.0309734513274336</v>
      </c>
      <c r="H27" s="69">
        <f t="shared" si="7"/>
        <v>1.35</v>
      </c>
      <c r="I27" s="69">
        <v>2</v>
      </c>
      <c r="J27" s="67">
        <v>0.4732</v>
      </c>
      <c r="K27" s="106">
        <f t="shared" si="13"/>
        <v>0.21</v>
      </c>
      <c r="L27" s="68">
        <f t="shared" si="9"/>
        <v>0.457482737124318</v>
      </c>
      <c r="M27" s="68">
        <f t="shared" si="10"/>
        <v>1.14068273712432</v>
      </c>
      <c r="N27" s="107">
        <v>0.96</v>
      </c>
      <c r="O27" s="107">
        <v>0.94</v>
      </c>
      <c r="P27" s="108">
        <f t="shared" si="11"/>
        <v>1.1882111845045</v>
      </c>
    </row>
    <row r="28" ht="15.6" spans="1:16">
      <c r="A28" s="60"/>
      <c r="B28" s="61" t="s">
        <v>157</v>
      </c>
      <c r="C28" s="66" t="str">
        <f t="shared" si="12"/>
        <v>光纤，华信藤仓，1芯，G657A1</v>
      </c>
      <c r="D28" s="66">
        <f>'xxxx成本价格-xxx'!D13+0.3</f>
        <v>1.3</v>
      </c>
      <c r="E28" s="68">
        <v>0.22</v>
      </c>
      <c r="F28" s="67">
        <v>0.153854418540247</v>
      </c>
      <c r="G28" s="68">
        <f>VLOOKUP(C28,材料价格!B:E,3,0)</f>
        <v>0.0309734513274336</v>
      </c>
      <c r="H28" s="69">
        <f t="shared" si="7"/>
        <v>1.35</v>
      </c>
      <c r="I28" s="69">
        <v>2</v>
      </c>
      <c r="J28" s="67">
        <v>0.4732</v>
      </c>
      <c r="K28" s="106">
        <f t="shared" si="13"/>
        <v>0.21</v>
      </c>
      <c r="L28" s="68">
        <f t="shared" si="9"/>
        <v>0.457482737124318</v>
      </c>
      <c r="M28" s="68">
        <f t="shared" si="10"/>
        <v>1.14068273712432</v>
      </c>
      <c r="N28" s="107">
        <v>0.96</v>
      </c>
      <c r="O28" s="107">
        <v>0.94</v>
      </c>
      <c r="P28" s="108">
        <f t="shared" si="11"/>
        <v>1.1882111845045</v>
      </c>
    </row>
    <row r="29" ht="15.6" spans="1:16">
      <c r="A29" s="60"/>
      <c r="B29" s="61" t="s">
        <v>158</v>
      </c>
      <c r="C29" s="66" t="str">
        <f t="shared" si="12"/>
        <v>光纤，华信藤仓，1芯，G657A1</v>
      </c>
      <c r="D29" s="66">
        <f>'xxxx成本价格-xxx'!D14+0.3</f>
        <v>1.3</v>
      </c>
      <c r="E29" s="68">
        <v>0.22</v>
      </c>
      <c r="F29" s="67">
        <v>0.153854418540247</v>
      </c>
      <c r="G29" s="68">
        <f>VLOOKUP(C29,材料价格!B:E,3,0)</f>
        <v>0.0309734513274336</v>
      </c>
      <c r="H29" s="69">
        <f t="shared" si="7"/>
        <v>1.35</v>
      </c>
      <c r="I29" s="69">
        <v>2</v>
      </c>
      <c r="J29" s="67">
        <v>0.4732</v>
      </c>
      <c r="K29" s="106">
        <f t="shared" si="13"/>
        <v>0.21</v>
      </c>
      <c r="L29" s="68">
        <f t="shared" si="9"/>
        <v>0.457482737124318</v>
      </c>
      <c r="M29" s="68">
        <f t="shared" si="10"/>
        <v>1.14068273712432</v>
      </c>
      <c r="N29" s="107">
        <v>0.96</v>
      </c>
      <c r="O29" s="107">
        <v>0.94</v>
      </c>
      <c r="P29" s="108">
        <f t="shared" si="11"/>
        <v>1.1882111845045</v>
      </c>
    </row>
    <row r="30" spans="7:7">
      <c r="G30" s="68"/>
    </row>
    <row r="32" ht="17.4" spans="1:19">
      <c r="A32" s="70" t="s">
        <v>53</v>
      </c>
      <c r="B32" s="63" t="s">
        <v>97</v>
      </c>
      <c r="C32" s="63"/>
      <c r="D32" s="63"/>
      <c r="E32" s="71" t="s">
        <v>98</v>
      </c>
      <c r="F32" s="71"/>
      <c r="G32" s="71"/>
      <c r="H32" s="72"/>
      <c r="I32" s="71"/>
      <c r="J32" s="71"/>
      <c r="K32" s="71"/>
      <c r="L32" s="71"/>
      <c r="M32" s="71"/>
      <c r="N32" s="71"/>
      <c r="O32" s="71"/>
      <c r="P32" s="109" t="s">
        <v>81</v>
      </c>
      <c r="Q32" s="124"/>
      <c r="R32" s="124"/>
      <c r="S32" s="124"/>
    </row>
    <row r="33" ht="17.4" spans="1:19">
      <c r="A33" s="73"/>
      <c r="B33" s="63"/>
      <c r="C33" s="63"/>
      <c r="D33" s="63" t="s">
        <v>78</v>
      </c>
      <c r="E33" s="63"/>
      <c r="F33" s="63"/>
      <c r="G33" s="63"/>
      <c r="H33" s="74"/>
      <c r="I33" s="63"/>
      <c r="J33" s="71" t="s">
        <v>49</v>
      </c>
      <c r="K33" s="71" t="s">
        <v>79</v>
      </c>
      <c r="L33" s="71"/>
      <c r="M33" s="71"/>
      <c r="N33" s="71"/>
      <c r="O33" s="102"/>
      <c r="P33" s="110"/>
      <c r="Q33" s="102"/>
      <c r="R33" s="125"/>
      <c r="S33" s="126"/>
    </row>
    <row r="34" spans="1:19">
      <c r="A34" s="73"/>
      <c r="B34" s="66" t="s">
        <v>1</v>
      </c>
      <c r="C34" s="66" t="s">
        <v>77</v>
      </c>
      <c r="D34" s="64" t="s">
        <v>99</v>
      </c>
      <c r="E34" s="65" t="s">
        <v>100</v>
      </c>
      <c r="F34" s="65" t="s">
        <v>85</v>
      </c>
      <c r="G34" s="65" t="s">
        <v>101</v>
      </c>
      <c r="H34" s="75" t="s">
        <v>102</v>
      </c>
      <c r="I34" s="65" t="s">
        <v>88</v>
      </c>
      <c r="J34" s="68" t="s">
        <v>89</v>
      </c>
      <c r="K34" s="65" t="s">
        <v>90</v>
      </c>
      <c r="L34" s="65" t="s">
        <v>103</v>
      </c>
      <c r="M34" s="65" t="s">
        <v>89</v>
      </c>
      <c r="N34" s="65" t="s">
        <v>64</v>
      </c>
      <c r="O34" s="65" t="s">
        <v>93</v>
      </c>
      <c r="P34" s="111" t="s">
        <v>104</v>
      </c>
      <c r="Q34" s="65"/>
      <c r="R34" s="125"/>
      <c r="S34" s="126"/>
    </row>
    <row r="35" spans="1:19">
      <c r="A35" s="73"/>
      <c r="B35" s="66" t="s">
        <v>105</v>
      </c>
      <c r="C35" s="66" t="str">
        <f>'xxxx成本价格-xxx'!C3</f>
        <v>光纤，华信藤仓，1芯，G657A1</v>
      </c>
      <c r="D35" s="64">
        <f>'xxxx成本价格-xxx'!E3+0.3</f>
        <v>1.3</v>
      </c>
      <c r="E35" s="68">
        <v>0.22</v>
      </c>
      <c r="F35" s="68">
        <v>0.153854418540247</v>
      </c>
      <c r="G35" s="68">
        <f>VLOOKUP(C35,材料价格!B:E,3,0)</f>
        <v>0.0309734513274336</v>
      </c>
      <c r="H35" s="75">
        <f t="shared" ref="H35:H47" si="14">D35+0.05</f>
        <v>1.35</v>
      </c>
      <c r="I35" s="65">
        <v>2</v>
      </c>
      <c r="J35" s="68">
        <v>0.4806</v>
      </c>
      <c r="K35" s="156">
        <f t="shared" ref="K35:K37" si="15">0.3*0.7</f>
        <v>0.21</v>
      </c>
      <c r="L35" s="68">
        <f t="shared" ref="L35:L47" si="16">E35+F35+H35*I35*G35</f>
        <v>0.457482737124318</v>
      </c>
      <c r="M35" s="68">
        <f t="shared" ref="M35:M47" si="17">J35</f>
        <v>0.4806</v>
      </c>
      <c r="N35" s="68">
        <f t="shared" ref="N35:N46" si="18">K35+L35+M35</f>
        <v>1.14808273712432</v>
      </c>
      <c r="O35" s="107">
        <v>0.96</v>
      </c>
      <c r="P35" s="114">
        <f t="shared" ref="P35:P47" si="19">N35/O35</f>
        <v>1.19591951783783</v>
      </c>
      <c r="Q35" s="68"/>
      <c r="R35" s="127"/>
      <c r="S35" s="126"/>
    </row>
    <row r="36" spans="1:19">
      <c r="A36" s="73"/>
      <c r="B36" s="66" t="s">
        <v>106</v>
      </c>
      <c r="C36" s="66" t="str">
        <f>'xxxx成本价格-xxx'!C4</f>
        <v>光纤，华信藤仓，4芯，G657A1，灰白红黑</v>
      </c>
      <c r="D36" s="64">
        <f>'xxxx成本价格-xxx'!E4+0.3</f>
        <v>1.3</v>
      </c>
      <c r="E36" s="68">
        <v>0.22</v>
      </c>
      <c r="F36" s="68">
        <v>0.153854418540247</v>
      </c>
      <c r="G36" s="68">
        <f>VLOOKUP(C36,材料价格!B:E,3,0)</f>
        <v>0.230088495575221</v>
      </c>
      <c r="H36" s="75">
        <f t="shared" si="14"/>
        <v>1.35</v>
      </c>
      <c r="I36" s="65">
        <v>1</v>
      </c>
      <c r="J36" s="68">
        <v>0.4195</v>
      </c>
      <c r="K36" s="156">
        <f t="shared" si="15"/>
        <v>0.21</v>
      </c>
      <c r="L36" s="68">
        <f t="shared" si="16"/>
        <v>0.684473887566796</v>
      </c>
      <c r="M36" s="68">
        <f t="shared" si="17"/>
        <v>0.4195</v>
      </c>
      <c r="N36" s="68">
        <f t="shared" si="18"/>
        <v>1.3139738875668</v>
      </c>
      <c r="O36" s="107">
        <v>0.97</v>
      </c>
      <c r="P36" s="114">
        <f t="shared" si="19"/>
        <v>1.3546122552235</v>
      </c>
      <c r="Q36" s="68"/>
      <c r="R36" s="127"/>
      <c r="S36" s="126"/>
    </row>
    <row r="37" spans="1:19">
      <c r="A37" s="73"/>
      <c r="B37" s="66" t="s">
        <v>107</v>
      </c>
      <c r="C37" s="66" t="str">
        <f>'xxxx成本价格-xxx'!C5</f>
        <v>光纤，华信藤仓，4芯，G657A1</v>
      </c>
      <c r="D37" s="64">
        <f>'xxxx成本价格-xxx'!E5+0.3</f>
        <v>1.3</v>
      </c>
      <c r="E37" s="68">
        <v>0.22</v>
      </c>
      <c r="F37" s="68">
        <v>0.169454418540247</v>
      </c>
      <c r="G37" s="68">
        <f>VLOOKUP(C37,材料价格!B:E,3,0)</f>
        <v>0.230088495575221</v>
      </c>
      <c r="H37" s="75">
        <f t="shared" si="14"/>
        <v>1.35</v>
      </c>
      <c r="I37" s="65">
        <v>2</v>
      </c>
      <c r="J37" s="68">
        <v>0.454</v>
      </c>
      <c r="K37" s="156">
        <f t="shared" si="15"/>
        <v>0.21</v>
      </c>
      <c r="L37" s="68">
        <f t="shared" si="16"/>
        <v>1.01069335659334</v>
      </c>
      <c r="M37" s="68">
        <f t="shared" si="17"/>
        <v>0.454</v>
      </c>
      <c r="N37" s="68">
        <f t="shared" si="18"/>
        <v>1.67469335659334</v>
      </c>
      <c r="O37" s="107">
        <v>0.97</v>
      </c>
      <c r="P37" s="114">
        <f t="shared" si="19"/>
        <v>1.72648799648798</v>
      </c>
      <c r="Q37" s="68"/>
      <c r="R37" s="127"/>
      <c r="S37" s="126"/>
    </row>
    <row r="38" spans="1:19">
      <c r="A38" s="73"/>
      <c r="B38" s="66" t="s">
        <v>108</v>
      </c>
      <c r="C38" s="66" t="str">
        <f>'xxxx成本价格-xxx'!C6</f>
        <v>光纤，康宁，8芯，G657A1 Ultra，华信藤仓并带</v>
      </c>
      <c r="D38" s="64">
        <f>'xxxx成本价格-xxx'!E6+0.3</f>
        <v>1.3</v>
      </c>
      <c r="E38" s="68">
        <v>0.664</v>
      </c>
      <c r="F38" s="68">
        <v>0.192538418540247</v>
      </c>
      <c r="G38" s="68">
        <f>VLOOKUP(C38,材料价格!B:E,3,0)</f>
        <v>1.00884955752212</v>
      </c>
      <c r="H38" s="75">
        <f t="shared" si="14"/>
        <v>1.35</v>
      </c>
      <c r="I38" s="65">
        <v>2</v>
      </c>
      <c r="J38" s="68">
        <v>0.5596</v>
      </c>
      <c r="K38" s="157">
        <f>0.45*0.7</f>
        <v>0.315</v>
      </c>
      <c r="L38" s="68">
        <f t="shared" si="16"/>
        <v>3.58043222384998</v>
      </c>
      <c r="M38" s="68">
        <f t="shared" si="17"/>
        <v>0.5596</v>
      </c>
      <c r="N38" s="68">
        <f t="shared" si="18"/>
        <v>4.45503222384998</v>
      </c>
      <c r="O38" s="107">
        <v>0.95</v>
      </c>
      <c r="P38" s="114">
        <f t="shared" si="19"/>
        <v>4.68950760405261</v>
      </c>
      <c r="Q38" s="68"/>
      <c r="R38" s="127"/>
      <c r="S38" s="126"/>
    </row>
    <row r="39" spans="1:19">
      <c r="A39" s="73"/>
      <c r="B39" s="66" t="s">
        <v>109</v>
      </c>
      <c r="C39" s="66" t="str">
        <f>'xxxx成本价格-xxx'!C7</f>
        <v>光纤，康宁，8芯，G657A1 Ultra，华信藤仓并带</v>
      </c>
      <c r="D39" s="64">
        <f>'xxxx成本价格-xxx'!E7+0.3</f>
        <v>1.3</v>
      </c>
      <c r="E39" s="68">
        <v>1.681</v>
      </c>
      <c r="F39" s="68">
        <v>0.338909418540247</v>
      </c>
      <c r="G39" s="68">
        <f>VLOOKUP(C39,材料价格!B:E,3,0)</f>
        <v>1.00884955752212</v>
      </c>
      <c r="H39" s="75">
        <f t="shared" si="14"/>
        <v>1.35</v>
      </c>
      <c r="I39" s="65">
        <v>4</v>
      </c>
      <c r="J39" s="68">
        <v>0.9844</v>
      </c>
      <c r="K39" s="157">
        <f>0.67*0.7</f>
        <v>0.469</v>
      </c>
      <c r="L39" s="68">
        <f t="shared" si="16"/>
        <v>7.46769702915972</v>
      </c>
      <c r="M39" s="68">
        <f t="shared" si="17"/>
        <v>0.9844</v>
      </c>
      <c r="N39" s="68">
        <f t="shared" si="18"/>
        <v>8.92109702915972</v>
      </c>
      <c r="O39" s="107">
        <v>0.93</v>
      </c>
      <c r="P39" s="114">
        <f t="shared" si="19"/>
        <v>9.59257745070937</v>
      </c>
      <c r="Q39" s="68"/>
      <c r="R39" s="127"/>
      <c r="S39" s="126"/>
    </row>
    <row r="40" spans="1:19">
      <c r="A40" s="73"/>
      <c r="B40" s="66" t="s">
        <v>110</v>
      </c>
      <c r="C40" s="66" t="str">
        <f>'xxxx成本价格-xxx'!C8</f>
        <v>光纤，康宁，8芯，G657A1 Ultra，华信藤仓并带</v>
      </c>
      <c r="D40" s="64">
        <f>'xxxx成本价格-xxx'!E8+0.3</f>
        <v>1.3</v>
      </c>
      <c r="E40" s="68">
        <v>7.788</v>
      </c>
      <c r="F40" s="68">
        <v>0.630055418540247</v>
      </c>
      <c r="G40" s="68">
        <f>VLOOKUP(C40,材料价格!B:E,3,0)</f>
        <v>1.00884955752212</v>
      </c>
      <c r="H40" s="75">
        <f t="shared" si="14"/>
        <v>1.35</v>
      </c>
      <c r="I40" s="65">
        <v>8</v>
      </c>
      <c r="J40" s="68">
        <v>2.6165</v>
      </c>
      <c r="K40" s="157">
        <f>1.12*0.7</f>
        <v>0.784</v>
      </c>
      <c r="L40" s="68">
        <f t="shared" si="16"/>
        <v>19.3136306397792</v>
      </c>
      <c r="M40" s="68">
        <f t="shared" si="17"/>
        <v>2.6165</v>
      </c>
      <c r="N40" s="68">
        <f t="shared" si="18"/>
        <v>22.7141306397792</v>
      </c>
      <c r="O40" s="107">
        <v>0.83</v>
      </c>
      <c r="P40" s="114">
        <f t="shared" si="19"/>
        <v>27.3664224575653</v>
      </c>
      <c r="Q40" s="68"/>
      <c r="R40" s="127"/>
      <c r="S40" s="126"/>
    </row>
    <row r="41" spans="1:19">
      <c r="A41" s="73"/>
      <c r="B41" s="66" t="s">
        <v>105</v>
      </c>
      <c r="C41" s="66" t="str">
        <f>'xxxx成本价格-xxx'!C9</f>
        <v>光纤，康宁，1芯，G657A1 Ultra</v>
      </c>
      <c r="D41" s="64">
        <f>'xxxx成本价格-xxx'!E9+0.3</f>
        <v>1.3</v>
      </c>
      <c r="E41" s="68">
        <v>0.22</v>
      </c>
      <c r="F41" s="68">
        <v>0.153854418540247</v>
      </c>
      <c r="G41" s="68">
        <f>VLOOKUP(C41,材料价格!B:E,3,0)</f>
        <v>0.110619469026549</v>
      </c>
      <c r="H41" s="75">
        <f t="shared" si="14"/>
        <v>1.35</v>
      </c>
      <c r="I41" s="65">
        <v>2</v>
      </c>
      <c r="J41" s="68">
        <v>0.4806</v>
      </c>
      <c r="K41" s="156">
        <f t="shared" ref="K41:K43" si="20">0.3*0.7</f>
        <v>0.21</v>
      </c>
      <c r="L41" s="68">
        <f t="shared" si="16"/>
        <v>0.672526984911928</v>
      </c>
      <c r="M41" s="68">
        <f t="shared" si="17"/>
        <v>0.4806</v>
      </c>
      <c r="N41" s="68">
        <f t="shared" si="18"/>
        <v>1.36312698491193</v>
      </c>
      <c r="O41" s="107">
        <v>0.96</v>
      </c>
      <c r="P41" s="114">
        <f t="shared" si="19"/>
        <v>1.41992394261659</v>
      </c>
      <c r="Q41" s="68"/>
      <c r="R41" s="127"/>
      <c r="S41" s="126"/>
    </row>
    <row r="42" spans="1:19">
      <c r="A42" s="73"/>
      <c r="B42" s="66" t="s">
        <v>106</v>
      </c>
      <c r="C42" s="66" t="str">
        <f>'xxxx成本价格-xxx'!C10</f>
        <v>光纤，康宁，4芯，康宁G657A1,蓝橙绿棕</v>
      </c>
      <c r="D42" s="64">
        <f>'xxxx成本价格-xxx'!E10+0.3</f>
        <v>1.3</v>
      </c>
      <c r="E42" s="68">
        <v>0.22</v>
      </c>
      <c r="F42" s="68">
        <v>0.153854418540247</v>
      </c>
      <c r="G42" s="68">
        <f>VLOOKUP(C42,材料价格!B:E,3,0)</f>
        <v>0.336283185840708</v>
      </c>
      <c r="H42" s="75">
        <f t="shared" si="14"/>
        <v>1.35</v>
      </c>
      <c r="I42" s="65">
        <v>1</v>
      </c>
      <c r="J42" s="68">
        <v>0.4195</v>
      </c>
      <c r="K42" s="156">
        <f t="shared" si="20"/>
        <v>0.21</v>
      </c>
      <c r="L42" s="68">
        <f t="shared" si="16"/>
        <v>0.827836719425203</v>
      </c>
      <c r="M42" s="68">
        <f t="shared" si="17"/>
        <v>0.4195</v>
      </c>
      <c r="N42" s="68">
        <f t="shared" si="18"/>
        <v>1.4573367194252</v>
      </c>
      <c r="O42" s="107">
        <v>0.97</v>
      </c>
      <c r="P42" s="114">
        <f t="shared" si="19"/>
        <v>1.50240898909815</v>
      </c>
      <c r="Q42" s="68"/>
      <c r="R42" s="127"/>
      <c r="S42" s="126"/>
    </row>
    <row r="43" spans="1:19">
      <c r="A43" s="73"/>
      <c r="B43" s="66" t="s">
        <v>107</v>
      </c>
      <c r="C43" s="66" t="str">
        <f>'xxxx成本价格-xxx'!C11</f>
        <v>光纤，康宁，4芯，康宁G657A1,蓝橙绿棕</v>
      </c>
      <c r="D43" s="64">
        <f>'xxxx成本价格-xxx'!E11+0.3</f>
        <v>1.3</v>
      </c>
      <c r="E43" s="68">
        <v>0.22</v>
      </c>
      <c r="F43" s="68">
        <v>0.169454418540247</v>
      </c>
      <c r="G43" s="68">
        <f>VLOOKUP(C43,材料价格!B:E,3,0)</f>
        <v>0.336283185840708</v>
      </c>
      <c r="H43" s="75">
        <f t="shared" si="14"/>
        <v>1.35</v>
      </c>
      <c r="I43" s="65">
        <v>2</v>
      </c>
      <c r="J43" s="68">
        <v>0.454</v>
      </c>
      <c r="K43" s="156">
        <f t="shared" si="20"/>
        <v>0.21</v>
      </c>
      <c r="L43" s="68">
        <f t="shared" si="16"/>
        <v>1.29741902031016</v>
      </c>
      <c r="M43" s="68">
        <f t="shared" si="17"/>
        <v>0.454</v>
      </c>
      <c r="N43" s="68">
        <f t="shared" si="18"/>
        <v>1.96141902031016</v>
      </c>
      <c r="O43" s="107">
        <v>0.97</v>
      </c>
      <c r="P43" s="114">
        <f t="shared" si="19"/>
        <v>2.02208146423728</v>
      </c>
      <c r="Q43" s="68"/>
      <c r="R43" s="127"/>
      <c r="S43" s="126"/>
    </row>
    <row r="44" spans="1:19">
      <c r="A44" s="73"/>
      <c r="B44" s="66" t="s">
        <v>108</v>
      </c>
      <c r="C44" s="66" t="str">
        <f>'xxxx成本价格-xxx'!C12</f>
        <v>光纤，康宁，8芯，G657A1 Ultra，华信藤仓并带</v>
      </c>
      <c r="D44" s="64">
        <f>'xxxx成本价格-xxx'!E12+0.3</f>
        <v>1.3</v>
      </c>
      <c r="E44" s="68">
        <v>0.664</v>
      </c>
      <c r="F44" s="68">
        <v>0.192538418540247</v>
      </c>
      <c r="G44" s="68">
        <f>VLOOKUP(C44,材料价格!B:E,3,0)</f>
        <v>1.00884955752212</v>
      </c>
      <c r="H44" s="75">
        <f t="shared" si="14"/>
        <v>1.35</v>
      </c>
      <c r="I44" s="65">
        <v>2</v>
      </c>
      <c r="J44" s="68">
        <v>0.5596</v>
      </c>
      <c r="K44" s="157">
        <f>0.45*0.7</f>
        <v>0.315</v>
      </c>
      <c r="L44" s="68">
        <f t="shared" si="16"/>
        <v>3.58043222384998</v>
      </c>
      <c r="M44" s="68">
        <f t="shared" si="17"/>
        <v>0.5596</v>
      </c>
      <c r="N44" s="68">
        <f t="shared" si="18"/>
        <v>4.45503222384998</v>
      </c>
      <c r="O44" s="107">
        <v>0.95</v>
      </c>
      <c r="P44" s="114">
        <f t="shared" si="19"/>
        <v>4.68950760405261</v>
      </c>
      <c r="Q44" s="68"/>
      <c r="R44" s="127"/>
      <c r="S44" s="126"/>
    </row>
    <row r="45" spans="1:19">
      <c r="A45" s="73"/>
      <c r="B45" s="66" t="s">
        <v>109</v>
      </c>
      <c r="C45" s="66" t="str">
        <f>'xxxx成本价格-xxx'!C13</f>
        <v>光纤，康宁，8芯，G657A1 Ultra，华信藤仓并带</v>
      </c>
      <c r="D45" s="64">
        <f>'xxxx成本价格-xxx'!E13+0.3</f>
        <v>1.3</v>
      </c>
      <c r="E45" s="68">
        <v>1.681</v>
      </c>
      <c r="F45" s="68">
        <v>0.338909418540247</v>
      </c>
      <c r="G45" s="68">
        <f>VLOOKUP(C45,材料价格!B:E,3,0)</f>
        <v>1.00884955752212</v>
      </c>
      <c r="H45" s="75">
        <f t="shared" si="14"/>
        <v>1.35</v>
      </c>
      <c r="I45" s="65">
        <v>4</v>
      </c>
      <c r="J45" s="68">
        <v>0.9844</v>
      </c>
      <c r="K45" s="157">
        <f>0.67*0.7</f>
        <v>0.469</v>
      </c>
      <c r="L45" s="68">
        <f t="shared" si="16"/>
        <v>7.46769702915972</v>
      </c>
      <c r="M45" s="68">
        <f t="shared" si="17"/>
        <v>0.9844</v>
      </c>
      <c r="N45" s="68">
        <f t="shared" si="18"/>
        <v>8.92109702915972</v>
      </c>
      <c r="O45" s="107">
        <v>0.93</v>
      </c>
      <c r="P45" s="114">
        <f t="shared" si="19"/>
        <v>9.59257745070937</v>
      </c>
      <c r="Q45" s="68"/>
      <c r="R45" s="127"/>
      <c r="S45" s="126"/>
    </row>
    <row r="46" spans="1:19">
      <c r="A46" s="73"/>
      <c r="B46" s="66" t="s">
        <v>110</v>
      </c>
      <c r="C46" s="66" t="str">
        <f>'xxxx成本价格-xxx'!C14</f>
        <v>光纤，康宁，8芯，G657A1 Ultra，华信藤仓并带</v>
      </c>
      <c r="D46" s="64">
        <f>'xxxx成本价格-xxx'!E14+0.3</f>
        <v>1.3</v>
      </c>
      <c r="E46" s="68">
        <v>7.788</v>
      </c>
      <c r="F46" s="68">
        <v>0.630055418540247</v>
      </c>
      <c r="G46" s="68">
        <f>VLOOKUP(C46,材料价格!B:E,3,0)</f>
        <v>1.00884955752212</v>
      </c>
      <c r="H46" s="75">
        <f t="shared" si="14"/>
        <v>1.35</v>
      </c>
      <c r="I46" s="65">
        <v>8</v>
      </c>
      <c r="J46" s="68">
        <v>2.6165</v>
      </c>
      <c r="K46" s="157">
        <f>1.12*0.7</f>
        <v>0.784</v>
      </c>
      <c r="L46" s="68">
        <f t="shared" si="16"/>
        <v>19.3136306397792</v>
      </c>
      <c r="M46" s="68">
        <f t="shared" si="17"/>
        <v>2.6165</v>
      </c>
      <c r="N46" s="68">
        <f t="shared" si="18"/>
        <v>22.7141306397792</v>
      </c>
      <c r="O46" s="107">
        <v>0.83</v>
      </c>
      <c r="P46" s="114">
        <f t="shared" si="19"/>
        <v>27.3664224575653</v>
      </c>
      <c r="Q46" s="68"/>
      <c r="R46" s="127"/>
      <c r="S46" s="126"/>
    </row>
    <row r="47" spans="1:19">
      <c r="A47" s="77"/>
      <c r="B47" s="66" t="s">
        <v>111</v>
      </c>
      <c r="C47" s="78" t="s">
        <v>112</v>
      </c>
      <c r="D47" s="79">
        <v>1</v>
      </c>
      <c r="E47" s="68">
        <v>0.602</v>
      </c>
      <c r="F47" s="67">
        <v>0.32</v>
      </c>
      <c r="G47" s="68">
        <f>VLOOKUP(C47,材料价格!B:E,3,0)</f>
        <v>0.460176991150443</v>
      </c>
      <c r="H47" s="69">
        <f t="shared" si="14"/>
        <v>1.05</v>
      </c>
      <c r="I47" s="69">
        <v>1</v>
      </c>
      <c r="J47" s="158">
        <v>0.4624</v>
      </c>
      <c r="K47" s="159">
        <v>0.45</v>
      </c>
      <c r="L47" s="68">
        <f t="shared" si="16"/>
        <v>1.40518584070796</v>
      </c>
      <c r="M47" s="68">
        <f t="shared" si="17"/>
        <v>0.4624</v>
      </c>
      <c r="N47" s="119">
        <f>J47+L47+K47</f>
        <v>2.31758584070796</v>
      </c>
      <c r="O47" s="120">
        <v>0.97</v>
      </c>
      <c r="P47" s="114">
        <f t="shared" si="19"/>
        <v>2.38926375330718</v>
      </c>
      <c r="Q47" s="128"/>
      <c r="R47" s="129"/>
      <c r="S47" s="130"/>
    </row>
    <row r="48" customFormat="1" spans="1:7">
      <c r="A48" s="43"/>
      <c r="B48" s="43"/>
      <c r="C48" s="43"/>
      <c r="D48" s="43"/>
      <c r="E48" s="43"/>
      <c r="F48" s="43"/>
      <c r="G48" s="43"/>
    </row>
    <row r="49" spans="1:7">
      <c r="A49" s="81" t="s">
        <v>113</v>
      </c>
      <c r="B49" s="48" t="s">
        <v>51</v>
      </c>
      <c r="C49" s="48" t="s">
        <v>114</v>
      </c>
      <c r="D49" s="82" t="s">
        <v>115</v>
      </c>
      <c r="E49" s="82" t="s">
        <v>116</v>
      </c>
      <c r="F49" s="82" t="s">
        <v>117</v>
      </c>
      <c r="G49" s="82" t="s">
        <v>118</v>
      </c>
    </row>
    <row r="50" spans="1:7">
      <c r="A50" s="81"/>
      <c r="B50" s="51" t="s">
        <v>65</v>
      </c>
      <c r="C50" s="51">
        <v>2</v>
      </c>
      <c r="D50" s="83">
        <v>0.06</v>
      </c>
      <c r="E50" s="82">
        <f>'xxxx成本价格-xxx'!D3+0.08</f>
        <v>1.08</v>
      </c>
      <c r="F50" s="82">
        <f>'xxxx成本价格-xxx'!E3+0.08</f>
        <v>1.08</v>
      </c>
      <c r="G50" s="84">
        <f t="shared" ref="G50:G55" si="21">D50*E50+C50*D50*F50</f>
        <v>0.1944</v>
      </c>
    </row>
    <row r="51" spans="1:7">
      <c r="A51" s="81"/>
      <c r="B51" s="51" t="s">
        <v>66</v>
      </c>
      <c r="C51" s="51">
        <v>4</v>
      </c>
      <c r="D51" s="84">
        <f t="shared" ref="D51:D61" si="22">D50</f>
        <v>0.06</v>
      </c>
      <c r="E51" s="82">
        <f>'xxxx成本价格-xxx'!D4+0.08</f>
        <v>1.08</v>
      </c>
      <c r="F51" s="82">
        <f>'xxxx成本价格-xxx'!E4+0.08</f>
        <v>1.08</v>
      </c>
      <c r="G51" s="84">
        <f t="shared" si="21"/>
        <v>0.324</v>
      </c>
    </row>
    <row r="52" spans="1:7">
      <c r="A52" s="81"/>
      <c r="B52" s="58" t="s">
        <v>119</v>
      </c>
      <c r="C52" s="58">
        <v>8</v>
      </c>
      <c r="D52" s="84">
        <f t="shared" si="22"/>
        <v>0.06</v>
      </c>
      <c r="E52" s="82">
        <f>'xxxx成本价格-xxx'!D5+0.08</f>
        <v>1.08</v>
      </c>
      <c r="F52" s="82">
        <f>'xxxx成本价格-xxx'!E5+0.08</f>
        <v>1.08</v>
      </c>
      <c r="G52" s="84">
        <f t="shared" si="21"/>
        <v>0.5832</v>
      </c>
    </row>
    <row r="53" spans="1:7">
      <c r="A53" s="81"/>
      <c r="B53" s="58" t="s">
        <v>68</v>
      </c>
      <c r="C53" s="58">
        <v>16</v>
      </c>
      <c r="D53" s="84">
        <f t="shared" si="22"/>
        <v>0.06</v>
      </c>
      <c r="E53" s="82">
        <f>'xxxx成本价格-xxx'!D6+0.08</f>
        <v>1.08</v>
      </c>
      <c r="F53" s="82">
        <f>'xxxx成本价格-xxx'!E6+0.08</f>
        <v>1.08</v>
      </c>
      <c r="G53" s="84">
        <f t="shared" si="21"/>
        <v>1.1016</v>
      </c>
    </row>
    <row r="54" spans="1:12">
      <c r="A54" s="81"/>
      <c r="B54" s="51" t="s">
        <v>69</v>
      </c>
      <c r="C54" s="51">
        <v>32</v>
      </c>
      <c r="D54" s="84">
        <f t="shared" si="22"/>
        <v>0.06</v>
      </c>
      <c r="E54" s="82">
        <f>'xxxx成本价格-xxx'!D7+0.08</f>
        <v>1.08</v>
      </c>
      <c r="F54" s="82">
        <f>'xxxx成本价格-xxx'!E7+0.08</f>
        <v>1.08</v>
      </c>
      <c r="G54" s="84">
        <f t="shared" si="21"/>
        <v>2.1384</v>
      </c>
      <c r="L54" s="121"/>
    </row>
    <row r="55" spans="1:12">
      <c r="A55" s="81"/>
      <c r="B55" s="51" t="s">
        <v>70</v>
      </c>
      <c r="C55" s="51">
        <v>64</v>
      </c>
      <c r="D55" s="84">
        <f t="shared" si="22"/>
        <v>0.06</v>
      </c>
      <c r="E55" s="82">
        <f>'xxxx成本价格-xxx'!D8+0.08</f>
        <v>1.08</v>
      </c>
      <c r="F55" s="82">
        <f>'xxxx成本价格-xxx'!E8+0.08</f>
        <v>1.08</v>
      </c>
      <c r="G55" s="84">
        <f t="shared" si="21"/>
        <v>4.212</v>
      </c>
      <c r="L55" s="121"/>
    </row>
    <row r="56" spans="1:12">
      <c r="A56" s="81"/>
      <c r="B56" s="51" t="s">
        <v>71</v>
      </c>
      <c r="C56" s="51">
        <v>2</v>
      </c>
      <c r="D56" s="84">
        <f t="shared" si="22"/>
        <v>0.06</v>
      </c>
      <c r="E56" s="82">
        <f>'xxxx成本价格-xxx'!D9+0.08</f>
        <v>1.08</v>
      </c>
      <c r="F56" s="82">
        <f>'xxxx成本价格-xxx'!E9+0.08</f>
        <v>1.08</v>
      </c>
      <c r="G56" s="84">
        <f t="shared" ref="G56:G61" si="23">D56*E56*2+C56*D56*F56</f>
        <v>0.2592</v>
      </c>
      <c r="L56" s="121"/>
    </row>
    <row r="57" spans="1:12">
      <c r="A57" s="81"/>
      <c r="B57" s="51" t="s">
        <v>72</v>
      </c>
      <c r="C57" s="51">
        <v>4</v>
      </c>
      <c r="D57" s="84">
        <f t="shared" si="22"/>
        <v>0.06</v>
      </c>
      <c r="E57" s="82">
        <f>'xxxx成本价格-xxx'!D10+0.08</f>
        <v>1.08</v>
      </c>
      <c r="F57" s="82">
        <f>'xxxx成本价格-xxx'!E10+0.08</f>
        <v>1.08</v>
      </c>
      <c r="G57" s="84">
        <f t="shared" si="23"/>
        <v>0.3888</v>
      </c>
      <c r="L57" s="121"/>
    </row>
    <row r="58" spans="1:12">
      <c r="A58" s="81"/>
      <c r="B58" s="51" t="s">
        <v>120</v>
      </c>
      <c r="C58" s="51">
        <v>8</v>
      </c>
      <c r="D58" s="84">
        <f t="shared" si="22"/>
        <v>0.06</v>
      </c>
      <c r="E58" s="82">
        <f>'xxxx成本价格-xxx'!D11+0.08</f>
        <v>1.08</v>
      </c>
      <c r="F58" s="82">
        <f>'xxxx成本价格-xxx'!E11+0.08</f>
        <v>1.08</v>
      </c>
      <c r="G58" s="84">
        <f t="shared" si="23"/>
        <v>0.648</v>
      </c>
      <c r="L58" s="121"/>
    </row>
    <row r="59" spans="1:12">
      <c r="A59" s="81"/>
      <c r="B59" s="51" t="s">
        <v>74</v>
      </c>
      <c r="C59" s="51">
        <v>16</v>
      </c>
      <c r="D59" s="84">
        <f t="shared" si="22"/>
        <v>0.06</v>
      </c>
      <c r="E59" s="82">
        <f>'xxxx成本价格-xxx'!D12+0.08</f>
        <v>1.08</v>
      </c>
      <c r="F59" s="82">
        <f>'xxxx成本价格-xxx'!E12+0.08</f>
        <v>1.08</v>
      </c>
      <c r="G59" s="84">
        <f t="shared" si="23"/>
        <v>1.1664</v>
      </c>
      <c r="L59" s="121"/>
    </row>
    <row r="60" spans="1:12">
      <c r="A60" s="81"/>
      <c r="B60" s="51" t="s">
        <v>75</v>
      </c>
      <c r="C60" s="51">
        <v>32</v>
      </c>
      <c r="D60" s="84">
        <f t="shared" si="22"/>
        <v>0.06</v>
      </c>
      <c r="E60" s="82">
        <f>'xxxx成本价格-xxx'!D13+0.08</f>
        <v>1.08</v>
      </c>
      <c r="F60" s="82">
        <f>'xxxx成本价格-xxx'!E13+0.08</f>
        <v>1.08</v>
      </c>
      <c r="G60" s="84">
        <f t="shared" si="23"/>
        <v>2.2032</v>
      </c>
      <c r="L60" s="121"/>
    </row>
    <row r="61" spans="1:12">
      <c r="A61" s="81"/>
      <c r="B61" s="51" t="s">
        <v>76</v>
      </c>
      <c r="C61" s="51">
        <v>64</v>
      </c>
      <c r="D61" s="84">
        <f t="shared" si="22"/>
        <v>0.06</v>
      </c>
      <c r="E61" s="82">
        <f>'xxxx成本价格-xxx'!D14+0.08</f>
        <v>1.08</v>
      </c>
      <c r="F61" s="82">
        <f>'xxxx成本价格-xxx'!E14+0.08</f>
        <v>1.08</v>
      </c>
      <c r="G61" s="84">
        <f t="shared" si="23"/>
        <v>4.2768</v>
      </c>
      <c r="L61" s="121"/>
    </row>
    <row r="62" spans="12:12">
      <c r="L62" s="121"/>
    </row>
    <row r="63" spans="12:12">
      <c r="L63" s="121"/>
    </row>
    <row r="64" spans="1:12">
      <c r="A64" s="85" t="s">
        <v>121</v>
      </c>
      <c r="B64" s="86"/>
      <c r="C64" s="87" t="s">
        <v>122</v>
      </c>
      <c r="D64" s="87"/>
      <c r="E64" s="87"/>
      <c r="F64" s="87" t="s">
        <v>49</v>
      </c>
      <c r="G64" s="87"/>
      <c r="H64" s="86" t="s">
        <v>123</v>
      </c>
      <c r="I64" s="86"/>
      <c r="J64" s="122" t="s">
        <v>124</v>
      </c>
      <c r="K64" s="123"/>
      <c r="L64" s="123"/>
    </row>
    <row r="65" spans="1:12">
      <c r="A65" s="85"/>
      <c r="B65" s="131" t="s">
        <v>51</v>
      </c>
      <c r="C65" s="131" t="s">
        <v>125</v>
      </c>
      <c r="D65" s="131" t="s">
        <v>126</v>
      </c>
      <c r="E65" s="131" t="s">
        <v>127</v>
      </c>
      <c r="F65" s="131" t="s">
        <v>49</v>
      </c>
      <c r="G65" s="131" t="s">
        <v>128</v>
      </c>
      <c r="H65" s="131" t="s">
        <v>50</v>
      </c>
      <c r="I65" s="131" t="s">
        <v>118</v>
      </c>
      <c r="J65" s="122"/>
      <c r="K65" s="123"/>
      <c r="L65" s="123"/>
    </row>
    <row r="66" spans="1:12">
      <c r="A66" s="85"/>
      <c r="B66" s="132" t="s">
        <v>18</v>
      </c>
      <c r="C66" s="133">
        <f>0.1/1.13</f>
        <v>0.088495575221239</v>
      </c>
      <c r="D66" s="134">
        <v>0.353982300884956</v>
      </c>
      <c r="E66" s="135">
        <v>0.06</v>
      </c>
      <c r="F66" s="135">
        <v>0.241</v>
      </c>
      <c r="G66" s="135">
        <v>0.035</v>
      </c>
      <c r="H66" s="136">
        <f>0.115378787878788*0.7</f>
        <v>0.0807651515151516</v>
      </c>
      <c r="I66" s="152">
        <f t="shared" ref="I66:I77" si="24">SUM(C66:H66)</f>
        <v>0.859243027621347</v>
      </c>
      <c r="J66" s="160">
        <v>0.919378787878788</v>
      </c>
      <c r="K66" s="123"/>
      <c r="L66" s="123"/>
    </row>
    <row r="67" spans="1:12">
      <c r="A67" s="85"/>
      <c r="B67" s="132" t="s">
        <v>25</v>
      </c>
      <c r="C67" s="133">
        <f>0.1/1.13</f>
        <v>0.088495575221239</v>
      </c>
      <c r="D67" s="134">
        <v>0.398230088495575</v>
      </c>
      <c r="E67" s="135">
        <v>0.06</v>
      </c>
      <c r="F67" s="135">
        <v>0.241</v>
      </c>
      <c r="G67" s="135">
        <v>0.035</v>
      </c>
      <c r="H67" s="136">
        <f>0.123432835820896*0.7</f>
        <v>0.0864029850746272</v>
      </c>
      <c r="I67" s="152">
        <f t="shared" si="24"/>
        <v>0.909128648791441</v>
      </c>
      <c r="J67" s="160">
        <v>0.973501211889272</v>
      </c>
      <c r="K67" s="123"/>
      <c r="L67" s="153"/>
    </row>
    <row r="68" spans="1:12">
      <c r="A68" s="85"/>
      <c r="B68" s="132" t="s">
        <v>22</v>
      </c>
      <c r="C68" s="137">
        <f>0.26/1.13</f>
        <v>0.230088495575221</v>
      </c>
      <c r="D68" s="134">
        <v>0.353982300884956</v>
      </c>
      <c r="E68" s="135">
        <v>0.06</v>
      </c>
      <c r="F68" s="135">
        <v>0.304</v>
      </c>
      <c r="G68" s="135">
        <v>0.035</v>
      </c>
      <c r="H68" s="136">
        <f>0.117027027027027*0.7</f>
        <v>0.0819189189189189</v>
      </c>
      <c r="I68" s="152">
        <f t="shared" si="24"/>
        <v>1.0649897153791</v>
      </c>
      <c r="J68" s="160">
        <v>1.01440288909599</v>
      </c>
      <c r="K68" s="123"/>
      <c r="L68" s="123"/>
    </row>
    <row r="69" spans="1:12">
      <c r="A69" s="85"/>
      <c r="B69" s="132" t="s">
        <v>129</v>
      </c>
      <c r="C69" s="137">
        <f>0.26/1.13</f>
        <v>0.230088495575221</v>
      </c>
      <c r="D69" s="134">
        <v>0.398230088495575</v>
      </c>
      <c r="E69" s="135">
        <v>0.06</v>
      </c>
      <c r="F69" s="135">
        <v>0.402</v>
      </c>
      <c r="G69" s="135">
        <v>0.04</v>
      </c>
      <c r="H69" s="136">
        <f>0.127*0.7</f>
        <v>0.0889</v>
      </c>
      <c r="I69" s="152">
        <f t="shared" si="24"/>
        <v>1.2192185840708</v>
      </c>
      <c r="J69" s="160">
        <v>1.15213734158562</v>
      </c>
      <c r="K69" s="123"/>
      <c r="L69" s="123"/>
    </row>
    <row r="70" spans="1:12">
      <c r="A70" s="85"/>
      <c r="B70" s="132" t="s">
        <v>130</v>
      </c>
      <c r="C70" s="138">
        <f>0.2/1.13</f>
        <v>0.176991150442478</v>
      </c>
      <c r="D70" s="134">
        <v>0.345132743362832</v>
      </c>
      <c r="E70" s="135">
        <v>0.06</v>
      </c>
      <c r="F70" s="135">
        <v>0.354</v>
      </c>
      <c r="G70" s="135">
        <v>0.042</v>
      </c>
      <c r="H70" s="136">
        <f t="shared" ref="H70:H74" si="25">0.15*0.7</f>
        <v>0.105</v>
      </c>
      <c r="I70" s="152">
        <f t="shared" si="24"/>
        <v>1.08312389380531</v>
      </c>
      <c r="J70" s="160">
        <v>1.12634291187739</v>
      </c>
      <c r="K70" s="123"/>
      <c r="L70" s="123"/>
    </row>
    <row r="71" spans="1:12">
      <c r="A71" s="85"/>
      <c r="B71" s="132" t="s">
        <v>131</v>
      </c>
      <c r="C71" s="138">
        <f>0.2/1.13</f>
        <v>0.176991150442478</v>
      </c>
      <c r="D71" s="134">
        <v>0.345132743362832</v>
      </c>
      <c r="E71" s="135">
        <v>0.06</v>
      </c>
      <c r="F71" s="135">
        <v>0.354</v>
      </c>
      <c r="G71" s="135">
        <v>0.042</v>
      </c>
      <c r="H71" s="136">
        <f t="shared" si="25"/>
        <v>0.105</v>
      </c>
      <c r="I71" s="152">
        <f t="shared" si="24"/>
        <v>1.08312389380531</v>
      </c>
      <c r="J71" s="160">
        <v>1.25406837606838</v>
      </c>
      <c r="K71" s="123"/>
      <c r="L71" s="123"/>
    </row>
    <row r="72" spans="1:12">
      <c r="A72" s="85"/>
      <c r="B72" s="132" t="s">
        <v>132</v>
      </c>
      <c r="C72" s="133">
        <f>0.14/1.13</f>
        <v>0.123893805309735</v>
      </c>
      <c r="D72" s="134">
        <v>0.353982300884956</v>
      </c>
      <c r="E72" s="135">
        <v>0.06</v>
      </c>
      <c r="F72" s="131">
        <v>0.35</v>
      </c>
      <c r="G72" s="135">
        <v>0.035</v>
      </c>
      <c r="H72" s="136">
        <f>0.13*0.7</f>
        <v>0.091</v>
      </c>
      <c r="I72" s="152">
        <f t="shared" si="24"/>
        <v>1.01387610619469</v>
      </c>
      <c r="J72" s="160">
        <v>1.15442735042735</v>
      </c>
      <c r="K72" s="123"/>
      <c r="L72" s="123"/>
    </row>
    <row r="73" spans="1:12">
      <c r="A73" s="85"/>
      <c r="B73" s="132" t="s">
        <v>133</v>
      </c>
      <c r="C73" s="139">
        <f>0.14/1.13</f>
        <v>0.123893805309735</v>
      </c>
      <c r="D73" s="134">
        <v>0.398230088495575</v>
      </c>
      <c r="E73" s="135">
        <v>0.06</v>
      </c>
      <c r="F73" s="131">
        <v>0.35</v>
      </c>
      <c r="G73" s="135">
        <v>0.035</v>
      </c>
      <c r="H73" s="136">
        <f>0.145*0.7</f>
        <v>0.1015</v>
      </c>
      <c r="I73" s="152">
        <f t="shared" si="24"/>
        <v>1.06862389380531</v>
      </c>
      <c r="J73" s="160">
        <v>1.26506837606838</v>
      </c>
      <c r="K73" s="123"/>
      <c r="L73" s="123"/>
    </row>
    <row r="74" spans="1:12">
      <c r="A74" s="85"/>
      <c r="B74" s="132" t="s">
        <v>134</v>
      </c>
      <c r="C74" s="133">
        <f>0.36/1.13</f>
        <v>0.31858407079646</v>
      </c>
      <c r="D74" s="134">
        <v>0.353982300884956</v>
      </c>
      <c r="E74" s="135">
        <v>0.06</v>
      </c>
      <c r="F74" s="131">
        <v>0.397</v>
      </c>
      <c r="G74" s="135">
        <v>0.035</v>
      </c>
      <c r="H74" s="136">
        <f t="shared" si="25"/>
        <v>0.105</v>
      </c>
      <c r="I74" s="152">
        <f t="shared" si="24"/>
        <v>1.26956637168142</v>
      </c>
      <c r="J74" s="160">
        <v>1.36442735042735</v>
      </c>
      <c r="K74" s="123"/>
      <c r="L74" s="123"/>
    </row>
    <row r="75" spans="1:12">
      <c r="A75" s="85"/>
      <c r="B75" s="132" t="s">
        <v>135</v>
      </c>
      <c r="C75" s="133">
        <f>0.36/1.13</f>
        <v>0.31858407079646</v>
      </c>
      <c r="D75" s="134">
        <v>0.398230088495575</v>
      </c>
      <c r="E75" s="135">
        <v>0.06</v>
      </c>
      <c r="F75" s="131">
        <v>0.502</v>
      </c>
      <c r="G75" s="135">
        <v>0.04</v>
      </c>
      <c r="H75" s="136">
        <f>0.165*0.7</f>
        <v>0.1155</v>
      </c>
      <c r="I75" s="152">
        <f t="shared" si="24"/>
        <v>1.43431415929204</v>
      </c>
      <c r="J75" s="160">
        <v>1.49506837606838</v>
      </c>
      <c r="K75" s="123"/>
      <c r="L75" s="123"/>
    </row>
    <row r="76" spans="1:12">
      <c r="A76" s="85"/>
      <c r="B76" s="132" t="s">
        <v>136</v>
      </c>
      <c r="C76" s="138">
        <f>0.35/1.13</f>
        <v>0.309734513274336</v>
      </c>
      <c r="D76" s="134">
        <v>0.345132743362832</v>
      </c>
      <c r="E76" s="135">
        <v>0.06</v>
      </c>
      <c r="F76" s="131">
        <v>0.493</v>
      </c>
      <c r="G76" s="135">
        <v>0.042</v>
      </c>
      <c r="H76" s="136">
        <f>0.18*0.7</f>
        <v>0.126</v>
      </c>
      <c r="I76" s="152">
        <f t="shared" si="24"/>
        <v>1.37586725663717</v>
      </c>
      <c r="J76" s="160">
        <v>1.45020689655172</v>
      </c>
      <c r="K76" s="123"/>
      <c r="L76" s="123"/>
    </row>
    <row r="77" spans="1:12">
      <c r="A77" s="85"/>
      <c r="B77" s="132" t="s">
        <v>137</v>
      </c>
      <c r="C77" s="138">
        <f>0.35/1.13</f>
        <v>0.309734513274336</v>
      </c>
      <c r="D77" s="134">
        <v>0.345132743362832</v>
      </c>
      <c r="E77" s="135">
        <v>0.06</v>
      </c>
      <c r="F77" s="131">
        <v>0.493</v>
      </c>
      <c r="G77" s="135">
        <v>0.042</v>
      </c>
      <c r="H77" s="136">
        <f>0.18*0.7</f>
        <v>0.126</v>
      </c>
      <c r="I77" s="152">
        <f t="shared" si="24"/>
        <v>1.37586725663717</v>
      </c>
      <c r="J77" s="160">
        <v>1.4488275862069</v>
      </c>
      <c r="K77" s="123"/>
      <c r="L77" s="123"/>
    </row>
    <row r="78" spans="1:12">
      <c r="A78" s="123"/>
      <c r="B78" s="123"/>
      <c r="C78" s="123"/>
      <c r="D78" s="123"/>
      <c r="E78" s="123"/>
      <c r="F78" s="123"/>
      <c r="G78" s="123"/>
      <c r="H78" s="123"/>
      <c r="I78" s="123"/>
      <c r="J78" s="122"/>
      <c r="K78" s="123"/>
      <c r="L78" s="123"/>
    </row>
    <row r="79" spans="1:12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</row>
    <row r="80" spans="1:12">
      <c r="A80" s="140" t="s">
        <v>138</v>
      </c>
      <c r="B80" s="141"/>
      <c r="C80" s="141" t="s">
        <v>139</v>
      </c>
      <c r="D80" s="141"/>
      <c r="E80" s="141"/>
      <c r="F80" s="141"/>
      <c r="G80" s="141" t="s">
        <v>140</v>
      </c>
      <c r="H80" s="141"/>
      <c r="I80" s="141"/>
      <c r="J80" s="141"/>
      <c r="K80" s="123"/>
      <c r="L80" s="123"/>
    </row>
    <row r="81" ht="21.6" spans="1:12">
      <c r="A81" s="142"/>
      <c r="B81" s="143" t="s">
        <v>51</v>
      </c>
      <c r="C81" s="144" t="s">
        <v>141</v>
      </c>
      <c r="D81" s="145" t="s">
        <v>142</v>
      </c>
      <c r="E81" s="145" t="s">
        <v>114</v>
      </c>
      <c r="F81" s="146" t="s">
        <v>143</v>
      </c>
      <c r="G81" s="145" t="s">
        <v>144</v>
      </c>
      <c r="H81" s="145" t="s">
        <v>145</v>
      </c>
      <c r="I81" s="145" t="s">
        <v>146</v>
      </c>
      <c r="J81" s="145" t="s">
        <v>13</v>
      </c>
      <c r="K81" s="123"/>
      <c r="L81" s="123"/>
    </row>
    <row r="82" spans="1:12">
      <c r="A82" s="142"/>
      <c r="B82" s="143" t="s">
        <v>65</v>
      </c>
      <c r="C82" s="145">
        <f>O3</f>
        <v>6.37980705339268</v>
      </c>
      <c r="D82" s="147">
        <f>VLOOKUP('xxxx成本价格-xxx'!F3,$B$66:$I$77,8,0)</f>
        <v>0.859243027621347</v>
      </c>
      <c r="E82" s="145">
        <v>3</v>
      </c>
      <c r="F82" s="148">
        <f>'xxxx成本价格-xxx'!I3</f>
        <v>0.9751</v>
      </c>
      <c r="G82" s="149">
        <v>0.458</v>
      </c>
      <c r="H82" s="149">
        <v>0.2267</v>
      </c>
      <c r="I82" s="145">
        <f>0.143636363636364*0.7</f>
        <v>0.100545454545455</v>
      </c>
      <c r="J82" s="154">
        <f t="shared" ref="J82:J87" si="26">(C82+D82*E82)/F82+G82+H82+I82</f>
        <v>9.97151982256589</v>
      </c>
      <c r="K82" s="123"/>
      <c r="L82" s="123"/>
    </row>
    <row r="83" spans="1:13">
      <c r="A83" s="142"/>
      <c r="B83" s="143" t="s">
        <v>66</v>
      </c>
      <c r="C83" s="145">
        <f t="shared" ref="C83:C93" si="27">O4</f>
        <v>6.563217188107</v>
      </c>
      <c r="D83" s="147">
        <f>VLOOKUP('xxxx成本价格-xxx'!F4,$B$66:$I$77,8,0)</f>
        <v>1.0649897153791</v>
      </c>
      <c r="E83" s="145">
        <v>5</v>
      </c>
      <c r="F83" s="148">
        <f>'xxxx成本价格-xxx'!I4</f>
        <v>0.9751</v>
      </c>
      <c r="G83" s="149">
        <v>0.458</v>
      </c>
      <c r="H83" s="149">
        <v>0.2267</v>
      </c>
      <c r="I83" s="145">
        <f>0.135*0.7</f>
        <v>0.0945</v>
      </c>
      <c r="J83" s="154">
        <f t="shared" si="26"/>
        <v>12.9709400933263</v>
      </c>
      <c r="K83" s="123"/>
      <c r="L83" s="123"/>
      <c r="M83" s="43">
        <f>1.33+0.22*5</f>
        <v>2.43</v>
      </c>
    </row>
    <row r="84" spans="1:12">
      <c r="A84" s="142"/>
      <c r="B84" s="143" t="s">
        <v>119</v>
      </c>
      <c r="C84" s="145">
        <f t="shared" si="27"/>
        <v>7.4888583192626</v>
      </c>
      <c r="D84" s="147">
        <f>VLOOKUP('xxxx成本价格-xxx'!F5,$B$66:$I$77,8,0)</f>
        <v>0.909128648791441</v>
      </c>
      <c r="E84" s="145">
        <v>9</v>
      </c>
      <c r="F84" s="148">
        <f>'xxxx成本价格-xxx'!I5</f>
        <v>0.970125</v>
      </c>
      <c r="G84" s="149">
        <v>0.56</v>
      </c>
      <c r="H84" s="149">
        <v>0.2267</v>
      </c>
      <c r="I84" s="145">
        <f>0.1425*0.7</f>
        <v>0.09975</v>
      </c>
      <c r="J84" s="154">
        <f t="shared" si="26"/>
        <v>17.040055111079</v>
      </c>
      <c r="K84" s="123"/>
      <c r="L84" s="123"/>
    </row>
    <row r="85" spans="1:12">
      <c r="A85" s="142"/>
      <c r="B85" s="150" t="s">
        <v>68</v>
      </c>
      <c r="C85" s="145">
        <f t="shared" si="27"/>
        <v>15.0525129250076</v>
      </c>
      <c r="D85" s="147">
        <f>VLOOKUP('xxxx成本价格-xxx'!F6,$B$66:$I$77,8,0)</f>
        <v>0.859243027621347</v>
      </c>
      <c r="E85" s="149">
        <v>17</v>
      </c>
      <c r="F85" s="148">
        <f>'xxxx成本价格-xxx'!I6</f>
        <v>0.960125</v>
      </c>
      <c r="G85" s="149">
        <v>1.077</v>
      </c>
      <c r="H85" s="149">
        <v>0.256</v>
      </c>
      <c r="I85" s="149">
        <f>0.196666666666667*0.7</f>
        <v>0.137666666666667</v>
      </c>
      <c r="J85" s="154">
        <f t="shared" si="26"/>
        <v>32.3621072546844</v>
      </c>
      <c r="K85" s="123"/>
      <c r="L85" s="123"/>
    </row>
    <row r="86" spans="1:12">
      <c r="A86" s="142"/>
      <c r="B86" s="150" t="s">
        <v>69</v>
      </c>
      <c r="C86" s="145">
        <f t="shared" si="27"/>
        <v>28.6390510667551</v>
      </c>
      <c r="D86" s="147">
        <f>VLOOKUP('xxxx成本价格-xxx'!F7,$B$66:$I$77,8,0)</f>
        <v>0.859243027621347</v>
      </c>
      <c r="E86" s="149">
        <v>33</v>
      </c>
      <c r="F86" s="148">
        <f>'xxxx成本价格-xxx'!I7</f>
        <v>0.950125</v>
      </c>
      <c r="G86" s="149">
        <v>1.556</v>
      </c>
      <c r="H86" s="149">
        <v>0.324</v>
      </c>
      <c r="I86" s="149">
        <f>0.449*0.7</f>
        <v>0.3143</v>
      </c>
      <c r="J86" s="154">
        <f t="shared" si="26"/>
        <v>62.1801660473722</v>
      </c>
      <c r="K86" s="123"/>
      <c r="L86" s="123"/>
    </row>
    <row r="87" spans="1:12">
      <c r="A87" s="142"/>
      <c r="B87" s="150" t="s">
        <v>70</v>
      </c>
      <c r="C87" s="145">
        <f t="shared" si="27"/>
        <v>68.753541475004</v>
      </c>
      <c r="D87" s="147">
        <f>VLOOKUP('xxxx成本价格-xxx'!F8,$B$66:$I$77,8,0)</f>
        <v>0.859243027621347</v>
      </c>
      <c r="E87" s="149">
        <v>65</v>
      </c>
      <c r="F87" s="148">
        <f>'xxxx成本价格-xxx'!I8</f>
        <v>0.93</v>
      </c>
      <c r="G87" s="149">
        <v>2.333</v>
      </c>
      <c r="H87" s="149">
        <v>1.524</v>
      </c>
      <c r="I87" s="149">
        <f>0.604285714285714*0.7</f>
        <v>0.423</v>
      </c>
      <c r="J87" s="154">
        <f t="shared" si="26"/>
        <v>138.263159430529</v>
      </c>
      <c r="K87" s="123"/>
      <c r="L87" s="123"/>
    </row>
    <row r="88" spans="1:12">
      <c r="A88" s="142"/>
      <c r="B88" s="150" t="s">
        <v>71</v>
      </c>
      <c r="C88" s="145">
        <f t="shared" si="27"/>
        <v>17.4503201617577</v>
      </c>
      <c r="D88" s="147">
        <f>VLOOKUP('xxxx成本价格-xxx'!F9,$B$66:$I$77,8,0)</f>
        <v>0.859243027621347</v>
      </c>
      <c r="E88" s="149">
        <v>4</v>
      </c>
      <c r="F88" s="148">
        <f>'xxxx成本价格-xxx'!I9</f>
        <v>0.9751</v>
      </c>
      <c r="G88" s="149">
        <v>0.458</v>
      </c>
      <c r="H88" s="149">
        <v>0.2267</v>
      </c>
      <c r="I88" s="149">
        <f>0.143333333333333*0.7</f>
        <v>0.100333333333333</v>
      </c>
      <c r="J88" s="155">
        <f>(C88+D88*E88)/F88+G88+H88+I88+G66*2</f>
        <v>22.275700210826</v>
      </c>
      <c r="K88" s="123"/>
      <c r="L88" s="123"/>
    </row>
    <row r="89" spans="1:12">
      <c r="A89" s="142"/>
      <c r="B89" s="143" t="s">
        <v>72</v>
      </c>
      <c r="C89" s="145">
        <f t="shared" si="27"/>
        <v>17.6963865525993</v>
      </c>
      <c r="D89" s="147">
        <f>VLOOKUP('xxxx成本价格-xxx'!F10,$B$66:$I$77,8,0)</f>
        <v>0.859243027621347</v>
      </c>
      <c r="E89" s="145">
        <v>6</v>
      </c>
      <c r="F89" s="148">
        <f>'xxxx成本价格-xxx'!I10</f>
        <v>0.9751</v>
      </c>
      <c r="G89" s="149">
        <v>0.458</v>
      </c>
      <c r="H89" s="149">
        <v>0.2267</v>
      </c>
      <c r="I89" s="145">
        <f>0.141428571428571*0.7</f>
        <v>0.0989999999999997</v>
      </c>
      <c r="J89" s="155">
        <f>(C89+D89*E89)/F89+G89+H89+I89+G66*4</f>
        <v>24.3590858253793</v>
      </c>
      <c r="K89" s="123"/>
      <c r="L89" s="123"/>
    </row>
    <row r="90" spans="1:12">
      <c r="A90" s="142"/>
      <c r="B90" s="143" t="s">
        <v>120</v>
      </c>
      <c r="C90" s="145">
        <f t="shared" si="27"/>
        <v>19.7604591348882</v>
      </c>
      <c r="D90" s="147">
        <f>VLOOKUP('xxxx成本价格-xxx'!F11,$B$66:$I$77,8,0)</f>
        <v>0.859243027621347</v>
      </c>
      <c r="E90" s="145">
        <v>10</v>
      </c>
      <c r="F90" s="148">
        <f>'xxxx成本价格-xxx'!I11</f>
        <v>0.970125</v>
      </c>
      <c r="G90" s="149">
        <v>0.56</v>
      </c>
      <c r="H90" s="149">
        <v>0.2267</v>
      </c>
      <c r="I90" s="145">
        <f>0.156*0.7</f>
        <v>0.1092</v>
      </c>
      <c r="J90" s="155">
        <f>(C90+D90*E90)/F90+G90+H90+I90+G66*8</f>
        <v>30.4019166587828</v>
      </c>
      <c r="K90" s="123"/>
      <c r="L90" s="123"/>
    </row>
    <row r="91" spans="1:12">
      <c r="A91" s="142"/>
      <c r="B91" s="143" t="s">
        <v>74</v>
      </c>
      <c r="C91" s="145">
        <f t="shared" si="27"/>
        <v>38.044144286868</v>
      </c>
      <c r="D91" s="147">
        <f>VLOOKUP('xxxx成本价格-xxx'!F12,$B$66:$I$77,8,0)</f>
        <v>0.859243027621347</v>
      </c>
      <c r="E91" s="145">
        <v>18</v>
      </c>
      <c r="F91" s="148">
        <f>'xxxx成本价格-xxx'!I12</f>
        <v>0.960125</v>
      </c>
      <c r="G91" s="149">
        <v>1.077</v>
      </c>
      <c r="H91" s="149">
        <v>0.256</v>
      </c>
      <c r="I91" s="145">
        <f>0.1975*0.7</f>
        <v>0.13825</v>
      </c>
      <c r="J91" s="155">
        <f>(C91+D91*E91)/F91+G91+H91+I91+G66*16</f>
        <v>57.7641168496833</v>
      </c>
      <c r="K91" s="123"/>
      <c r="L91" s="123"/>
    </row>
    <row r="92" spans="1:12">
      <c r="A92" s="142"/>
      <c r="B92" s="143" t="s">
        <v>75</v>
      </c>
      <c r="C92" s="145">
        <f t="shared" si="27"/>
        <v>62.8900371076453</v>
      </c>
      <c r="D92" s="147">
        <f>VLOOKUP('xxxx成本价格-xxx'!F13,$B$66:$I$77,8,0)</f>
        <v>0.859243027621347</v>
      </c>
      <c r="E92" s="145">
        <v>34</v>
      </c>
      <c r="F92" s="148">
        <f>'xxxx成本价格-xxx'!I13</f>
        <v>0.950125</v>
      </c>
      <c r="G92" s="149">
        <v>1.556</v>
      </c>
      <c r="H92" s="149">
        <v>0.324</v>
      </c>
      <c r="I92" s="145">
        <f>0.47*0.7</f>
        <v>0.329</v>
      </c>
      <c r="J92" s="155">
        <f>(C92+D92*E92)/F92+G92+H92+I92+G66*32</f>
        <v>100.268139636123</v>
      </c>
      <c r="K92" s="123"/>
      <c r="L92" s="123"/>
    </row>
    <row r="93" spans="1:12">
      <c r="A93" s="151"/>
      <c r="B93" s="143" t="s">
        <v>76</v>
      </c>
      <c r="C93" s="145">
        <f t="shared" si="27"/>
        <v>166.980401725702</v>
      </c>
      <c r="D93" s="147">
        <f>VLOOKUP('xxxx成本价格-xxx'!F14,$B$66:$I$77,8,0)</f>
        <v>0.859243027621347</v>
      </c>
      <c r="E93" s="145">
        <v>66</v>
      </c>
      <c r="F93" s="148">
        <f>'xxxx成本价格-xxx'!I14</f>
        <v>0.93</v>
      </c>
      <c r="G93" s="149">
        <v>2.333</v>
      </c>
      <c r="H93" s="149">
        <v>1.524</v>
      </c>
      <c r="I93" s="145">
        <f>0.7875*0.7</f>
        <v>0.55125</v>
      </c>
      <c r="J93" s="155">
        <f>(C93+D93*E93)/F93+G93+H93+I93+G66*64</f>
        <v>247.17560650399</v>
      </c>
      <c r="K93" s="123"/>
      <c r="L93" s="123"/>
    </row>
    <row r="94" spans="11:12">
      <c r="K94" s="123"/>
      <c r="L94" s="123"/>
    </row>
    <row r="95" spans="11:12">
      <c r="K95" s="123"/>
      <c r="L95" s="123"/>
    </row>
    <row r="96" spans="11:12">
      <c r="K96" s="123"/>
      <c r="L96" s="123"/>
    </row>
    <row r="97" spans="11:12">
      <c r="K97" s="123"/>
      <c r="L97" s="123"/>
    </row>
    <row r="98" spans="11:12">
      <c r="K98" s="123"/>
      <c r="L98" s="123"/>
    </row>
  </sheetData>
  <mergeCells count="21">
    <mergeCell ref="C1:G1"/>
    <mergeCell ref="D16:I16"/>
    <mergeCell ref="L16:M16"/>
    <mergeCell ref="N16:O16"/>
    <mergeCell ref="B32:D32"/>
    <mergeCell ref="E32:O32"/>
    <mergeCell ref="P32:S32"/>
    <mergeCell ref="D33:I33"/>
    <mergeCell ref="C64:E64"/>
    <mergeCell ref="F64:G64"/>
    <mergeCell ref="C80:F80"/>
    <mergeCell ref="G80:J80"/>
    <mergeCell ref="A1:A14"/>
    <mergeCell ref="A16:A29"/>
    <mergeCell ref="A32:A47"/>
    <mergeCell ref="A49:A61"/>
    <mergeCell ref="A64:A77"/>
    <mergeCell ref="A80:A93"/>
    <mergeCell ref="B16:B17"/>
    <mergeCell ref="C16:C17"/>
    <mergeCell ref="P16:P17"/>
  </mergeCells>
  <conditionalFormatting sqref="G18:G30">
    <cfRule type="cellIs" dxfId="0" priority="2" operator="lessThan">
      <formula>0</formula>
    </cfRule>
  </conditionalFormatting>
  <conditionalFormatting sqref="G35:G47">
    <cfRule type="cellIs" dxfId="0" priority="1" operator="lessThan">
      <formula>0</formula>
    </cfRule>
  </conditionalFormatting>
  <pageMargins left="0.75" right="0.75" top="1" bottom="1" header="0.5" footer="0.5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7"/>
  <sheetViews>
    <sheetView tabSelected="1" topLeftCell="D7" workbookViewId="0">
      <selection activeCell="G20" sqref="G20"/>
    </sheetView>
  </sheetViews>
  <sheetFormatPr defaultColWidth="9" defaultRowHeight="14.4"/>
  <cols>
    <col min="1" max="1" width="5.25" style="43" customWidth="1"/>
    <col min="2" max="2" width="13.1111111111111" style="43" customWidth="1"/>
    <col min="3" max="3" width="29" style="43" customWidth="1"/>
    <col min="4" max="4" width="9.87962962962963" style="43" customWidth="1"/>
    <col min="5" max="5" width="16.7777777777778" style="43" customWidth="1"/>
    <col min="6" max="6" width="20.8888888888889" style="43" customWidth="1"/>
    <col min="7" max="7" width="13.75" style="43"/>
    <col min="8" max="8" width="13.1296296296296" style="43" customWidth="1"/>
    <col min="9" max="9" width="11" style="43" customWidth="1"/>
    <col min="10" max="10" width="16.1111111111111" style="43" customWidth="1"/>
    <col min="11" max="11" width="19.1296296296296" style="43" customWidth="1"/>
    <col min="12" max="12" width="14.8888888888889" style="43" customWidth="1"/>
    <col min="13" max="13" width="10.3796296296296" style="43" customWidth="1"/>
    <col min="14" max="14" width="10.8796296296296" style="43" customWidth="1"/>
    <col min="15" max="15" width="9" style="43"/>
    <col min="16" max="16" width="11.8888888888889" style="43"/>
    <col min="17" max="16384" width="9" style="43"/>
  </cols>
  <sheetData>
    <row r="1" ht="22.2" spans="1:16">
      <c r="A1" s="44" t="s">
        <v>46</v>
      </c>
      <c r="B1" s="45"/>
      <c r="C1" s="46" t="s">
        <v>47</v>
      </c>
      <c r="D1" s="47"/>
      <c r="E1" s="47"/>
      <c r="F1" s="47"/>
      <c r="G1" s="47"/>
      <c r="H1" s="47" t="s">
        <v>48</v>
      </c>
      <c r="I1" s="47" t="s">
        <v>49</v>
      </c>
      <c r="J1" s="88" t="s">
        <v>50</v>
      </c>
      <c r="K1" s="89"/>
      <c r="L1" s="89"/>
      <c r="M1" s="89"/>
      <c r="N1" s="90"/>
      <c r="O1" s="90"/>
      <c r="P1" s="90"/>
    </row>
    <row r="2" ht="32.4" spans="1:17">
      <c r="A2" s="44"/>
      <c r="B2" s="48" t="s">
        <v>51</v>
      </c>
      <c r="C2" s="48" t="s">
        <v>52</v>
      </c>
      <c r="D2" s="49" t="s">
        <v>53</v>
      </c>
      <c r="E2" s="48" t="s">
        <v>54</v>
      </c>
      <c r="F2" s="48" t="s">
        <v>55</v>
      </c>
      <c r="G2" s="48" t="s">
        <v>56</v>
      </c>
      <c r="H2" s="50" t="s">
        <v>57</v>
      </c>
      <c r="I2" s="91" t="s">
        <v>58</v>
      </c>
      <c r="J2" s="48" t="s">
        <v>59</v>
      </c>
      <c r="K2" s="92" t="s">
        <v>60</v>
      </c>
      <c r="L2" s="92" t="s">
        <v>61</v>
      </c>
      <c r="M2" s="92" t="s">
        <v>62</v>
      </c>
      <c r="N2" s="93" t="s">
        <v>63</v>
      </c>
      <c r="O2" s="94" t="s">
        <v>64</v>
      </c>
      <c r="P2" s="95"/>
      <c r="Q2" s="95"/>
    </row>
    <row r="3" spans="1:17">
      <c r="A3" s="44"/>
      <c r="B3" s="51" t="s">
        <v>65</v>
      </c>
      <c r="C3" s="52">
        <f>1.96/1.13</f>
        <v>1.73451327433628</v>
      </c>
      <c r="D3" s="53">
        <f>P35</f>
        <v>1.19591951783783</v>
      </c>
      <c r="E3" s="54">
        <f>P18</f>
        <v>0.496781979082864</v>
      </c>
      <c r="F3" s="55">
        <v>0.2</v>
      </c>
      <c r="G3" s="56">
        <f t="shared" ref="G3:G14" si="0">G50</f>
        <v>0.1944</v>
      </c>
      <c r="H3" s="57">
        <v>0.21</v>
      </c>
      <c r="I3" s="55">
        <v>1.603</v>
      </c>
      <c r="J3" s="96">
        <f>0.7*0.7</f>
        <v>0.49</v>
      </c>
      <c r="K3" s="55">
        <f t="shared" ref="K3:K14" si="1">SUM(C3:H3)</f>
        <v>4.03161477125697</v>
      </c>
      <c r="L3" s="55">
        <f t="shared" ref="L3:L14" si="2">I3</f>
        <v>1.603</v>
      </c>
      <c r="M3" s="55">
        <f t="shared" ref="M3:M14" si="3">J3</f>
        <v>0.49</v>
      </c>
      <c r="N3" s="97">
        <f>'xxxx成本价格-xxx'!H3</f>
        <v>0.96</v>
      </c>
      <c r="O3" s="98">
        <f>SUM(C3:J3)/N3</f>
        <v>6.37980705339268</v>
      </c>
      <c r="P3" s="54"/>
      <c r="Q3" s="54"/>
    </row>
    <row r="4" spans="1:17">
      <c r="A4" s="44"/>
      <c r="B4" s="51" t="s">
        <v>66</v>
      </c>
      <c r="C4" s="52">
        <f>1.61/1.13</f>
        <v>1.42477876106195</v>
      </c>
      <c r="D4" s="53">
        <f t="shared" ref="D4:D14" si="4">P36</f>
        <v>1.3546122552235</v>
      </c>
      <c r="E4" s="54">
        <f t="shared" ref="E4:E14" si="5">P19</f>
        <v>0.496781979082864</v>
      </c>
      <c r="F4" s="55">
        <v>0.2</v>
      </c>
      <c r="G4" s="56">
        <f t="shared" si="0"/>
        <v>0.324</v>
      </c>
      <c r="H4" s="57">
        <v>0.21</v>
      </c>
      <c r="I4" s="55">
        <v>1.7098</v>
      </c>
      <c r="J4" s="96">
        <f>0.735833333333333*0.7</f>
        <v>0.515083333333333</v>
      </c>
      <c r="K4" s="55">
        <f t="shared" si="1"/>
        <v>4.01017299536831</v>
      </c>
      <c r="L4" s="55">
        <f t="shared" si="2"/>
        <v>1.7098</v>
      </c>
      <c r="M4" s="55">
        <f t="shared" si="3"/>
        <v>0.515083333333333</v>
      </c>
      <c r="N4" s="97">
        <f>'xxxx成本价格-xxx'!H4</f>
        <v>0.95</v>
      </c>
      <c r="O4" s="98">
        <f t="shared" ref="O4:O14" si="6">SUM(C4:J4)/N4</f>
        <v>6.563217188107</v>
      </c>
      <c r="P4" s="54"/>
      <c r="Q4" s="54"/>
    </row>
    <row r="5" spans="1:17">
      <c r="A5" s="44"/>
      <c r="B5" s="58" t="s">
        <v>67</v>
      </c>
      <c r="C5" s="52">
        <f>1.61/1.13</f>
        <v>1.42477876106195</v>
      </c>
      <c r="D5" s="53">
        <f t="shared" si="4"/>
        <v>1.72648799648798</v>
      </c>
      <c r="E5" s="54">
        <f t="shared" si="5"/>
        <v>0.496781979082864</v>
      </c>
      <c r="F5" s="55">
        <v>0.2</v>
      </c>
      <c r="G5" s="56">
        <f t="shared" si="0"/>
        <v>0.5832</v>
      </c>
      <c r="H5" s="57">
        <v>0.21</v>
      </c>
      <c r="I5" s="55">
        <v>1.9225</v>
      </c>
      <c r="J5" s="96">
        <f>0.786666666666667*0.7</f>
        <v>0.550666666666667</v>
      </c>
      <c r="K5" s="55">
        <f t="shared" si="1"/>
        <v>4.6412487366328</v>
      </c>
      <c r="L5" s="55">
        <f t="shared" si="2"/>
        <v>1.9225</v>
      </c>
      <c r="M5" s="55">
        <f t="shared" si="3"/>
        <v>0.550666666666667</v>
      </c>
      <c r="N5" s="97">
        <f>'xxxx成本价格-xxx'!H5</f>
        <v>0.95</v>
      </c>
      <c r="O5" s="98">
        <f t="shared" si="6"/>
        <v>7.4888583192626</v>
      </c>
      <c r="P5" s="99"/>
      <c r="Q5" s="99"/>
    </row>
    <row r="6" spans="1:17">
      <c r="A6" s="44"/>
      <c r="B6" s="58" t="s">
        <v>68</v>
      </c>
      <c r="C6" s="52">
        <f>4.01/1.13</f>
        <v>3.54867256637168</v>
      </c>
      <c r="D6" s="53">
        <f t="shared" si="4"/>
        <v>4.6895076040526</v>
      </c>
      <c r="E6" s="54">
        <f t="shared" si="5"/>
        <v>0.496781979082864</v>
      </c>
      <c r="F6" s="55">
        <v>0.57</v>
      </c>
      <c r="G6" s="56">
        <f t="shared" si="0"/>
        <v>1.1016</v>
      </c>
      <c r="H6" s="57">
        <v>0.26</v>
      </c>
      <c r="I6" s="55">
        <v>2.7793</v>
      </c>
      <c r="J6" s="96">
        <f>1.005*0.7</f>
        <v>0.7035</v>
      </c>
      <c r="K6" s="55">
        <f t="shared" si="1"/>
        <v>10.6665621495071</v>
      </c>
      <c r="L6" s="55">
        <f t="shared" si="2"/>
        <v>2.7793</v>
      </c>
      <c r="M6" s="55">
        <f t="shared" si="3"/>
        <v>0.7035</v>
      </c>
      <c r="N6" s="97">
        <f>'xxxx成本价格-xxx'!H6</f>
        <v>0.94</v>
      </c>
      <c r="O6" s="98">
        <f t="shared" si="6"/>
        <v>15.0525129250076</v>
      </c>
      <c r="P6" s="99"/>
      <c r="Q6" s="99"/>
    </row>
    <row r="7" spans="1:17">
      <c r="A7" s="44"/>
      <c r="B7" s="51" t="s">
        <v>69</v>
      </c>
      <c r="C7" s="52">
        <f>9.02/1.13</f>
        <v>7.98230088495575</v>
      </c>
      <c r="D7" s="53">
        <f t="shared" si="4"/>
        <v>9.59257745070935</v>
      </c>
      <c r="E7" s="54">
        <f t="shared" si="5"/>
        <v>0.496781979082864</v>
      </c>
      <c r="F7" s="55">
        <f>0.78</f>
        <v>0.78</v>
      </c>
      <c r="G7" s="56">
        <f t="shared" si="0"/>
        <v>2.1384</v>
      </c>
      <c r="H7" s="57">
        <v>0.48</v>
      </c>
      <c r="I7" s="55">
        <v>3.9037</v>
      </c>
      <c r="J7" s="96">
        <f>1.39166666666667*0.7</f>
        <v>0.974166666666669</v>
      </c>
      <c r="K7" s="55">
        <f t="shared" si="1"/>
        <v>21.470060314748</v>
      </c>
      <c r="L7" s="55">
        <f t="shared" si="2"/>
        <v>3.9037</v>
      </c>
      <c r="M7" s="55">
        <f t="shared" si="3"/>
        <v>0.974166666666669</v>
      </c>
      <c r="N7" s="97">
        <f>'xxxx成本价格-xxx'!H7</f>
        <v>0.92</v>
      </c>
      <c r="O7" s="98">
        <f t="shared" si="6"/>
        <v>28.639051066755</v>
      </c>
      <c r="P7" s="99"/>
      <c r="Q7" s="99"/>
    </row>
    <row r="8" spans="1:17">
      <c r="A8" s="44"/>
      <c r="B8" s="51" t="s">
        <v>70</v>
      </c>
      <c r="C8" s="52">
        <f>21.48/1.13</f>
        <v>19.0088495575221</v>
      </c>
      <c r="D8" s="53">
        <f t="shared" si="4"/>
        <v>27.3664224575652</v>
      </c>
      <c r="E8" s="54">
        <f t="shared" si="5"/>
        <v>0.496781979082864</v>
      </c>
      <c r="F8" s="55">
        <f>1.55</f>
        <v>1.55</v>
      </c>
      <c r="G8" s="56">
        <f t="shared" si="0"/>
        <v>4.212</v>
      </c>
      <c r="H8" s="59">
        <v>0.63</v>
      </c>
      <c r="I8" s="55">
        <v>7.0648</v>
      </c>
      <c r="J8" s="96">
        <f>2.21333333333333*0.7</f>
        <v>1.54933333333333</v>
      </c>
      <c r="K8" s="55">
        <f t="shared" si="1"/>
        <v>53.2640539941702</v>
      </c>
      <c r="L8" s="55">
        <f t="shared" si="2"/>
        <v>7.0648</v>
      </c>
      <c r="M8" s="55">
        <f t="shared" si="3"/>
        <v>1.54933333333333</v>
      </c>
      <c r="N8" s="97">
        <f>'xxxx成本价格-xxx'!H8</f>
        <v>0.9</v>
      </c>
      <c r="O8" s="98">
        <f t="shared" si="6"/>
        <v>68.7535414750039</v>
      </c>
      <c r="P8" s="54"/>
      <c r="Q8" s="54"/>
    </row>
    <row r="9" spans="1:17">
      <c r="A9" s="44"/>
      <c r="B9" s="51" t="s">
        <v>71</v>
      </c>
      <c r="C9" s="52">
        <v>10.6194690265487</v>
      </c>
      <c r="D9" s="53">
        <f t="shared" si="4"/>
        <v>1.41992394261659</v>
      </c>
      <c r="E9" s="54">
        <f t="shared" si="5"/>
        <v>1.1882111845045</v>
      </c>
      <c r="F9" s="55">
        <v>0.2</v>
      </c>
      <c r="G9" s="56">
        <f t="shared" si="0"/>
        <v>0.2592</v>
      </c>
      <c r="H9" s="57">
        <v>0.18</v>
      </c>
      <c r="I9" s="100">
        <v>2.123</v>
      </c>
      <c r="J9" s="96">
        <f>0.84*0.7</f>
        <v>0.588</v>
      </c>
      <c r="K9" s="55">
        <f t="shared" si="1"/>
        <v>13.8668041536698</v>
      </c>
      <c r="L9" s="55">
        <f t="shared" si="2"/>
        <v>2.123</v>
      </c>
      <c r="M9" s="55">
        <f t="shared" si="3"/>
        <v>0.588</v>
      </c>
      <c r="N9" s="97">
        <f>'xxxx成本价格-xxx'!H9</f>
        <v>0.95</v>
      </c>
      <c r="O9" s="98">
        <f t="shared" si="6"/>
        <v>17.4503201617577</v>
      </c>
      <c r="P9" s="101"/>
      <c r="Q9" s="99"/>
    </row>
    <row r="10" spans="1:17">
      <c r="A10" s="44"/>
      <c r="B10" s="51" t="s">
        <v>72</v>
      </c>
      <c r="C10" s="52">
        <v>10.3362831858407</v>
      </c>
      <c r="D10" s="53">
        <f t="shared" si="4"/>
        <v>1.50240898909815</v>
      </c>
      <c r="E10" s="54">
        <f t="shared" si="5"/>
        <v>1.1882111845045</v>
      </c>
      <c r="F10" s="55">
        <v>0.2</v>
      </c>
      <c r="G10" s="56">
        <f t="shared" si="0"/>
        <v>0.3888</v>
      </c>
      <c r="H10" s="57">
        <v>0.18</v>
      </c>
      <c r="I10" s="100">
        <v>2.2208</v>
      </c>
      <c r="J10" s="96">
        <f>0.883*0.7</f>
        <v>0.6181</v>
      </c>
      <c r="K10" s="55">
        <f t="shared" si="1"/>
        <v>13.7957033594433</v>
      </c>
      <c r="L10" s="55">
        <f t="shared" si="2"/>
        <v>2.2208</v>
      </c>
      <c r="M10" s="55">
        <f t="shared" si="3"/>
        <v>0.6181</v>
      </c>
      <c r="N10" s="97">
        <f>'xxxx成本价格-xxx'!H10</f>
        <v>0.94</v>
      </c>
      <c r="O10" s="98">
        <f t="shared" si="6"/>
        <v>17.6963865525993</v>
      </c>
      <c r="P10" s="101"/>
      <c r="Q10" s="54"/>
    </row>
    <row r="11" spans="1:17">
      <c r="A11" s="44"/>
      <c r="B11" s="51" t="s">
        <v>73</v>
      </c>
      <c r="C11" s="52">
        <v>11.2212389380531</v>
      </c>
      <c r="D11" s="53">
        <f t="shared" si="4"/>
        <v>2.02208146423728</v>
      </c>
      <c r="E11" s="54">
        <f t="shared" si="5"/>
        <v>1.1882111845045</v>
      </c>
      <c r="F11" s="55">
        <v>0.2</v>
      </c>
      <c r="G11" s="56">
        <f t="shared" si="0"/>
        <v>0.648</v>
      </c>
      <c r="H11" s="57">
        <v>0.18</v>
      </c>
      <c r="I11" s="100">
        <v>2.4545</v>
      </c>
      <c r="J11" s="96">
        <f>0.944*0.7</f>
        <v>0.6608</v>
      </c>
      <c r="K11" s="55">
        <f t="shared" si="1"/>
        <v>15.4595315867949</v>
      </c>
      <c r="L11" s="55">
        <f t="shared" si="2"/>
        <v>2.4545</v>
      </c>
      <c r="M11" s="55">
        <f t="shared" si="3"/>
        <v>0.6608</v>
      </c>
      <c r="N11" s="97">
        <f>'xxxx成本价格-xxx'!H11</f>
        <v>0.94</v>
      </c>
      <c r="O11" s="98">
        <f t="shared" si="6"/>
        <v>19.7604591348882</v>
      </c>
      <c r="P11" s="101"/>
      <c r="Q11" s="99"/>
    </row>
    <row r="12" spans="1:17">
      <c r="A12" s="44"/>
      <c r="B12" s="51" t="s">
        <v>74</v>
      </c>
      <c r="C12" s="52">
        <v>23.2920353982301</v>
      </c>
      <c r="D12" s="53">
        <f t="shared" si="4"/>
        <v>4.6895076040526</v>
      </c>
      <c r="E12" s="54">
        <f t="shared" si="5"/>
        <v>1.1882111845045</v>
      </c>
      <c r="F12" s="55">
        <v>0.57</v>
      </c>
      <c r="G12" s="56">
        <f t="shared" si="0"/>
        <v>1.1664</v>
      </c>
      <c r="H12" s="57">
        <v>0.26</v>
      </c>
      <c r="I12" s="100">
        <v>3.3707</v>
      </c>
      <c r="J12" s="96">
        <f>1.206*0.7</f>
        <v>0.8442</v>
      </c>
      <c r="K12" s="55">
        <f t="shared" si="1"/>
        <v>31.1661541867872</v>
      </c>
      <c r="L12" s="55">
        <f t="shared" si="2"/>
        <v>3.3707</v>
      </c>
      <c r="M12" s="55">
        <f t="shared" si="3"/>
        <v>0.8442</v>
      </c>
      <c r="N12" s="97">
        <f>'xxxx成本价格-xxx'!H12</f>
        <v>0.93</v>
      </c>
      <c r="O12" s="98">
        <f t="shared" si="6"/>
        <v>38.044144286868</v>
      </c>
      <c r="P12" s="101"/>
      <c r="Q12" s="54"/>
    </row>
    <row r="13" spans="1:17">
      <c r="A13" s="44"/>
      <c r="B13" s="51" t="s">
        <v>75</v>
      </c>
      <c r="C13" s="52">
        <v>37.0973451327434</v>
      </c>
      <c r="D13" s="53">
        <f t="shared" si="4"/>
        <v>9.59257745070935</v>
      </c>
      <c r="E13" s="54">
        <f t="shared" si="5"/>
        <v>1.1882111845045</v>
      </c>
      <c r="F13" s="55">
        <f>0.78</f>
        <v>0.78</v>
      </c>
      <c r="G13" s="56">
        <f t="shared" si="0"/>
        <v>2.2032</v>
      </c>
      <c r="H13" s="57">
        <v>0.48</v>
      </c>
      <c r="I13" s="100">
        <v>4.7196</v>
      </c>
      <c r="J13" s="96">
        <f>1.67*0.7</f>
        <v>1.169</v>
      </c>
      <c r="K13" s="55">
        <f t="shared" si="1"/>
        <v>51.3413337679572</v>
      </c>
      <c r="L13" s="55">
        <f t="shared" si="2"/>
        <v>4.7196</v>
      </c>
      <c r="M13" s="55">
        <f t="shared" si="3"/>
        <v>1.169</v>
      </c>
      <c r="N13" s="97">
        <f>'xxxx成本价格-xxx'!H13</f>
        <v>0.91</v>
      </c>
      <c r="O13" s="98">
        <f t="shared" si="6"/>
        <v>62.8900371076453</v>
      </c>
      <c r="P13" s="101"/>
      <c r="Q13" s="99"/>
    </row>
    <row r="14" spans="1:17">
      <c r="A14" s="44"/>
      <c r="B14" s="51" t="s">
        <v>76</v>
      </c>
      <c r="C14" s="52">
        <v>103.522123893805</v>
      </c>
      <c r="D14" s="53">
        <f t="shared" si="4"/>
        <v>27.3664224575652</v>
      </c>
      <c r="E14" s="54">
        <f t="shared" si="5"/>
        <v>1.1882111845045</v>
      </c>
      <c r="F14" s="55">
        <f>1.55</f>
        <v>1.55</v>
      </c>
      <c r="G14" s="56">
        <f t="shared" si="0"/>
        <v>4.2768</v>
      </c>
      <c r="H14" s="59">
        <v>0.63</v>
      </c>
      <c r="I14" s="100">
        <v>8.2198</v>
      </c>
      <c r="J14" s="96">
        <f>2.656*0.7</f>
        <v>1.8592</v>
      </c>
      <c r="K14" s="55">
        <f t="shared" si="1"/>
        <v>138.533557535875</v>
      </c>
      <c r="L14" s="55">
        <f t="shared" si="2"/>
        <v>8.2198</v>
      </c>
      <c r="M14" s="55">
        <f t="shared" si="3"/>
        <v>1.8592</v>
      </c>
      <c r="N14" s="97">
        <f>'xxxx成本价格-xxx'!H14</f>
        <v>0.89</v>
      </c>
      <c r="O14" s="98">
        <f t="shared" si="6"/>
        <v>166.980401725702</v>
      </c>
      <c r="P14" s="101"/>
      <c r="Q14" s="54"/>
    </row>
    <row r="16" ht="17.4" spans="1:16">
      <c r="A16" s="60" t="s">
        <v>54</v>
      </c>
      <c r="B16" s="61" t="s">
        <v>1</v>
      </c>
      <c r="C16" s="62" t="s">
        <v>77</v>
      </c>
      <c r="D16" s="63" t="s">
        <v>78</v>
      </c>
      <c r="E16" s="63"/>
      <c r="F16" s="63"/>
      <c r="G16" s="63"/>
      <c r="H16" s="63"/>
      <c r="I16" s="63"/>
      <c r="J16" s="71" t="s">
        <v>49</v>
      </c>
      <c r="K16" s="102" t="s">
        <v>79</v>
      </c>
      <c r="L16" s="103" t="s">
        <v>80</v>
      </c>
      <c r="M16" s="104"/>
      <c r="N16" s="102" t="s">
        <v>81</v>
      </c>
      <c r="O16" s="102"/>
      <c r="P16" s="105" t="s">
        <v>82</v>
      </c>
    </row>
    <row r="17" spans="1:16">
      <c r="A17" s="60"/>
      <c r="B17" s="61"/>
      <c r="C17" s="62"/>
      <c r="D17" s="64" t="s">
        <v>83</v>
      </c>
      <c r="E17" s="65" t="s">
        <v>84</v>
      </c>
      <c r="F17" s="65" t="s">
        <v>85</v>
      </c>
      <c r="G17" s="65" t="s">
        <v>86</v>
      </c>
      <c r="H17" s="65" t="s">
        <v>87</v>
      </c>
      <c r="I17" s="65" t="s">
        <v>88</v>
      </c>
      <c r="J17" s="68" t="s">
        <v>89</v>
      </c>
      <c r="K17" s="65" t="s">
        <v>90</v>
      </c>
      <c r="L17" s="69" t="s">
        <v>91</v>
      </c>
      <c r="M17" s="69" t="s">
        <v>92</v>
      </c>
      <c r="N17" s="65" t="s">
        <v>93</v>
      </c>
      <c r="O17" s="65" t="s">
        <v>94</v>
      </c>
      <c r="P17" s="105"/>
    </row>
    <row r="18" ht="15.6" spans="1:16">
      <c r="A18" s="60"/>
      <c r="B18" s="61" t="s">
        <v>147</v>
      </c>
      <c r="C18" s="66" t="str">
        <f>'xxxx成本价格-xxx'!C3</f>
        <v>光纤，华信藤仓，1芯，G657A1</v>
      </c>
      <c r="D18" s="66">
        <f>'xxxx成本价格-xxx'!D3+0.3</f>
        <v>1.3</v>
      </c>
      <c r="E18" s="65">
        <v>0.1</v>
      </c>
      <c r="F18" s="67">
        <v>0.1</v>
      </c>
      <c r="G18" s="68">
        <f>VLOOKUP(C18,材料价格!B:E,3,0)</f>
        <v>0.0309734513274336</v>
      </c>
      <c r="H18" s="69">
        <f t="shared" ref="H18:H29" si="7">D18+0.05</f>
        <v>1.35</v>
      </c>
      <c r="I18" s="69">
        <v>1</v>
      </c>
      <c r="J18" s="67">
        <v>0.18</v>
      </c>
      <c r="K18" s="106">
        <f t="shared" ref="K18:K23" si="8">0.1*0.7</f>
        <v>0.07</v>
      </c>
      <c r="L18" s="68">
        <f t="shared" ref="L18:L29" si="9">E18+F18+H18*I18*G18</f>
        <v>0.241814159292035</v>
      </c>
      <c r="M18" s="68">
        <f t="shared" ref="M18:M29" si="10">J18+L18+K18</f>
        <v>0.491814159292035</v>
      </c>
      <c r="N18" s="107">
        <v>0.99</v>
      </c>
      <c r="O18" s="107">
        <v>0.96</v>
      </c>
      <c r="P18" s="108">
        <f>M18/N18</f>
        <v>0.496781979082864</v>
      </c>
    </row>
    <row r="19" ht="15.6" spans="1:16">
      <c r="A19" s="60"/>
      <c r="B19" s="61" t="s">
        <v>148</v>
      </c>
      <c r="C19" s="66" t="str">
        <f t="shared" ref="C19:C29" si="11">C18</f>
        <v>光纤，华信藤仓，1芯，G657A1</v>
      </c>
      <c r="D19" s="66">
        <f>'xxxx成本价格-xxx'!D4+0.3</f>
        <v>1.3</v>
      </c>
      <c r="E19" s="65">
        <v>0.1</v>
      </c>
      <c r="F19" s="67">
        <v>0.1</v>
      </c>
      <c r="G19" s="68">
        <f>VLOOKUP(C19,材料价格!B:E,3,0)</f>
        <v>0.0309734513274336</v>
      </c>
      <c r="H19" s="69">
        <f t="shared" si="7"/>
        <v>1.35</v>
      </c>
      <c r="I19" s="69">
        <v>1</v>
      </c>
      <c r="J19" s="67">
        <v>0.18</v>
      </c>
      <c r="K19" s="106">
        <f t="shared" si="8"/>
        <v>0.07</v>
      </c>
      <c r="L19" s="68">
        <f t="shared" si="9"/>
        <v>0.241814159292035</v>
      </c>
      <c r="M19" s="68">
        <f t="shared" si="10"/>
        <v>0.491814159292035</v>
      </c>
      <c r="N19" s="107">
        <v>0.99</v>
      </c>
      <c r="O19" s="107">
        <v>0.96</v>
      </c>
      <c r="P19" s="108">
        <f t="shared" ref="P19:P29" si="12">M19/N19</f>
        <v>0.496781979082864</v>
      </c>
    </row>
    <row r="20" ht="15.6" spans="1:16">
      <c r="A20" s="60"/>
      <c r="B20" s="61" t="s">
        <v>149</v>
      </c>
      <c r="C20" s="66" t="str">
        <f t="shared" si="11"/>
        <v>光纤，华信藤仓，1芯，G657A1</v>
      </c>
      <c r="D20" s="66">
        <f>'xxxx成本价格-xxx'!D5+0.3</f>
        <v>1.3</v>
      </c>
      <c r="E20" s="65">
        <v>0.1</v>
      </c>
      <c r="F20" s="67">
        <v>0.1</v>
      </c>
      <c r="G20" s="68">
        <f>VLOOKUP(C20,材料价格!B:E,3,0)</f>
        <v>0.0309734513274336</v>
      </c>
      <c r="H20" s="69">
        <f t="shared" si="7"/>
        <v>1.35</v>
      </c>
      <c r="I20" s="69">
        <v>1</v>
      </c>
      <c r="J20" s="67">
        <v>0.18</v>
      </c>
      <c r="K20" s="106">
        <f t="shared" si="8"/>
        <v>0.07</v>
      </c>
      <c r="L20" s="68">
        <f t="shared" si="9"/>
        <v>0.241814159292035</v>
      </c>
      <c r="M20" s="68">
        <f t="shared" si="10"/>
        <v>0.491814159292035</v>
      </c>
      <c r="N20" s="107">
        <v>0.99</v>
      </c>
      <c r="O20" s="107">
        <v>0.96</v>
      </c>
      <c r="P20" s="108">
        <f t="shared" si="12"/>
        <v>0.496781979082864</v>
      </c>
    </row>
    <row r="21" ht="15.6" spans="1:16">
      <c r="A21" s="60"/>
      <c r="B21" s="61" t="s">
        <v>150</v>
      </c>
      <c r="C21" s="66" t="str">
        <f t="shared" si="11"/>
        <v>光纤，华信藤仓，1芯，G657A1</v>
      </c>
      <c r="D21" s="66">
        <f>'xxxx成本价格-xxx'!D6+0.3</f>
        <v>1.3</v>
      </c>
      <c r="E21" s="65">
        <v>0.1</v>
      </c>
      <c r="F21" s="67">
        <v>0.1</v>
      </c>
      <c r="G21" s="68">
        <f>VLOOKUP(C21,材料价格!B:E,3,0)</f>
        <v>0.0309734513274336</v>
      </c>
      <c r="H21" s="69">
        <f t="shared" si="7"/>
        <v>1.35</v>
      </c>
      <c r="I21" s="69">
        <v>1</v>
      </c>
      <c r="J21" s="67">
        <v>0.18</v>
      </c>
      <c r="K21" s="106">
        <f t="shared" si="8"/>
        <v>0.07</v>
      </c>
      <c r="L21" s="68">
        <f t="shared" si="9"/>
        <v>0.241814159292035</v>
      </c>
      <c r="M21" s="68">
        <f t="shared" si="10"/>
        <v>0.491814159292035</v>
      </c>
      <c r="N21" s="107">
        <v>0.99</v>
      </c>
      <c r="O21" s="107">
        <v>0.96</v>
      </c>
      <c r="P21" s="108">
        <f t="shared" si="12"/>
        <v>0.496781979082864</v>
      </c>
    </row>
    <row r="22" ht="15.6" spans="1:16">
      <c r="A22" s="60"/>
      <c r="B22" s="61" t="s">
        <v>151</v>
      </c>
      <c r="C22" s="66" t="str">
        <f t="shared" si="11"/>
        <v>光纤，华信藤仓，1芯，G657A1</v>
      </c>
      <c r="D22" s="66">
        <f>'xxxx成本价格-xxx'!D7+0.3</f>
        <v>1.3</v>
      </c>
      <c r="E22" s="65">
        <v>0.1</v>
      </c>
      <c r="F22" s="67">
        <v>0.1</v>
      </c>
      <c r="G22" s="68">
        <f>VLOOKUP(C22,材料价格!B:E,3,0)</f>
        <v>0.0309734513274336</v>
      </c>
      <c r="H22" s="69">
        <f t="shared" si="7"/>
        <v>1.35</v>
      </c>
      <c r="I22" s="69">
        <v>1</v>
      </c>
      <c r="J22" s="67">
        <v>0.18</v>
      </c>
      <c r="K22" s="106">
        <f t="shared" si="8"/>
        <v>0.07</v>
      </c>
      <c r="L22" s="68">
        <f t="shared" si="9"/>
        <v>0.241814159292035</v>
      </c>
      <c r="M22" s="68">
        <f t="shared" si="10"/>
        <v>0.491814159292035</v>
      </c>
      <c r="N22" s="107">
        <v>0.99</v>
      </c>
      <c r="O22" s="107">
        <v>0.96</v>
      </c>
      <c r="P22" s="108">
        <f t="shared" si="12"/>
        <v>0.496781979082864</v>
      </c>
    </row>
    <row r="23" ht="15.6" spans="1:16">
      <c r="A23" s="60"/>
      <c r="B23" s="61" t="s">
        <v>152</v>
      </c>
      <c r="C23" s="66" t="str">
        <f t="shared" si="11"/>
        <v>光纤，华信藤仓，1芯，G657A1</v>
      </c>
      <c r="D23" s="66">
        <f>'xxxx成本价格-xxx'!D8+0.3</f>
        <v>1.3</v>
      </c>
      <c r="E23" s="65">
        <v>0.1</v>
      </c>
      <c r="F23" s="67">
        <v>0.1</v>
      </c>
      <c r="G23" s="68">
        <f>VLOOKUP(C23,材料价格!B:E,3,0)</f>
        <v>0.0309734513274336</v>
      </c>
      <c r="H23" s="69">
        <f t="shared" si="7"/>
        <v>1.35</v>
      </c>
      <c r="I23" s="69">
        <v>1</v>
      </c>
      <c r="J23" s="67">
        <v>0.18</v>
      </c>
      <c r="K23" s="106">
        <f t="shared" si="8"/>
        <v>0.07</v>
      </c>
      <c r="L23" s="68">
        <f t="shared" si="9"/>
        <v>0.241814159292035</v>
      </c>
      <c r="M23" s="68">
        <f t="shared" si="10"/>
        <v>0.491814159292035</v>
      </c>
      <c r="N23" s="107">
        <v>0.99</v>
      </c>
      <c r="O23" s="107">
        <v>0.96</v>
      </c>
      <c r="P23" s="108">
        <f t="shared" si="12"/>
        <v>0.496781979082864</v>
      </c>
    </row>
    <row r="24" ht="15.6" spans="1:16">
      <c r="A24" s="60"/>
      <c r="B24" s="61" t="s">
        <v>153</v>
      </c>
      <c r="C24" s="66" t="str">
        <f t="shared" si="11"/>
        <v>光纤，华信藤仓，1芯，G657A1</v>
      </c>
      <c r="D24" s="66">
        <f>'xxxx成本价格-xxx'!D9+0.3</f>
        <v>1.3</v>
      </c>
      <c r="E24" s="68">
        <v>0.22</v>
      </c>
      <c r="F24" s="67">
        <v>0.153854418540247</v>
      </c>
      <c r="G24" s="68">
        <f>VLOOKUP(C24,材料价格!B:E,3,0)</f>
        <v>0.0309734513274336</v>
      </c>
      <c r="H24" s="69">
        <f t="shared" si="7"/>
        <v>1.35</v>
      </c>
      <c r="I24" s="69">
        <v>2</v>
      </c>
      <c r="J24" s="67">
        <v>0.4732</v>
      </c>
      <c r="K24" s="106">
        <f t="shared" ref="K24:K29" si="13">0.3*0.7</f>
        <v>0.21</v>
      </c>
      <c r="L24" s="68">
        <f t="shared" si="9"/>
        <v>0.457482737124318</v>
      </c>
      <c r="M24" s="68">
        <f t="shared" si="10"/>
        <v>1.14068273712432</v>
      </c>
      <c r="N24" s="107">
        <v>0.96</v>
      </c>
      <c r="O24" s="107">
        <v>0.94</v>
      </c>
      <c r="P24" s="108">
        <f t="shared" si="12"/>
        <v>1.1882111845045</v>
      </c>
    </row>
    <row r="25" ht="15.6" spans="1:16">
      <c r="A25" s="60"/>
      <c r="B25" s="61" t="s">
        <v>154</v>
      </c>
      <c r="C25" s="66" t="str">
        <f t="shared" si="11"/>
        <v>光纤，华信藤仓，1芯，G657A1</v>
      </c>
      <c r="D25" s="66">
        <f>'xxxx成本价格-xxx'!D10+0.3</f>
        <v>1.3</v>
      </c>
      <c r="E25" s="68">
        <v>0.22</v>
      </c>
      <c r="F25" s="67">
        <v>0.153854418540247</v>
      </c>
      <c r="G25" s="68">
        <f>VLOOKUP(C25,材料价格!B:E,3,0)</f>
        <v>0.0309734513274336</v>
      </c>
      <c r="H25" s="69">
        <f t="shared" si="7"/>
        <v>1.35</v>
      </c>
      <c r="I25" s="69">
        <v>2</v>
      </c>
      <c r="J25" s="67">
        <v>0.4732</v>
      </c>
      <c r="K25" s="106">
        <f t="shared" si="13"/>
        <v>0.21</v>
      </c>
      <c r="L25" s="68">
        <f t="shared" si="9"/>
        <v>0.457482737124318</v>
      </c>
      <c r="M25" s="68">
        <f t="shared" si="10"/>
        <v>1.14068273712432</v>
      </c>
      <c r="N25" s="107">
        <v>0.96</v>
      </c>
      <c r="O25" s="107">
        <v>0.94</v>
      </c>
      <c r="P25" s="108">
        <f t="shared" si="12"/>
        <v>1.1882111845045</v>
      </c>
    </row>
    <row r="26" ht="15.6" spans="1:16">
      <c r="A26" s="60"/>
      <c r="B26" s="61" t="s">
        <v>155</v>
      </c>
      <c r="C26" s="66" t="str">
        <f t="shared" si="11"/>
        <v>光纤，华信藤仓，1芯，G657A1</v>
      </c>
      <c r="D26" s="66">
        <f>'xxxx成本价格-xxx'!D11+0.3</f>
        <v>1.3</v>
      </c>
      <c r="E26" s="68">
        <v>0.22</v>
      </c>
      <c r="F26" s="67">
        <v>0.153854418540247</v>
      </c>
      <c r="G26" s="68">
        <f>VLOOKUP(C26,材料价格!B:E,3,0)</f>
        <v>0.0309734513274336</v>
      </c>
      <c r="H26" s="69">
        <f t="shared" si="7"/>
        <v>1.35</v>
      </c>
      <c r="I26" s="69">
        <v>2</v>
      </c>
      <c r="J26" s="67">
        <v>0.4732</v>
      </c>
      <c r="K26" s="106">
        <f t="shared" si="13"/>
        <v>0.21</v>
      </c>
      <c r="L26" s="68">
        <f t="shared" si="9"/>
        <v>0.457482737124318</v>
      </c>
      <c r="M26" s="68">
        <f t="shared" si="10"/>
        <v>1.14068273712432</v>
      </c>
      <c r="N26" s="107">
        <v>0.96</v>
      </c>
      <c r="O26" s="107">
        <v>0.94</v>
      </c>
      <c r="P26" s="108">
        <f t="shared" si="12"/>
        <v>1.1882111845045</v>
      </c>
    </row>
    <row r="27" ht="15.6" spans="1:16">
      <c r="A27" s="60"/>
      <c r="B27" s="61" t="s">
        <v>156</v>
      </c>
      <c r="C27" s="66" t="str">
        <f t="shared" si="11"/>
        <v>光纤，华信藤仓，1芯，G657A1</v>
      </c>
      <c r="D27" s="66">
        <f>'xxxx成本价格-xxx'!D12+0.3</f>
        <v>1.3</v>
      </c>
      <c r="E27" s="68">
        <v>0.22</v>
      </c>
      <c r="F27" s="67">
        <v>0.153854418540247</v>
      </c>
      <c r="G27" s="68">
        <f>VLOOKUP(C27,材料价格!B:E,3,0)</f>
        <v>0.0309734513274336</v>
      </c>
      <c r="H27" s="69">
        <f t="shared" si="7"/>
        <v>1.35</v>
      </c>
      <c r="I27" s="69">
        <v>2</v>
      </c>
      <c r="J27" s="67">
        <v>0.4732</v>
      </c>
      <c r="K27" s="106">
        <f t="shared" si="13"/>
        <v>0.21</v>
      </c>
      <c r="L27" s="68">
        <f t="shared" si="9"/>
        <v>0.457482737124318</v>
      </c>
      <c r="M27" s="68">
        <f t="shared" si="10"/>
        <v>1.14068273712432</v>
      </c>
      <c r="N27" s="107">
        <v>0.96</v>
      </c>
      <c r="O27" s="107">
        <v>0.94</v>
      </c>
      <c r="P27" s="108">
        <f t="shared" si="12"/>
        <v>1.1882111845045</v>
      </c>
    </row>
    <row r="28" ht="15.6" spans="1:16">
      <c r="A28" s="60"/>
      <c r="B28" s="61" t="s">
        <v>157</v>
      </c>
      <c r="C28" s="66" t="str">
        <f t="shared" si="11"/>
        <v>光纤，华信藤仓，1芯，G657A1</v>
      </c>
      <c r="D28" s="66">
        <f>'xxxx成本价格-xxx'!D13+0.3</f>
        <v>1.3</v>
      </c>
      <c r="E28" s="68">
        <v>0.22</v>
      </c>
      <c r="F28" s="67">
        <v>0.153854418540247</v>
      </c>
      <c r="G28" s="68">
        <f>VLOOKUP(C28,材料价格!B:E,3,0)</f>
        <v>0.0309734513274336</v>
      </c>
      <c r="H28" s="69">
        <f t="shared" si="7"/>
        <v>1.35</v>
      </c>
      <c r="I28" s="69">
        <v>2</v>
      </c>
      <c r="J28" s="67">
        <v>0.4732</v>
      </c>
      <c r="K28" s="106">
        <f t="shared" si="13"/>
        <v>0.21</v>
      </c>
      <c r="L28" s="68">
        <f t="shared" si="9"/>
        <v>0.457482737124318</v>
      </c>
      <c r="M28" s="68">
        <f t="shared" si="10"/>
        <v>1.14068273712432</v>
      </c>
      <c r="N28" s="107">
        <v>0.96</v>
      </c>
      <c r="O28" s="107">
        <v>0.94</v>
      </c>
      <c r="P28" s="108">
        <f t="shared" si="12"/>
        <v>1.1882111845045</v>
      </c>
    </row>
    <row r="29" ht="15.6" spans="1:16">
      <c r="A29" s="60"/>
      <c r="B29" s="61" t="s">
        <v>158</v>
      </c>
      <c r="C29" s="66" t="str">
        <f t="shared" si="11"/>
        <v>光纤，华信藤仓，1芯，G657A1</v>
      </c>
      <c r="D29" s="66">
        <f>'xxxx成本价格-xxx'!D14+0.3</f>
        <v>1.3</v>
      </c>
      <c r="E29" s="68">
        <v>0.22</v>
      </c>
      <c r="F29" s="67">
        <v>0.153854418540247</v>
      </c>
      <c r="G29" s="68">
        <f>VLOOKUP(C29,材料价格!B:E,3,0)</f>
        <v>0.0309734513274336</v>
      </c>
      <c r="H29" s="69">
        <f t="shared" si="7"/>
        <v>1.35</v>
      </c>
      <c r="I29" s="69">
        <v>2</v>
      </c>
      <c r="J29" s="67">
        <v>0.4732</v>
      </c>
      <c r="K29" s="106">
        <f t="shared" si="13"/>
        <v>0.21</v>
      </c>
      <c r="L29" s="68">
        <f t="shared" si="9"/>
        <v>0.457482737124318</v>
      </c>
      <c r="M29" s="68">
        <f t="shared" si="10"/>
        <v>1.14068273712432</v>
      </c>
      <c r="N29" s="107">
        <v>0.96</v>
      </c>
      <c r="O29" s="107">
        <v>0.94</v>
      </c>
      <c r="P29" s="108">
        <f t="shared" si="12"/>
        <v>1.1882111845045</v>
      </c>
    </row>
    <row r="30" spans="7:7">
      <c r="G30" s="68"/>
    </row>
    <row r="32" ht="17.4" spans="1:19">
      <c r="A32" s="70" t="s">
        <v>53</v>
      </c>
      <c r="B32" s="63" t="s">
        <v>97</v>
      </c>
      <c r="C32" s="63"/>
      <c r="D32" s="63"/>
      <c r="E32" s="71" t="s">
        <v>98</v>
      </c>
      <c r="F32" s="71"/>
      <c r="G32" s="71"/>
      <c r="H32" s="72"/>
      <c r="I32" s="71"/>
      <c r="J32" s="71"/>
      <c r="K32" s="71"/>
      <c r="L32" s="71"/>
      <c r="M32" s="71"/>
      <c r="N32" s="71"/>
      <c r="O32" s="71"/>
      <c r="P32" s="109" t="s">
        <v>81</v>
      </c>
      <c r="Q32" s="124"/>
      <c r="R32" s="124"/>
      <c r="S32" s="124"/>
    </row>
    <row r="33" ht="17.4" spans="1:19">
      <c r="A33" s="73"/>
      <c r="B33" s="63"/>
      <c r="C33" s="63"/>
      <c r="D33" s="63" t="s">
        <v>78</v>
      </c>
      <c r="E33" s="63"/>
      <c r="F33" s="63"/>
      <c r="G33" s="63"/>
      <c r="H33" s="74"/>
      <c r="I33" s="63"/>
      <c r="J33" s="71" t="s">
        <v>49</v>
      </c>
      <c r="K33" s="71" t="s">
        <v>79</v>
      </c>
      <c r="L33" s="71"/>
      <c r="M33" s="71"/>
      <c r="N33" s="71"/>
      <c r="O33" s="102"/>
      <c r="P33" s="110"/>
      <c r="Q33" s="102"/>
      <c r="R33" s="125"/>
      <c r="S33" s="126"/>
    </row>
    <row r="34" spans="1:19">
      <c r="A34" s="73"/>
      <c r="B34" s="66" t="s">
        <v>1</v>
      </c>
      <c r="C34" s="66" t="s">
        <v>77</v>
      </c>
      <c r="D34" s="64" t="s">
        <v>99</v>
      </c>
      <c r="E34" s="65" t="s">
        <v>100</v>
      </c>
      <c r="F34" s="65" t="s">
        <v>85</v>
      </c>
      <c r="G34" s="65" t="s">
        <v>101</v>
      </c>
      <c r="H34" s="75" t="s">
        <v>102</v>
      </c>
      <c r="I34" s="65" t="s">
        <v>88</v>
      </c>
      <c r="J34" s="68" t="s">
        <v>89</v>
      </c>
      <c r="K34" s="65" t="s">
        <v>90</v>
      </c>
      <c r="L34" s="65" t="s">
        <v>103</v>
      </c>
      <c r="M34" s="65" t="s">
        <v>89</v>
      </c>
      <c r="N34" s="65" t="s">
        <v>64</v>
      </c>
      <c r="O34" s="65" t="s">
        <v>93</v>
      </c>
      <c r="P34" s="111" t="s">
        <v>104</v>
      </c>
      <c r="Q34" s="65"/>
      <c r="R34" s="125"/>
      <c r="S34" s="126"/>
    </row>
    <row r="35" spans="1:19">
      <c r="A35" s="73"/>
      <c r="B35" s="66" t="s">
        <v>105</v>
      </c>
      <c r="C35" s="66" t="str">
        <f>'xxxx成本价格-xxx'!C3</f>
        <v>光纤，华信藤仓，1芯，G657A1</v>
      </c>
      <c r="D35" s="64">
        <f>'xxxx成本价格-xxx'!E3+0.3</f>
        <v>1.3</v>
      </c>
      <c r="E35" s="68">
        <v>0.22</v>
      </c>
      <c r="F35" s="76">
        <v>0.153854418540247</v>
      </c>
      <c r="G35" s="68">
        <f>VLOOKUP(C35,材料价格!B:E,3,0)</f>
        <v>0.0309734513274336</v>
      </c>
      <c r="H35" s="75">
        <f t="shared" ref="H35:H47" si="14">D35+0.05</f>
        <v>1.35</v>
      </c>
      <c r="I35" s="65">
        <v>2</v>
      </c>
      <c r="J35" s="112">
        <v>0.4806</v>
      </c>
      <c r="K35" s="113">
        <f t="shared" ref="K35:K37" si="15">0.3*0.7</f>
        <v>0.21</v>
      </c>
      <c r="L35" s="68">
        <f t="shared" ref="L35:L47" si="16">E35+F35+H35*I35*G35</f>
        <v>0.457482737124318</v>
      </c>
      <c r="M35" s="68">
        <f t="shared" ref="M35:M47" si="17">J35</f>
        <v>0.4806</v>
      </c>
      <c r="N35" s="68">
        <f t="shared" ref="N35:N46" si="18">K35+L35+M35</f>
        <v>1.14808273712432</v>
      </c>
      <c r="O35" s="107">
        <v>0.96</v>
      </c>
      <c r="P35" s="114">
        <f t="shared" ref="P35:P47" si="19">N35/O35</f>
        <v>1.19591951783783</v>
      </c>
      <c r="Q35" s="68"/>
      <c r="R35" s="127"/>
      <c r="S35" s="126"/>
    </row>
    <row r="36" spans="1:19">
      <c r="A36" s="73"/>
      <c r="B36" s="66" t="s">
        <v>106</v>
      </c>
      <c r="C36" s="66" t="str">
        <f>'xxxx成本价格-xxx'!C4</f>
        <v>光纤，华信藤仓，4芯，G657A1，灰白红黑</v>
      </c>
      <c r="D36" s="64">
        <f>'xxxx成本价格-xxx'!E4+0.3</f>
        <v>1.3</v>
      </c>
      <c r="E36" s="68">
        <v>0.22</v>
      </c>
      <c r="F36" s="76">
        <v>0.153854418540247</v>
      </c>
      <c r="G36" s="68">
        <f>VLOOKUP(C36,材料价格!B:E,3,0)</f>
        <v>0.230088495575221</v>
      </c>
      <c r="H36" s="75">
        <f t="shared" si="14"/>
        <v>1.35</v>
      </c>
      <c r="I36" s="65">
        <v>1</v>
      </c>
      <c r="J36" s="112">
        <v>0.4195</v>
      </c>
      <c r="K36" s="113">
        <f t="shared" si="15"/>
        <v>0.21</v>
      </c>
      <c r="L36" s="68">
        <f t="shared" si="16"/>
        <v>0.684473887566796</v>
      </c>
      <c r="M36" s="68">
        <f t="shared" si="17"/>
        <v>0.4195</v>
      </c>
      <c r="N36" s="68">
        <f t="shared" si="18"/>
        <v>1.3139738875668</v>
      </c>
      <c r="O36" s="107">
        <v>0.97</v>
      </c>
      <c r="P36" s="114">
        <f t="shared" si="19"/>
        <v>1.3546122552235</v>
      </c>
      <c r="Q36" s="68"/>
      <c r="R36" s="127"/>
      <c r="S36" s="126"/>
    </row>
    <row r="37" spans="1:19">
      <c r="A37" s="73"/>
      <c r="B37" s="66" t="s">
        <v>107</v>
      </c>
      <c r="C37" s="66" t="str">
        <f>'xxxx成本价格-xxx'!C5</f>
        <v>光纤，华信藤仓，4芯，G657A1</v>
      </c>
      <c r="D37" s="64">
        <f>'xxxx成本价格-xxx'!E5+0.3</f>
        <v>1.3</v>
      </c>
      <c r="E37" s="68">
        <v>0.22</v>
      </c>
      <c r="F37" s="76">
        <v>0.169454418540247</v>
      </c>
      <c r="G37" s="68">
        <f>VLOOKUP(C37,材料价格!B:E,3,0)</f>
        <v>0.230088495575221</v>
      </c>
      <c r="H37" s="75">
        <f t="shared" si="14"/>
        <v>1.35</v>
      </c>
      <c r="I37" s="65">
        <v>2</v>
      </c>
      <c r="J37" s="112">
        <v>0.454</v>
      </c>
      <c r="K37" s="113">
        <f t="shared" si="15"/>
        <v>0.21</v>
      </c>
      <c r="L37" s="115">
        <f t="shared" si="16"/>
        <v>1.01069335659334</v>
      </c>
      <c r="M37" s="68">
        <f t="shared" si="17"/>
        <v>0.454</v>
      </c>
      <c r="N37" s="68">
        <f t="shared" si="18"/>
        <v>1.67469335659334</v>
      </c>
      <c r="O37" s="107">
        <v>0.97</v>
      </c>
      <c r="P37" s="116">
        <f t="shared" si="19"/>
        <v>1.72648799648798</v>
      </c>
      <c r="Q37" s="68"/>
      <c r="R37" s="127"/>
      <c r="S37" s="126"/>
    </row>
    <row r="38" spans="1:19">
      <c r="A38" s="73"/>
      <c r="B38" s="66" t="s">
        <v>108</v>
      </c>
      <c r="C38" s="66" t="str">
        <f>'xxxx成本价格-xxx'!C6</f>
        <v>光纤，康宁，8芯，G657A1 Ultra，华信藤仓并带</v>
      </c>
      <c r="D38" s="64">
        <f>'xxxx成本价格-xxx'!E6+0.3</f>
        <v>1.3</v>
      </c>
      <c r="E38" s="68">
        <v>0.664</v>
      </c>
      <c r="F38" s="76">
        <v>0.192538418540247</v>
      </c>
      <c r="G38" s="68">
        <f>VLOOKUP(C38,材料价格!B:E,3,0)</f>
        <v>1.00884955752212</v>
      </c>
      <c r="H38" s="75">
        <f t="shared" si="14"/>
        <v>1.35</v>
      </c>
      <c r="I38" s="65">
        <v>2</v>
      </c>
      <c r="J38" s="112">
        <v>0.5596</v>
      </c>
      <c r="K38" s="113">
        <f>0.45*0.7</f>
        <v>0.315</v>
      </c>
      <c r="L38" s="68">
        <f t="shared" si="16"/>
        <v>3.58043222384997</v>
      </c>
      <c r="M38" s="68">
        <f t="shared" si="17"/>
        <v>0.5596</v>
      </c>
      <c r="N38" s="68">
        <f t="shared" si="18"/>
        <v>4.45503222384997</v>
      </c>
      <c r="O38" s="107">
        <v>0.95</v>
      </c>
      <c r="P38" s="114">
        <f t="shared" si="19"/>
        <v>4.6895076040526</v>
      </c>
      <c r="Q38" s="68"/>
      <c r="R38" s="127"/>
      <c r="S38" s="126"/>
    </row>
    <row r="39" spans="1:19">
      <c r="A39" s="73"/>
      <c r="B39" s="66" t="s">
        <v>109</v>
      </c>
      <c r="C39" s="66" t="str">
        <f>'xxxx成本价格-xxx'!C7</f>
        <v>光纤，康宁，8芯，G657A1 Ultra，华信藤仓并带</v>
      </c>
      <c r="D39" s="64">
        <f>'xxxx成本价格-xxx'!E7+0.3</f>
        <v>1.3</v>
      </c>
      <c r="E39" s="68">
        <v>1.681</v>
      </c>
      <c r="F39" s="76">
        <v>0.338909418540247</v>
      </c>
      <c r="G39" s="68">
        <f>VLOOKUP(C39,材料价格!B:E,3,0)</f>
        <v>1.00884955752212</v>
      </c>
      <c r="H39" s="75">
        <f t="shared" si="14"/>
        <v>1.35</v>
      </c>
      <c r="I39" s="65">
        <v>4</v>
      </c>
      <c r="J39" s="112">
        <v>0.9844</v>
      </c>
      <c r="K39" s="113">
        <f>0.67*0.7</f>
        <v>0.469</v>
      </c>
      <c r="L39" s="68">
        <f t="shared" si="16"/>
        <v>7.4676970291597</v>
      </c>
      <c r="M39" s="68">
        <f t="shared" si="17"/>
        <v>0.9844</v>
      </c>
      <c r="N39" s="68">
        <f t="shared" si="18"/>
        <v>8.9210970291597</v>
      </c>
      <c r="O39" s="107">
        <v>0.93</v>
      </c>
      <c r="P39" s="114">
        <f t="shared" si="19"/>
        <v>9.59257745070935</v>
      </c>
      <c r="Q39" s="68"/>
      <c r="R39" s="127"/>
      <c r="S39" s="126"/>
    </row>
    <row r="40" spans="1:19">
      <c r="A40" s="73"/>
      <c r="B40" s="66" t="s">
        <v>110</v>
      </c>
      <c r="C40" s="66" t="str">
        <f>'xxxx成本价格-xxx'!C8</f>
        <v>光纤，康宁，8芯，G657A1 Ultra，华信藤仓并带</v>
      </c>
      <c r="D40" s="64">
        <f>'xxxx成本价格-xxx'!E8+0.3</f>
        <v>1.3</v>
      </c>
      <c r="E40" s="68">
        <v>7.788</v>
      </c>
      <c r="F40" s="76">
        <v>0.630055418540247</v>
      </c>
      <c r="G40" s="68">
        <f>VLOOKUP(C40,材料价格!B:E,3,0)</f>
        <v>1.00884955752212</v>
      </c>
      <c r="H40" s="75">
        <f t="shared" si="14"/>
        <v>1.35</v>
      </c>
      <c r="I40" s="65">
        <v>8</v>
      </c>
      <c r="J40" s="112">
        <v>2.6165</v>
      </c>
      <c r="K40" s="113">
        <f>1.12*0.7</f>
        <v>0.784</v>
      </c>
      <c r="L40" s="68">
        <f t="shared" si="16"/>
        <v>19.3136306397791</v>
      </c>
      <c r="M40" s="68">
        <f t="shared" si="17"/>
        <v>2.6165</v>
      </c>
      <c r="N40" s="68">
        <f t="shared" si="18"/>
        <v>22.7141306397791</v>
      </c>
      <c r="O40" s="107">
        <v>0.83</v>
      </c>
      <c r="P40" s="114">
        <f t="shared" si="19"/>
        <v>27.3664224575652</v>
      </c>
      <c r="Q40" s="68"/>
      <c r="R40" s="127"/>
      <c r="S40" s="126"/>
    </row>
    <row r="41" spans="1:19">
      <c r="A41" s="73"/>
      <c r="B41" s="66" t="s">
        <v>105</v>
      </c>
      <c r="C41" s="66" t="str">
        <f>'xxxx成本价格-xxx'!C9</f>
        <v>光纤，康宁，1芯，G657A1 Ultra</v>
      </c>
      <c r="D41" s="64">
        <f>'xxxx成本价格-xxx'!E9+0.3</f>
        <v>1.3</v>
      </c>
      <c r="E41" s="68">
        <v>0.22</v>
      </c>
      <c r="F41" s="76">
        <v>0.153854418540247</v>
      </c>
      <c r="G41" s="68">
        <f>VLOOKUP(C41,材料价格!B:E,3,0)</f>
        <v>0.110619469026549</v>
      </c>
      <c r="H41" s="75">
        <f t="shared" si="14"/>
        <v>1.35</v>
      </c>
      <c r="I41" s="65">
        <v>2</v>
      </c>
      <c r="J41" s="112">
        <v>0.4806</v>
      </c>
      <c r="K41" s="113">
        <f t="shared" ref="K41:K43" si="20">0.3*0.7</f>
        <v>0.21</v>
      </c>
      <c r="L41" s="68">
        <f t="shared" si="16"/>
        <v>0.672526984911929</v>
      </c>
      <c r="M41" s="68">
        <f t="shared" si="17"/>
        <v>0.4806</v>
      </c>
      <c r="N41" s="68">
        <f t="shared" si="18"/>
        <v>1.36312698491193</v>
      </c>
      <c r="O41" s="107">
        <v>0.96</v>
      </c>
      <c r="P41" s="114">
        <f t="shared" si="19"/>
        <v>1.41992394261659</v>
      </c>
      <c r="Q41" s="68"/>
      <c r="R41" s="127"/>
      <c r="S41" s="126"/>
    </row>
    <row r="42" spans="1:19">
      <c r="A42" s="73"/>
      <c r="B42" s="66" t="s">
        <v>106</v>
      </c>
      <c r="C42" s="66" t="str">
        <f>'xxxx成本价格-xxx'!C10</f>
        <v>光纤，康宁，4芯，康宁G657A1,蓝橙绿棕</v>
      </c>
      <c r="D42" s="64">
        <f>'xxxx成本价格-xxx'!E10+0.3</f>
        <v>1.3</v>
      </c>
      <c r="E42" s="68">
        <v>0.22</v>
      </c>
      <c r="F42" s="76">
        <v>0.153854418540247</v>
      </c>
      <c r="G42" s="68">
        <f>VLOOKUP(C42,材料价格!B:E,3,0)</f>
        <v>0.336283185840708</v>
      </c>
      <c r="H42" s="75">
        <f t="shared" si="14"/>
        <v>1.35</v>
      </c>
      <c r="I42" s="65">
        <v>1</v>
      </c>
      <c r="J42" s="112">
        <v>0.4195</v>
      </c>
      <c r="K42" s="113">
        <f t="shared" si="20"/>
        <v>0.21</v>
      </c>
      <c r="L42" s="68">
        <f t="shared" si="16"/>
        <v>0.827836719425203</v>
      </c>
      <c r="M42" s="68">
        <f t="shared" si="17"/>
        <v>0.4195</v>
      </c>
      <c r="N42" s="68">
        <f t="shared" si="18"/>
        <v>1.4573367194252</v>
      </c>
      <c r="O42" s="107">
        <v>0.97</v>
      </c>
      <c r="P42" s="114">
        <f t="shared" si="19"/>
        <v>1.50240898909815</v>
      </c>
      <c r="Q42" s="68"/>
      <c r="R42" s="127"/>
      <c r="S42" s="126"/>
    </row>
    <row r="43" spans="1:19">
      <c r="A43" s="73"/>
      <c r="B43" s="66" t="s">
        <v>107</v>
      </c>
      <c r="C43" s="66" t="str">
        <f>'xxxx成本价格-xxx'!C11</f>
        <v>光纤，康宁，4芯，康宁G657A1,蓝橙绿棕</v>
      </c>
      <c r="D43" s="64">
        <f>'xxxx成本价格-xxx'!E11+0.3</f>
        <v>1.3</v>
      </c>
      <c r="E43" s="68">
        <v>0.22</v>
      </c>
      <c r="F43" s="76">
        <v>0.169454418540247</v>
      </c>
      <c r="G43" s="68">
        <f>VLOOKUP(C43,材料价格!B:E,3,0)</f>
        <v>0.336283185840708</v>
      </c>
      <c r="H43" s="75">
        <f t="shared" si="14"/>
        <v>1.35</v>
      </c>
      <c r="I43" s="65">
        <v>2</v>
      </c>
      <c r="J43" s="112">
        <v>0.454</v>
      </c>
      <c r="K43" s="113">
        <f t="shared" si="20"/>
        <v>0.21</v>
      </c>
      <c r="L43" s="68">
        <f t="shared" si="16"/>
        <v>1.29741902031016</v>
      </c>
      <c r="M43" s="68">
        <f t="shared" si="17"/>
        <v>0.454</v>
      </c>
      <c r="N43" s="68">
        <f t="shared" si="18"/>
        <v>1.96141902031016</v>
      </c>
      <c r="O43" s="107">
        <v>0.97</v>
      </c>
      <c r="P43" s="114">
        <f t="shared" si="19"/>
        <v>2.02208146423728</v>
      </c>
      <c r="Q43" s="68"/>
      <c r="R43" s="127"/>
      <c r="S43" s="126"/>
    </row>
    <row r="44" spans="1:19">
      <c r="A44" s="73"/>
      <c r="B44" s="66" t="s">
        <v>108</v>
      </c>
      <c r="C44" s="66" t="str">
        <f>'xxxx成本价格-xxx'!C12</f>
        <v>光纤，康宁，8芯，G657A1 Ultra，华信藤仓并带</v>
      </c>
      <c r="D44" s="64">
        <f>'xxxx成本价格-xxx'!E12+0.3</f>
        <v>1.3</v>
      </c>
      <c r="E44" s="68">
        <v>0.664</v>
      </c>
      <c r="F44" s="76">
        <v>0.192538418540247</v>
      </c>
      <c r="G44" s="68">
        <f>VLOOKUP(C44,材料价格!B:E,3,0)</f>
        <v>1.00884955752212</v>
      </c>
      <c r="H44" s="75">
        <f t="shared" si="14"/>
        <v>1.35</v>
      </c>
      <c r="I44" s="65">
        <v>2</v>
      </c>
      <c r="J44" s="112">
        <v>0.5596</v>
      </c>
      <c r="K44" s="113">
        <f>0.45*0.7</f>
        <v>0.315</v>
      </c>
      <c r="L44" s="68">
        <f t="shared" si="16"/>
        <v>3.58043222384997</v>
      </c>
      <c r="M44" s="68">
        <f t="shared" si="17"/>
        <v>0.5596</v>
      </c>
      <c r="N44" s="68">
        <f t="shared" si="18"/>
        <v>4.45503222384997</v>
      </c>
      <c r="O44" s="107">
        <v>0.95</v>
      </c>
      <c r="P44" s="114">
        <f t="shared" si="19"/>
        <v>4.6895076040526</v>
      </c>
      <c r="Q44" s="68"/>
      <c r="R44" s="127"/>
      <c r="S44" s="126"/>
    </row>
    <row r="45" spans="1:19">
      <c r="A45" s="73"/>
      <c r="B45" s="66" t="s">
        <v>109</v>
      </c>
      <c r="C45" s="66" t="str">
        <f>'xxxx成本价格-xxx'!C13</f>
        <v>光纤，康宁，8芯，G657A1 Ultra，华信藤仓并带</v>
      </c>
      <c r="D45" s="64">
        <f>'xxxx成本价格-xxx'!E13+0.3</f>
        <v>1.3</v>
      </c>
      <c r="E45" s="68">
        <v>1.681</v>
      </c>
      <c r="F45" s="76">
        <v>0.338909418540247</v>
      </c>
      <c r="G45" s="68">
        <f>VLOOKUP(C45,材料价格!B:E,3,0)</f>
        <v>1.00884955752212</v>
      </c>
      <c r="H45" s="75">
        <f t="shared" si="14"/>
        <v>1.35</v>
      </c>
      <c r="I45" s="65">
        <v>4</v>
      </c>
      <c r="J45" s="112">
        <v>0.9844</v>
      </c>
      <c r="K45" s="113">
        <f>0.67*0.7</f>
        <v>0.469</v>
      </c>
      <c r="L45" s="68">
        <f t="shared" si="16"/>
        <v>7.4676970291597</v>
      </c>
      <c r="M45" s="68">
        <f t="shared" si="17"/>
        <v>0.9844</v>
      </c>
      <c r="N45" s="68">
        <f t="shared" si="18"/>
        <v>8.9210970291597</v>
      </c>
      <c r="O45" s="107">
        <v>0.93</v>
      </c>
      <c r="P45" s="114">
        <f t="shared" si="19"/>
        <v>9.59257745070935</v>
      </c>
      <c r="Q45" s="68"/>
      <c r="R45" s="127"/>
      <c r="S45" s="126"/>
    </row>
    <row r="46" spans="1:19">
      <c r="A46" s="73"/>
      <c r="B46" s="66" t="s">
        <v>110</v>
      </c>
      <c r="C46" s="66" t="str">
        <f>'xxxx成本价格-xxx'!C14</f>
        <v>光纤，康宁，8芯，G657A1 Ultra，华信藤仓并带</v>
      </c>
      <c r="D46" s="64">
        <f>'xxxx成本价格-xxx'!E14+0.3</f>
        <v>1.3</v>
      </c>
      <c r="E46" s="68">
        <v>7.788</v>
      </c>
      <c r="F46" s="76">
        <v>0.630055418540247</v>
      </c>
      <c r="G46" s="68">
        <f>VLOOKUP(C46,材料价格!B:E,3,0)</f>
        <v>1.00884955752212</v>
      </c>
      <c r="H46" s="75">
        <f t="shared" si="14"/>
        <v>1.35</v>
      </c>
      <c r="I46" s="65">
        <v>8</v>
      </c>
      <c r="J46" s="112">
        <v>2.6165</v>
      </c>
      <c r="K46" s="113">
        <f>1.12*0.7</f>
        <v>0.784</v>
      </c>
      <c r="L46" s="68">
        <f t="shared" si="16"/>
        <v>19.3136306397791</v>
      </c>
      <c r="M46" s="68">
        <f t="shared" si="17"/>
        <v>2.6165</v>
      </c>
      <c r="N46" s="68">
        <f t="shared" si="18"/>
        <v>22.7141306397791</v>
      </c>
      <c r="O46" s="107">
        <v>0.83</v>
      </c>
      <c r="P46" s="114">
        <f t="shared" si="19"/>
        <v>27.3664224575652</v>
      </c>
      <c r="Q46" s="68"/>
      <c r="R46" s="127"/>
      <c r="S46" s="126"/>
    </row>
    <row r="47" spans="1:19">
      <c r="A47" s="77"/>
      <c r="B47" s="66" t="s">
        <v>111</v>
      </c>
      <c r="C47" s="78" t="s">
        <v>112</v>
      </c>
      <c r="D47" s="79">
        <v>1</v>
      </c>
      <c r="E47" s="68">
        <v>0.602</v>
      </c>
      <c r="F47" s="80">
        <v>0.32</v>
      </c>
      <c r="G47" s="68">
        <f>VLOOKUP(C47,材料价格!B:E,3,0)</f>
        <v>0.460176991150443</v>
      </c>
      <c r="H47" s="69">
        <f t="shared" si="14"/>
        <v>1.05</v>
      </c>
      <c r="I47" s="69">
        <v>1</v>
      </c>
      <c r="J47" s="117">
        <v>0.4624</v>
      </c>
      <c r="K47" s="118">
        <v>0.45</v>
      </c>
      <c r="L47" s="68">
        <f t="shared" si="16"/>
        <v>1.40518584070797</v>
      </c>
      <c r="M47" s="68">
        <f t="shared" si="17"/>
        <v>0.4624</v>
      </c>
      <c r="N47" s="119">
        <f>J47+L47+K47</f>
        <v>2.31758584070797</v>
      </c>
      <c r="O47" s="120">
        <v>0.97</v>
      </c>
      <c r="P47" s="114">
        <f t="shared" si="19"/>
        <v>2.38926375330718</v>
      </c>
      <c r="Q47" s="128"/>
      <c r="R47" s="129"/>
      <c r="S47" s="130"/>
    </row>
    <row r="48" customFormat="1" spans="1:7">
      <c r="A48" s="43"/>
      <c r="B48" s="43"/>
      <c r="C48" s="43"/>
      <c r="D48" s="43"/>
      <c r="E48" s="43"/>
      <c r="F48" s="43"/>
      <c r="G48" s="43"/>
    </row>
    <row r="49" spans="1:7">
      <c r="A49" s="81" t="s">
        <v>113</v>
      </c>
      <c r="B49" s="48" t="s">
        <v>51</v>
      </c>
      <c r="C49" s="48" t="s">
        <v>114</v>
      </c>
      <c r="D49" s="82" t="s">
        <v>115</v>
      </c>
      <c r="E49" s="82" t="s">
        <v>116</v>
      </c>
      <c r="F49" s="82" t="s">
        <v>117</v>
      </c>
      <c r="G49" s="82" t="s">
        <v>118</v>
      </c>
    </row>
    <row r="50" spans="1:7">
      <c r="A50" s="81"/>
      <c r="B50" s="51" t="s">
        <v>65</v>
      </c>
      <c r="C50" s="51">
        <v>2</v>
      </c>
      <c r="D50" s="83">
        <v>0.06</v>
      </c>
      <c r="E50" s="82">
        <f>'xxxx成本价格-xxx'!D3+0.08</f>
        <v>1.08</v>
      </c>
      <c r="F50" s="82">
        <f>'xxxx成本价格-xxx'!E3+0.08</f>
        <v>1.08</v>
      </c>
      <c r="G50" s="84">
        <f t="shared" ref="G50:G55" si="21">D50*E50+C50*D50*F50</f>
        <v>0.1944</v>
      </c>
    </row>
    <row r="51" spans="1:7">
      <c r="A51" s="81"/>
      <c r="B51" s="51" t="s">
        <v>66</v>
      </c>
      <c r="C51" s="51">
        <v>4</v>
      </c>
      <c r="D51" s="84">
        <f t="shared" ref="D51:D61" si="22">D50</f>
        <v>0.06</v>
      </c>
      <c r="E51" s="82">
        <f>'xxxx成本价格-xxx'!D4+0.08</f>
        <v>1.08</v>
      </c>
      <c r="F51" s="82">
        <f>'xxxx成本价格-xxx'!E4+0.08</f>
        <v>1.08</v>
      </c>
      <c r="G51" s="84">
        <f t="shared" si="21"/>
        <v>0.324</v>
      </c>
    </row>
    <row r="52" spans="1:7">
      <c r="A52" s="81"/>
      <c r="B52" s="58" t="s">
        <v>119</v>
      </c>
      <c r="C52" s="58">
        <v>8</v>
      </c>
      <c r="D52" s="84">
        <f t="shared" si="22"/>
        <v>0.06</v>
      </c>
      <c r="E52" s="82">
        <f>'xxxx成本价格-xxx'!D5+0.08</f>
        <v>1.08</v>
      </c>
      <c r="F52" s="82">
        <f>'xxxx成本价格-xxx'!E5+0.08</f>
        <v>1.08</v>
      </c>
      <c r="G52" s="84">
        <f t="shared" si="21"/>
        <v>0.5832</v>
      </c>
    </row>
    <row r="53" spans="1:7">
      <c r="A53" s="81"/>
      <c r="B53" s="58" t="s">
        <v>68</v>
      </c>
      <c r="C53" s="58">
        <v>16</v>
      </c>
      <c r="D53" s="84">
        <f t="shared" si="22"/>
        <v>0.06</v>
      </c>
      <c r="E53" s="82">
        <f>'xxxx成本价格-xxx'!D6+0.08</f>
        <v>1.08</v>
      </c>
      <c r="F53" s="82">
        <f>'xxxx成本价格-xxx'!E6+0.08</f>
        <v>1.08</v>
      </c>
      <c r="G53" s="84">
        <f t="shared" si="21"/>
        <v>1.1016</v>
      </c>
    </row>
    <row r="54" spans="1:12">
      <c r="A54" s="81"/>
      <c r="B54" s="51" t="s">
        <v>69</v>
      </c>
      <c r="C54" s="51">
        <v>32</v>
      </c>
      <c r="D54" s="84">
        <f t="shared" si="22"/>
        <v>0.06</v>
      </c>
      <c r="E54" s="82">
        <f>'xxxx成本价格-xxx'!D7+0.08</f>
        <v>1.08</v>
      </c>
      <c r="F54" s="82">
        <f>'xxxx成本价格-xxx'!E7+0.08</f>
        <v>1.08</v>
      </c>
      <c r="G54" s="84">
        <f t="shared" si="21"/>
        <v>2.1384</v>
      </c>
      <c r="L54" s="121"/>
    </row>
    <row r="55" spans="1:12">
      <c r="A55" s="81"/>
      <c r="B55" s="51" t="s">
        <v>70</v>
      </c>
      <c r="C55" s="51">
        <v>64</v>
      </c>
      <c r="D55" s="84">
        <f t="shared" si="22"/>
        <v>0.06</v>
      </c>
      <c r="E55" s="82">
        <f>'xxxx成本价格-xxx'!D8+0.08</f>
        <v>1.08</v>
      </c>
      <c r="F55" s="82">
        <f>'xxxx成本价格-xxx'!E8+0.08</f>
        <v>1.08</v>
      </c>
      <c r="G55" s="84">
        <f t="shared" si="21"/>
        <v>4.212</v>
      </c>
      <c r="L55" s="121"/>
    </row>
    <row r="56" spans="1:12">
      <c r="A56" s="81"/>
      <c r="B56" s="51" t="s">
        <v>71</v>
      </c>
      <c r="C56" s="51">
        <v>2</v>
      </c>
      <c r="D56" s="84">
        <f t="shared" si="22"/>
        <v>0.06</v>
      </c>
      <c r="E56" s="82">
        <f>'xxxx成本价格-xxx'!D9+0.08</f>
        <v>1.08</v>
      </c>
      <c r="F56" s="82">
        <f>'xxxx成本价格-xxx'!E9+0.08</f>
        <v>1.08</v>
      </c>
      <c r="G56" s="84">
        <f t="shared" ref="G56:G61" si="23">D56*E56*2+C56*D56*F56</f>
        <v>0.2592</v>
      </c>
      <c r="L56" s="121"/>
    </row>
    <row r="57" spans="1:12">
      <c r="A57" s="81"/>
      <c r="B57" s="51" t="s">
        <v>72</v>
      </c>
      <c r="C57" s="51">
        <v>4</v>
      </c>
      <c r="D57" s="84">
        <f t="shared" si="22"/>
        <v>0.06</v>
      </c>
      <c r="E57" s="82">
        <f>'xxxx成本价格-xxx'!D10+0.08</f>
        <v>1.08</v>
      </c>
      <c r="F57" s="82">
        <f>'xxxx成本价格-xxx'!E10+0.08</f>
        <v>1.08</v>
      </c>
      <c r="G57" s="84">
        <f t="shared" si="23"/>
        <v>0.3888</v>
      </c>
      <c r="L57" s="121"/>
    </row>
    <row r="58" spans="1:12">
      <c r="A58" s="81"/>
      <c r="B58" s="51" t="s">
        <v>120</v>
      </c>
      <c r="C58" s="51">
        <v>8</v>
      </c>
      <c r="D58" s="84">
        <f t="shared" si="22"/>
        <v>0.06</v>
      </c>
      <c r="E58" s="82">
        <f>'xxxx成本价格-xxx'!D11+0.08</f>
        <v>1.08</v>
      </c>
      <c r="F58" s="82">
        <f>'xxxx成本价格-xxx'!E11+0.08</f>
        <v>1.08</v>
      </c>
      <c r="G58" s="84">
        <f t="shared" si="23"/>
        <v>0.648</v>
      </c>
      <c r="L58" s="121"/>
    </row>
    <row r="59" spans="1:12">
      <c r="A59" s="81"/>
      <c r="B59" s="51" t="s">
        <v>74</v>
      </c>
      <c r="C59" s="51">
        <v>16</v>
      </c>
      <c r="D59" s="84">
        <f t="shared" si="22"/>
        <v>0.06</v>
      </c>
      <c r="E59" s="82">
        <f>'xxxx成本价格-xxx'!D12+0.08</f>
        <v>1.08</v>
      </c>
      <c r="F59" s="82">
        <f>'xxxx成本价格-xxx'!E12+0.08</f>
        <v>1.08</v>
      </c>
      <c r="G59" s="84">
        <f t="shared" si="23"/>
        <v>1.1664</v>
      </c>
      <c r="L59" s="121"/>
    </row>
    <row r="60" spans="1:12">
      <c r="A60" s="81"/>
      <c r="B60" s="51" t="s">
        <v>75</v>
      </c>
      <c r="C60" s="51">
        <v>32</v>
      </c>
      <c r="D60" s="84">
        <f t="shared" si="22"/>
        <v>0.06</v>
      </c>
      <c r="E60" s="82">
        <f>'xxxx成本价格-xxx'!D13+0.08</f>
        <v>1.08</v>
      </c>
      <c r="F60" s="82">
        <f>'xxxx成本价格-xxx'!E13+0.08</f>
        <v>1.08</v>
      </c>
      <c r="G60" s="84">
        <f t="shared" si="23"/>
        <v>2.2032</v>
      </c>
      <c r="L60" s="121"/>
    </row>
    <row r="61" spans="1:12">
      <c r="A61" s="81"/>
      <c r="B61" s="51" t="s">
        <v>76</v>
      </c>
      <c r="C61" s="51">
        <v>64</v>
      </c>
      <c r="D61" s="84">
        <f t="shared" si="22"/>
        <v>0.06</v>
      </c>
      <c r="E61" s="82">
        <f>'xxxx成本价格-xxx'!D14+0.08</f>
        <v>1.08</v>
      </c>
      <c r="F61" s="82">
        <f>'xxxx成本价格-xxx'!E14+0.08</f>
        <v>1.08</v>
      </c>
      <c r="G61" s="84">
        <f t="shared" si="23"/>
        <v>4.2768</v>
      </c>
      <c r="L61" s="121"/>
    </row>
    <row r="62" spans="12:12">
      <c r="L62" s="121"/>
    </row>
    <row r="63" spans="12:12">
      <c r="L63" s="121"/>
    </row>
    <row r="64" spans="1:12">
      <c r="A64" s="85" t="s">
        <v>121</v>
      </c>
      <c r="B64" s="86"/>
      <c r="C64" s="87" t="s">
        <v>122</v>
      </c>
      <c r="D64" s="87"/>
      <c r="E64" s="87"/>
      <c r="F64" s="87" t="s">
        <v>49</v>
      </c>
      <c r="G64" s="87"/>
      <c r="H64" s="86" t="s">
        <v>123</v>
      </c>
      <c r="I64" s="86"/>
      <c r="J64" s="122" t="s">
        <v>124</v>
      </c>
      <c r="K64" s="123"/>
      <c r="L64" s="123"/>
    </row>
    <row r="65" spans="1:12">
      <c r="A65" s="85"/>
      <c r="B65" s="131" t="s">
        <v>51</v>
      </c>
      <c r="C65" s="131" t="s">
        <v>125</v>
      </c>
      <c r="D65" s="131" t="s">
        <v>126</v>
      </c>
      <c r="E65" s="131" t="s">
        <v>127</v>
      </c>
      <c r="F65" s="131" t="s">
        <v>49</v>
      </c>
      <c r="G65" s="131" t="s">
        <v>128</v>
      </c>
      <c r="H65" s="131" t="s">
        <v>50</v>
      </c>
      <c r="I65" s="131" t="s">
        <v>118</v>
      </c>
      <c r="J65" s="122"/>
      <c r="K65" s="123"/>
      <c r="L65" s="123"/>
    </row>
    <row r="66" spans="1:12">
      <c r="A66" s="85"/>
      <c r="B66" s="132" t="s">
        <v>18</v>
      </c>
      <c r="C66" s="133">
        <f>0.1/1.13</f>
        <v>0.088495575221239</v>
      </c>
      <c r="D66" s="134">
        <v>0.353982300884956</v>
      </c>
      <c r="E66" s="135">
        <v>0.06</v>
      </c>
      <c r="F66" s="135">
        <v>0.241</v>
      </c>
      <c r="G66" s="135">
        <v>0.035</v>
      </c>
      <c r="H66" s="136">
        <f>0.115378787878788*0.7</f>
        <v>0.0807651515151516</v>
      </c>
      <c r="I66" s="152">
        <f t="shared" ref="I66:I77" si="24">SUM(C66:H66)</f>
        <v>0.859243027621347</v>
      </c>
      <c r="J66" s="122"/>
      <c r="K66" s="123"/>
      <c r="L66" s="123"/>
    </row>
    <row r="67" spans="1:12">
      <c r="A67" s="85"/>
      <c r="B67" s="132" t="s">
        <v>25</v>
      </c>
      <c r="C67" s="133">
        <f>0.1/1.13</f>
        <v>0.088495575221239</v>
      </c>
      <c r="D67" s="134">
        <v>0.398230088495575</v>
      </c>
      <c r="E67" s="135">
        <v>0.06</v>
      </c>
      <c r="F67" s="135">
        <v>0.241</v>
      </c>
      <c r="G67" s="135">
        <v>0.035</v>
      </c>
      <c r="H67" s="136">
        <f>0.123432835820896*0.7</f>
        <v>0.0864029850746272</v>
      </c>
      <c r="I67" s="152">
        <f t="shared" si="24"/>
        <v>0.909128648791441</v>
      </c>
      <c r="J67" s="122"/>
      <c r="K67" s="153"/>
      <c r="L67" s="153"/>
    </row>
    <row r="68" spans="1:12">
      <c r="A68" s="85"/>
      <c r="B68" s="132" t="s">
        <v>22</v>
      </c>
      <c r="C68" s="137">
        <f>0.26/1.13</f>
        <v>0.230088495575221</v>
      </c>
      <c r="D68" s="134">
        <v>0.353982300884956</v>
      </c>
      <c r="E68" s="135">
        <v>0.06</v>
      </c>
      <c r="F68" s="135">
        <v>0.304</v>
      </c>
      <c r="G68" s="135">
        <v>0.035</v>
      </c>
      <c r="H68" s="136">
        <f>0.117027027027027*0.7</f>
        <v>0.0819189189189189</v>
      </c>
      <c r="I68" s="152">
        <f t="shared" si="24"/>
        <v>1.0649897153791</v>
      </c>
      <c r="J68" s="122"/>
      <c r="K68" s="123"/>
      <c r="L68" s="123"/>
    </row>
    <row r="69" spans="1:12">
      <c r="A69" s="85"/>
      <c r="B69" s="132" t="s">
        <v>129</v>
      </c>
      <c r="C69" s="137">
        <f>0.26/1.13</f>
        <v>0.230088495575221</v>
      </c>
      <c r="D69" s="134">
        <v>0.398230088495575</v>
      </c>
      <c r="E69" s="135">
        <v>0.06</v>
      </c>
      <c r="F69" s="135">
        <v>0.402</v>
      </c>
      <c r="G69" s="135">
        <v>0.04</v>
      </c>
      <c r="H69" s="136">
        <f>0.127*0.7</f>
        <v>0.0889</v>
      </c>
      <c r="I69" s="152">
        <f t="shared" si="24"/>
        <v>1.2192185840708</v>
      </c>
      <c r="J69" s="122"/>
      <c r="K69" s="123"/>
      <c r="L69" s="123"/>
    </row>
    <row r="70" spans="1:12">
      <c r="A70" s="85"/>
      <c r="B70" s="132" t="s">
        <v>130</v>
      </c>
      <c r="C70" s="138">
        <f>0.2/1.13</f>
        <v>0.176991150442478</v>
      </c>
      <c r="D70" s="134">
        <v>0.345132743362832</v>
      </c>
      <c r="E70" s="135">
        <v>0.06</v>
      </c>
      <c r="F70" s="135">
        <v>0.354</v>
      </c>
      <c r="G70" s="135">
        <v>0.042</v>
      </c>
      <c r="H70" s="136">
        <f t="shared" ref="H70:H74" si="25">0.15*0.7</f>
        <v>0.105</v>
      </c>
      <c r="I70" s="152">
        <f t="shared" si="24"/>
        <v>1.08312389380531</v>
      </c>
      <c r="J70" s="122"/>
      <c r="K70" s="123"/>
      <c r="L70" s="123"/>
    </row>
    <row r="71" spans="1:12">
      <c r="A71" s="85"/>
      <c r="B71" s="132" t="s">
        <v>131</v>
      </c>
      <c r="C71" s="138">
        <f>0.2/1.13</f>
        <v>0.176991150442478</v>
      </c>
      <c r="D71" s="134">
        <v>0.345132743362832</v>
      </c>
      <c r="E71" s="135">
        <v>0.06</v>
      </c>
      <c r="F71" s="135">
        <v>0.354</v>
      </c>
      <c r="G71" s="135">
        <v>0.042</v>
      </c>
      <c r="H71" s="136">
        <f t="shared" si="25"/>
        <v>0.105</v>
      </c>
      <c r="I71" s="152">
        <f t="shared" si="24"/>
        <v>1.08312389380531</v>
      </c>
      <c r="K71" s="123"/>
      <c r="L71" s="123"/>
    </row>
    <row r="72" spans="1:12">
      <c r="A72" s="85"/>
      <c r="B72" s="132" t="s">
        <v>132</v>
      </c>
      <c r="C72" s="133">
        <f>0.14/1.13</f>
        <v>0.123893805309735</v>
      </c>
      <c r="D72" s="134">
        <v>0.353982300884956</v>
      </c>
      <c r="E72" s="135">
        <v>0.06</v>
      </c>
      <c r="F72" s="131">
        <v>0.35</v>
      </c>
      <c r="G72" s="135">
        <v>0.035</v>
      </c>
      <c r="H72" s="136">
        <f>0.13*0.7</f>
        <v>0.091</v>
      </c>
      <c r="I72" s="152">
        <f t="shared" si="24"/>
        <v>1.01387610619469</v>
      </c>
      <c r="K72" s="123"/>
      <c r="L72" s="123"/>
    </row>
    <row r="73" spans="1:12">
      <c r="A73" s="85"/>
      <c r="B73" s="132" t="s">
        <v>133</v>
      </c>
      <c r="C73" s="139">
        <f>0.14/1.13</f>
        <v>0.123893805309735</v>
      </c>
      <c r="D73" s="134">
        <v>0.398230088495575</v>
      </c>
      <c r="E73" s="135">
        <v>0.06</v>
      </c>
      <c r="F73" s="131">
        <v>0.35</v>
      </c>
      <c r="G73" s="135">
        <v>0.035</v>
      </c>
      <c r="H73" s="136">
        <f>0.145*0.7</f>
        <v>0.1015</v>
      </c>
      <c r="I73" s="152">
        <f t="shared" si="24"/>
        <v>1.06862389380531</v>
      </c>
      <c r="J73" s="122"/>
      <c r="K73" s="123"/>
      <c r="L73" s="123"/>
    </row>
    <row r="74" spans="1:12">
      <c r="A74" s="85"/>
      <c r="B74" s="132" t="s">
        <v>134</v>
      </c>
      <c r="C74" s="133">
        <f>0.36/1.13</f>
        <v>0.31858407079646</v>
      </c>
      <c r="D74" s="134">
        <v>0.353982300884956</v>
      </c>
      <c r="E74" s="135">
        <v>0.06</v>
      </c>
      <c r="F74" s="131">
        <v>0.397</v>
      </c>
      <c r="G74" s="135">
        <v>0.035</v>
      </c>
      <c r="H74" s="136">
        <f t="shared" si="25"/>
        <v>0.105</v>
      </c>
      <c r="I74" s="152">
        <f t="shared" si="24"/>
        <v>1.26956637168142</v>
      </c>
      <c r="J74" s="122"/>
      <c r="K74" s="123"/>
      <c r="L74" s="123"/>
    </row>
    <row r="75" spans="1:12">
      <c r="A75" s="85"/>
      <c r="B75" s="132" t="s">
        <v>135</v>
      </c>
      <c r="C75" s="133">
        <f>0.36/1.13</f>
        <v>0.31858407079646</v>
      </c>
      <c r="D75" s="134">
        <v>0.398230088495575</v>
      </c>
      <c r="E75" s="135">
        <v>0.06</v>
      </c>
      <c r="F75" s="131">
        <v>0.502</v>
      </c>
      <c r="G75" s="135">
        <v>0.04</v>
      </c>
      <c r="H75" s="136">
        <f>0.165*0.7</f>
        <v>0.1155</v>
      </c>
      <c r="I75" s="152">
        <f t="shared" si="24"/>
        <v>1.43431415929203</v>
      </c>
      <c r="J75" s="122"/>
      <c r="K75" s="123"/>
      <c r="L75" s="123"/>
    </row>
    <row r="76" spans="1:12">
      <c r="A76" s="85"/>
      <c r="B76" s="132" t="s">
        <v>136</v>
      </c>
      <c r="C76" s="138">
        <f>0.35/1.13</f>
        <v>0.309734513274336</v>
      </c>
      <c r="D76" s="134">
        <v>0.345132743362832</v>
      </c>
      <c r="E76" s="135">
        <v>0.06</v>
      </c>
      <c r="F76" s="131">
        <v>0.493</v>
      </c>
      <c r="G76" s="135">
        <v>0.042</v>
      </c>
      <c r="H76" s="136">
        <f>0.18*0.7</f>
        <v>0.126</v>
      </c>
      <c r="I76" s="152">
        <f t="shared" si="24"/>
        <v>1.37586725663717</v>
      </c>
      <c r="J76" s="122"/>
      <c r="K76" s="123"/>
      <c r="L76" s="123"/>
    </row>
    <row r="77" spans="1:12">
      <c r="A77" s="85"/>
      <c r="B77" s="132" t="s">
        <v>137</v>
      </c>
      <c r="C77" s="138">
        <f>0.35/1.13</f>
        <v>0.309734513274336</v>
      </c>
      <c r="D77" s="134">
        <v>0.345132743362832</v>
      </c>
      <c r="E77" s="135">
        <v>0.06</v>
      </c>
      <c r="F77" s="131">
        <v>0.493</v>
      </c>
      <c r="G77" s="135">
        <v>0.042</v>
      </c>
      <c r="H77" s="136">
        <f>0.18*0.7</f>
        <v>0.126</v>
      </c>
      <c r="I77" s="152">
        <f t="shared" si="24"/>
        <v>1.37586725663717</v>
      </c>
      <c r="J77" s="122"/>
      <c r="K77" s="123"/>
      <c r="L77" s="123"/>
    </row>
    <row r="78" spans="1:12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</row>
    <row r="79" spans="1:12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</row>
    <row r="80" spans="1:12">
      <c r="A80" s="140" t="s">
        <v>138</v>
      </c>
      <c r="B80" s="141"/>
      <c r="C80" s="141" t="s">
        <v>139</v>
      </c>
      <c r="D80" s="141"/>
      <c r="E80" s="141"/>
      <c r="F80" s="141"/>
      <c r="G80" s="141" t="s">
        <v>140</v>
      </c>
      <c r="H80" s="141"/>
      <c r="I80" s="141"/>
      <c r="J80" s="141"/>
      <c r="K80" s="123"/>
      <c r="L80" s="123"/>
    </row>
    <row r="81" ht="21.6" spans="1:12">
      <c r="A81" s="142"/>
      <c r="B81" s="143" t="s">
        <v>51</v>
      </c>
      <c r="C81" s="144" t="s">
        <v>141</v>
      </c>
      <c r="D81" s="145" t="s">
        <v>142</v>
      </c>
      <c r="E81" s="145" t="s">
        <v>114</v>
      </c>
      <c r="F81" s="146" t="s">
        <v>143</v>
      </c>
      <c r="G81" s="145" t="s">
        <v>144</v>
      </c>
      <c r="H81" s="145" t="s">
        <v>145</v>
      </c>
      <c r="I81" s="145" t="s">
        <v>146</v>
      </c>
      <c r="J81" s="145" t="s">
        <v>13</v>
      </c>
      <c r="K81" s="123"/>
      <c r="L81" s="123"/>
    </row>
    <row r="82" spans="1:12">
      <c r="A82" s="142"/>
      <c r="B82" s="143" t="s">
        <v>65</v>
      </c>
      <c r="C82" s="145">
        <f>O3</f>
        <v>6.37980705339268</v>
      </c>
      <c r="D82" s="147">
        <f>VLOOKUP('xxxx成本价格-xxx'!F3,$B$66:$I$77,8,0)</f>
        <v>0.859243027621347</v>
      </c>
      <c r="E82" s="145">
        <v>3</v>
      </c>
      <c r="F82" s="148">
        <f>'xxxx成本价格-xxx'!I3</f>
        <v>0.9751</v>
      </c>
      <c r="G82" s="149">
        <v>0.458</v>
      </c>
      <c r="H82" s="149">
        <v>0.52</v>
      </c>
      <c r="I82" s="145">
        <f>0.143636363636364*0.7</f>
        <v>0.100545454545455</v>
      </c>
      <c r="J82" s="154">
        <f t="shared" ref="J82:J87" si="26">(C82+D82*E82)/F82+G82+H82+I82</f>
        <v>10.2648198225659</v>
      </c>
      <c r="K82" s="123"/>
      <c r="L82" s="123"/>
    </row>
    <row r="83" spans="1:12">
      <c r="A83" s="142"/>
      <c r="B83" s="143" t="s">
        <v>66</v>
      </c>
      <c r="C83" s="145">
        <f t="shared" ref="C83:C93" si="27">O4</f>
        <v>6.563217188107</v>
      </c>
      <c r="D83" s="147">
        <f>VLOOKUP('xxxx成本价格-xxx'!F4,$B$66:$I$77,8,0)</f>
        <v>1.0649897153791</v>
      </c>
      <c r="E83" s="145">
        <v>5</v>
      </c>
      <c r="F83" s="148">
        <f>'xxxx成本价格-xxx'!I4</f>
        <v>0.9751</v>
      </c>
      <c r="G83" s="149">
        <v>0.458</v>
      </c>
      <c r="H83" s="149">
        <v>0.52</v>
      </c>
      <c r="I83" s="145">
        <f>0.135*0.7</f>
        <v>0.0945</v>
      </c>
      <c r="J83" s="154">
        <f t="shared" si="26"/>
        <v>13.2642400933263</v>
      </c>
      <c r="K83" s="123"/>
      <c r="L83" s="123"/>
    </row>
    <row r="84" spans="1:12">
      <c r="A84" s="142"/>
      <c r="B84" s="143" t="s">
        <v>119</v>
      </c>
      <c r="C84" s="145">
        <f t="shared" si="27"/>
        <v>7.4888583192626</v>
      </c>
      <c r="D84" s="147">
        <f>VLOOKUP('xxxx成本价格-xxx'!F5,$B$66:$I$77,8,0)</f>
        <v>0.909128648791441</v>
      </c>
      <c r="E84" s="145">
        <v>9</v>
      </c>
      <c r="F84" s="148">
        <f>'xxxx成本价格-xxx'!I5</f>
        <v>0.970125</v>
      </c>
      <c r="G84" s="149">
        <v>0.56</v>
      </c>
      <c r="H84" s="149">
        <v>0.52</v>
      </c>
      <c r="I84" s="145">
        <f>0.1425*0.7</f>
        <v>0.09975</v>
      </c>
      <c r="J84" s="154">
        <f t="shared" si="26"/>
        <v>17.333355111079</v>
      </c>
      <c r="K84" s="123"/>
      <c r="L84" s="123"/>
    </row>
    <row r="85" spans="1:12">
      <c r="A85" s="142"/>
      <c r="B85" s="150" t="s">
        <v>68</v>
      </c>
      <c r="C85" s="145">
        <f t="shared" si="27"/>
        <v>15.0525129250076</v>
      </c>
      <c r="D85" s="147">
        <f>VLOOKUP('xxxx成本价格-xxx'!F6,$B$66:$I$77,8,0)</f>
        <v>0.859243027621347</v>
      </c>
      <c r="E85" s="149">
        <v>17</v>
      </c>
      <c r="F85" s="148">
        <f>'xxxx成本价格-xxx'!I6</f>
        <v>0.960125</v>
      </c>
      <c r="G85" s="149">
        <v>1.077</v>
      </c>
      <c r="H85" s="149">
        <v>0.71</v>
      </c>
      <c r="I85" s="149">
        <f>0.196666666666667*0.7</f>
        <v>0.137666666666667</v>
      </c>
      <c r="J85" s="154">
        <f t="shared" si="26"/>
        <v>32.8161072546844</v>
      </c>
      <c r="K85" s="123"/>
      <c r="L85" s="123"/>
    </row>
    <row r="86" spans="1:12">
      <c r="A86" s="142"/>
      <c r="B86" s="150" t="s">
        <v>69</v>
      </c>
      <c r="C86" s="145">
        <f t="shared" si="27"/>
        <v>28.639051066755</v>
      </c>
      <c r="D86" s="147">
        <f>VLOOKUP('xxxx成本价格-xxx'!F7,$B$66:$I$77,8,0)</f>
        <v>0.859243027621347</v>
      </c>
      <c r="E86" s="149">
        <v>33</v>
      </c>
      <c r="F86" s="148">
        <f>'xxxx成本价格-xxx'!I7</f>
        <v>0.950125</v>
      </c>
      <c r="G86" s="149">
        <v>1.556</v>
      </c>
      <c r="H86" s="149">
        <v>1.224</v>
      </c>
      <c r="I86" s="149">
        <f>0.449*0.7</f>
        <v>0.3143</v>
      </c>
      <c r="J86" s="154">
        <f t="shared" si="26"/>
        <v>63.0801660473722</v>
      </c>
      <c r="K86" s="123"/>
      <c r="L86" s="123"/>
    </row>
    <row r="87" spans="1:12">
      <c r="A87" s="142"/>
      <c r="B87" s="150" t="s">
        <v>70</v>
      </c>
      <c r="C87" s="145">
        <f t="shared" si="27"/>
        <v>68.7535414750039</v>
      </c>
      <c r="D87" s="147">
        <f>VLOOKUP('xxxx成本价格-xxx'!F8,$B$66:$I$77,8,0)</f>
        <v>0.859243027621347</v>
      </c>
      <c r="E87" s="149">
        <v>65</v>
      </c>
      <c r="F87" s="148">
        <f>'xxxx成本价格-xxx'!I8</f>
        <v>0.93</v>
      </c>
      <c r="G87" s="149">
        <v>2.333</v>
      </c>
      <c r="H87" s="149">
        <v>2.224</v>
      </c>
      <c r="I87" s="149">
        <f>0.604285714285714*0.7</f>
        <v>0.423</v>
      </c>
      <c r="J87" s="154">
        <f t="shared" si="26"/>
        <v>138.963159430528</v>
      </c>
      <c r="K87" s="123"/>
      <c r="L87" s="123"/>
    </row>
    <row r="88" spans="1:12">
      <c r="A88" s="142"/>
      <c r="B88" s="150" t="s">
        <v>71</v>
      </c>
      <c r="C88" s="145">
        <f t="shared" si="27"/>
        <v>17.4503201617577</v>
      </c>
      <c r="D88" s="147">
        <f>VLOOKUP('xxxx成本价格-xxx'!F9,$B$66:$I$77,8,0)</f>
        <v>0.859243027621347</v>
      </c>
      <c r="E88" s="149">
        <v>4</v>
      </c>
      <c r="F88" s="148">
        <f>'xxxx成本价格-xxx'!I9</f>
        <v>0.9751</v>
      </c>
      <c r="G88" s="149">
        <v>0.458</v>
      </c>
      <c r="H88" s="149">
        <v>0.52</v>
      </c>
      <c r="I88" s="149">
        <f>0.143333333333333*0.7</f>
        <v>0.100333333333333</v>
      </c>
      <c r="J88" s="155">
        <f>(C88+D88*E88)/F88+G88+H88+I88+G66*2</f>
        <v>22.569000210826</v>
      </c>
      <c r="K88" s="123"/>
      <c r="L88" s="123"/>
    </row>
    <row r="89" spans="1:12">
      <c r="A89" s="142"/>
      <c r="B89" s="143" t="s">
        <v>72</v>
      </c>
      <c r="C89" s="145">
        <f t="shared" si="27"/>
        <v>17.6963865525993</v>
      </c>
      <c r="D89" s="147">
        <f>VLOOKUP('xxxx成本价格-xxx'!F10,$B$66:$I$77,8,0)</f>
        <v>0.859243027621347</v>
      </c>
      <c r="E89" s="145">
        <v>6</v>
      </c>
      <c r="F89" s="148">
        <f>'xxxx成本价格-xxx'!I10</f>
        <v>0.9751</v>
      </c>
      <c r="G89" s="149">
        <v>0.458</v>
      </c>
      <c r="H89" s="149">
        <v>0.52</v>
      </c>
      <c r="I89" s="145">
        <f>0.141428571428571*0.7</f>
        <v>0.0989999999999997</v>
      </c>
      <c r="J89" s="155">
        <f>(C89+D89*E89)/F89+G89+H89+I89+G66*4</f>
        <v>24.6523858253793</v>
      </c>
      <c r="K89" s="123"/>
      <c r="L89" s="123"/>
    </row>
    <row r="90" spans="1:12">
      <c r="A90" s="142"/>
      <c r="B90" s="143" t="s">
        <v>120</v>
      </c>
      <c r="C90" s="145">
        <f t="shared" si="27"/>
        <v>19.7604591348882</v>
      </c>
      <c r="D90" s="147">
        <f>VLOOKUP('xxxx成本价格-xxx'!F11,$B$66:$I$77,8,0)</f>
        <v>0.859243027621347</v>
      </c>
      <c r="E90" s="145">
        <v>10</v>
      </c>
      <c r="F90" s="148">
        <f>'xxxx成本价格-xxx'!I11</f>
        <v>0.970125</v>
      </c>
      <c r="G90" s="149">
        <v>0.56</v>
      </c>
      <c r="H90" s="149">
        <v>0.52</v>
      </c>
      <c r="I90" s="145">
        <f>0.156*0.7</f>
        <v>0.1092</v>
      </c>
      <c r="J90" s="155">
        <f>(C90+D90*E90)/F90+G90+H90+I90+G66*8</f>
        <v>30.6952166587828</v>
      </c>
      <c r="K90" s="123"/>
      <c r="L90" s="123"/>
    </row>
    <row r="91" spans="1:12">
      <c r="A91" s="142"/>
      <c r="B91" s="143" t="s">
        <v>74</v>
      </c>
      <c r="C91" s="145">
        <f t="shared" si="27"/>
        <v>38.044144286868</v>
      </c>
      <c r="D91" s="147">
        <f>VLOOKUP('xxxx成本价格-xxx'!F12,$B$66:$I$77,8,0)</f>
        <v>0.859243027621347</v>
      </c>
      <c r="E91" s="145">
        <v>18</v>
      </c>
      <c r="F91" s="148">
        <f>'xxxx成本价格-xxx'!I12</f>
        <v>0.960125</v>
      </c>
      <c r="G91" s="149">
        <v>1.077</v>
      </c>
      <c r="H91" s="149">
        <v>0.71</v>
      </c>
      <c r="I91" s="145">
        <f>0.1975*0.7</f>
        <v>0.13825</v>
      </c>
      <c r="J91" s="155">
        <f>(C91+D91*E91)/F91+G91+H91+I91+G66*16</f>
        <v>58.2181168496833</v>
      </c>
      <c r="K91" s="123"/>
      <c r="L91" s="123"/>
    </row>
    <row r="92" spans="1:12">
      <c r="A92" s="142"/>
      <c r="B92" s="143" t="s">
        <v>75</v>
      </c>
      <c r="C92" s="145">
        <f t="shared" si="27"/>
        <v>62.8900371076453</v>
      </c>
      <c r="D92" s="147">
        <f>VLOOKUP('xxxx成本价格-xxx'!F13,$B$66:$I$77,8,0)</f>
        <v>0.859243027621347</v>
      </c>
      <c r="E92" s="145">
        <v>34</v>
      </c>
      <c r="F92" s="148">
        <f>'xxxx成本价格-xxx'!I13</f>
        <v>0.950125</v>
      </c>
      <c r="G92" s="149">
        <v>1.556</v>
      </c>
      <c r="H92" s="149">
        <v>1.224</v>
      </c>
      <c r="I92" s="145">
        <f>0.47*0.7</f>
        <v>0.329</v>
      </c>
      <c r="J92" s="155">
        <f>(C92+D92*E92)/F92+G92+H92+I92+G66*32</f>
        <v>101.168139636123</v>
      </c>
      <c r="K92" s="123"/>
      <c r="L92" s="123"/>
    </row>
    <row r="93" spans="1:12">
      <c r="A93" s="151"/>
      <c r="B93" s="143" t="s">
        <v>76</v>
      </c>
      <c r="C93" s="145">
        <f t="shared" si="27"/>
        <v>166.980401725702</v>
      </c>
      <c r="D93" s="147">
        <f>VLOOKUP('xxxx成本价格-xxx'!F14,$B$66:$I$77,8,0)</f>
        <v>0.859243027621347</v>
      </c>
      <c r="E93" s="145">
        <v>66</v>
      </c>
      <c r="F93" s="148">
        <f>'xxxx成本价格-xxx'!I14</f>
        <v>0.93</v>
      </c>
      <c r="G93" s="149">
        <v>2.333</v>
      </c>
      <c r="H93" s="149">
        <v>2.224</v>
      </c>
      <c r="I93" s="145">
        <f>0.7875*0.7</f>
        <v>0.55125</v>
      </c>
      <c r="J93" s="155">
        <f>(C93+D93*E93)/F93+G93+H93+I93+G66*64</f>
        <v>247.87560650399</v>
      </c>
      <c r="K93" s="123"/>
      <c r="L93" s="123"/>
    </row>
    <row r="94" spans="11:12">
      <c r="K94" s="123"/>
      <c r="L94" s="123"/>
    </row>
    <row r="95" spans="11:12">
      <c r="K95" s="123"/>
      <c r="L95" s="123"/>
    </row>
    <row r="96" spans="11:12">
      <c r="K96" s="123"/>
      <c r="L96" s="123"/>
    </row>
    <row r="97" spans="11:12">
      <c r="K97" s="123"/>
      <c r="L97" s="123"/>
    </row>
  </sheetData>
  <mergeCells count="21">
    <mergeCell ref="C1:G1"/>
    <mergeCell ref="D16:I16"/>
    <mergeCell ref="L16:M16"/>
    <mergeCell ref="N16:O16"/>
    <mergeCell ref="B32:D32"/>
    <mergeCell ref="E32:O32"/>
    <mergeCell ref="P32:S32"/>
    <mergeCell ref="D33:I33"/>
    <mergeCell ref="C64:E64"/>
    <mergeCell ref="F64:G64"/>
    <mergeCell ref="C80:F80"/>
    <mergeCell ref="G80:J80"/>
    <mergeCell ref="A1:A14"/>
    <mergeCell ref="A16:A29"/>
    <mergeCell ref="A32:A47"/>
    <mergeCell ref="A49:A61"/>
    <mergeCell ref="A64:A77"/>
    <mergeCell ref="A80:A93"/>
    <mergeCell ref="B16:B17"/>
    <mergeCell ref="C16:C17"/>
    <mergeCell ref="P16:P17"/>
  </mergeCells>
  <conditionalFormatting sqref="G18:G30">
    <cfRule type="cellIs" dxfId="0" priority="1" operator="lessThan">
      <formula>0</formula>
    </cfRule>
  </conditionalFormatting>
  <conditionalFormatting sqref="G35:G47">
    <cfRule type="cellIs" dxfId="0" priority="2" operator="lessThan">
      <formula>0</formula>
    </cfRule>
  </conditionalFormatting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G656"/>
  <sheetViews>
    <sheetView workbookViewId="0">
      <pane ySplit="1" topLeftCell="A618" activePane="bottomLeft" state="frozen"/>
      <selection/>
      <selection pane="bottomLeft" activeCell="B634" sqref="B634"/>
    </sheetView>
  </sheetViews>
  <sheetFormatPr defaultColWidth="9.75" defaultRowHeight="15.6" outlineLevelCol="6"/>
  <cols>
    <col min="1" max="1" width="6.12962962962963" style="31" customWidth="1"/>
    <col min="2" max="2" width="84.75" style="31" customWidth="1"/>
    <col min="3" max="3" width="10.5" style="31" customWidth="1"/>
    <col min="4" max="4" width="10.5" style="32" customWidth="1"/>
    <col min="5" max="5" width="18" style="31" customWidth="1"/>
    <col min="6" max="6" width="18" style="33" customWidth="1"/>
    <col min="7" max="7" width="11.1296296296296" style="33"/>
    <col min="8" max="16384" width="9.75" style="33"/>
  </cols>
  <sheetData>
    <row r="1" spans="1:6">
      <c r="A1" s="31" t="s">
        <v>159</v>
      </c>
      <c r="B1" s="31" t="s">
        <v>160</v>
      </c>
      <c r="C1" s="31" t="s">
        <v>161</v>
      </c>
      <c r="D1" s="32" t="s">
        <v>162</v>
      </c>
      <c r="F1" s="34"/>
    </row>
    <row r="2" spans="1:6">
      <c r="A2" s="31">
        <v>1</v>
      </c>
      <c r="B2" s="31" t="s">
        <v>163</v>
      </c>
      <c r="C2" s="31">
        <v>43.5</v>
      </c>
      <c r="D2" s="35">
        <f t="shared" ref="D2:D18" si="0">C2/1.13</f>
        <v>38.4955752212389</v>
      </c>
      <c r="E2" s="31" t="s">
        <v>164</v>
      </c>
      <c r="F2" s="34" t="s">
        <v>164</v>
      </c>
    </row>
    <row r="3" spans="1:6">
      <c r="A3" s="31">
        <v>2</v>
      </c>
      <c r="B3" s="31" t="s">
        <v>165</v>
      </c>
      <c r="C3" s="36">
        <v>39.55</v>
      </c>
      <c r="D3" s="35">
        <f t="shared" si="0"/>
        <v>35</v>
      </c>
      <c r="E3" s="31" t="s">
        <v>166</v>
      </c>
      <c r="F3" s="34" t="s">
        <v>167</v>
      </c>
    </row>
    <row r="4" spans="1:6">
      <c r="A4" s="31">
        <v>3</v>
      </c>
      <c r="B4" s="31" t="s">
        <v>168</v>
      </c>
      <c r="C4" s="31">
        <v>13</v>
      </c>
      <c r="D4" s="35">
        <f t="shared" si="0"/>
        <v>11.5044247787611</v>
      </c>
      <c r="E4" s="31" t="s">
        <v>169</v>
      </c>
      <c r="F4" s="34" t="s">
        <v>169</v>
      </c>
    </row>
    <row r="5" spans="1:6">
      <c r="A5" s="31">
        <v>4</v>
      </c>
      <c r="B5" s="31" t="s">
        <v>170</v>
      </c>
      <c r="C5" s="31">
        <v>15</v>
      </c>
      <c r="D5" s="35">
        <f t="shared" si="0"/>
        <v>13.2743362831858</v>
      </c>
      <c r="E5" s="31" t="s">
        <v>169</v>
      </c>
      <c r="F5" s="34" t="s">
        <v>169</v>
      </c>
    </row>
    <row r="6" spans="1:6">
      <c r="A6" s="31">
        <v>5</v>
      </c>
      <c r="B6" s="31" t="s">
        <v>171</v>
      </c>
      <c r="C6" s="31">
        <v>11.5</v>
      </c>
      <c r="D6" s="35">
        <f t="shared" si="0"/>
        <v>10.1769911504425</v>
      </c>
      <c r="E6" s="31" t="s">
        <v>169</v>
      </c>
      <c r="F6" s="34" t="s">
        <v>169</v>
      </c>
    </row>
    <row r="7" spans="1:6">
      <c r="A7" s="31">
        <v>6</v>
      </c>
      <c r="B7" s="31" t="s">
        <v>172</v>
      </c>
      <c r="C7" s="31">
        <v>12</v>
      </c>
      <c r="D7" s="35">
        <f t="shared" si="0"/>
        <v>10.6194690265487</v>
      </c>
      <c r="E7" s="31" t="s">
        <v>169</v>
      </c>
      <c r="F7" s="34" t="s">
        <v>169</v>
      </c>
    </row>
    <row r="8" spans="1:6">
      <c r="A8" s="31">
        <v>7</v>
      </c>
      <c r="B8" s="31" t="s">
        <v>173</v>
      </c>
      <c r="C8" s="31">
        <v>12</v>
      </c>
      <c r="D8" s="35">
        <f t="shared" si="0"/>
        <v>10.6194690265487</v>
      </c>
      <c r="E8" s="31" t="s">
        <v>169</v>
      </c>
      <c r="F8" s="34" t="s">
        <v>169</v>
      </c>
    </row>
    <row r="9" spans="1:6">
      <c r="A9" s="31">
        <v>8</v>
      </c>
      <c r="B9" s="31" t="s">
        <v>174</v>
      </c>
      <c r="C9" s="31">
        <v>55</v>
      </c>
      <c r="D9" s="35">
        <f t="shared" si="0"/>
        <v>48.6725663716814</v>
      </c>
      <c r="E9" s="31" t="s">
        <v>169</v>
      </c>
      <c r="F9" s="34" t="s">
        <v>169</v>
      </c>
    </row>
    <row r="10" spans="1:6">
      <c r="A10" s="31">
        <v>9</v>
      </c>
      <c r="B10" s="31" t="s">
        <v>175</v>
      </c>
      <c r="C10" s="31">
        <v>13</v>
      </c>
      <c r="D10" s="35">
        <f t="shared" si="0"/>
        <v>11.5044247787611</v>
      </c>
      <c r="E10" s="31" t="s">
        <v>176</v>
      </c>
      <c r="F10" s="34"/>
    </row>
    <row r="11" spans="1:6">
      <c r="A11" s="31">
        <v>10</v>
      </c>
      <c r="B11" s="31" t="s">
        <v>177</v>
      </c>
      <c r="C11" s="31">
        <v>19</v>
      </c>
      <c r="D11" s="35">
        <f t="shared" si="0"/>
        <v>16.8141592920354</v>
      </c>
      <c r="E11" s="31" t="s">
        <v>176</v>
      </c>
      <c r="F11" s="34"/>
    </row>
    <row r="12" spans="1:6">
      <c r="A12" s="31">
        <v>11</v>
      </c>
      <c r="B12" s="31" t="s">
        <v>178</v>
      </c>
      <c r="C12" s="31">
        <v>0.113</v>
      </c>
      <c r="D12" s="35">
        <f t="shared" ref="D12:D37" si="1">C12/1.13</f>
        <v>0.1</v>
      </c>
      <c r="F12" s="34"/>
    </row>
    <row r="13" spans="1:6">
      <c r="A13" s="31">
        <v>12</v>
      </c>
      <c r="B13" s="31" t="s">
        <v>179</v>
      </c>
      <c r="C13" s="31">
        <v>8.8</v>
      </c>
      <c r="D13" s="35">
        <f t="shared" si="1"/>
        <v>7.78761061946903</v>
      </c>
      <c r="F13" s="34"/>
    </row>
    <row r="14" spans="1:6">
      <c r="A14" s="31">
        <v>13</v>
      </c>
      <c r="B14" s="31" t="s">
        <v>180</v>
      </c>
      <c r="C14" s="31">
        <v>0.25</v>
      </c>
      <c r="D14" s="35">
        <f t="shared" si="1"/>
        <v>0.221238938053097</v>
      </c>
      <c r="F14" s="34"/>
    </row>
    <row r="15" spans="1:6">
      <c r="A15" s="31">
        <v>14</v>
      </c>
      <c r="B15" s="31" t="s">
        <v>181</v>
      </c>
      <c r="C15" s="31">
        <v>0.25</v>
      </c>
      <c r="D15" s="35">
        <f t="shared" si="1"/>
        <v>0.221238938053097</v>
      </c>
      <c r="F15" s="34"/>
    </row>
    <row r="16" spans="1:6">
      <c r="A16" s="31">
        <v>15</v>
      </c>
      <c r="B16" s="31" t="s">
        <v>182</v>
      </c>
      <c r="C16" s="31">
        <v>0.25</v>
      </c>
      <c r="D16" s="35">
        <f t="shared" si="1"/>
        <v>0.221238938053097</v>
      </c>
      <c r="F16" s="34"/>
    </row>
    <row r="17" spans="1:6">
      <c r="A17" s="31">
        <v>16</v>
      </c>
      <c r="B17" s="31" t="s">
        <v>183</v>
      </c>
      <c r="C17" s="31">
        <v>0.68</v>
      </c>
      <c r="D17" s="35">
        <f t="shared" si="1"/>
        <v>0.601769911504425</v>
      </c>
      <c r="F17" s="34"/>
    </row>
    <row r="18" spans="1:6">
      <c r="A18" s="31">
        <v>17</v>
      </c>
      <c r="B18" s="31" t="s">
        <v>184</v>
      </c>
      <c r="C18" s="31">
        <v>0.75</v>
      </c>
      <c r="D18" s="35">
        <f t="shared" si="1"/>
        <v>0.663716814159292</v>
      </c>
      <c r="F18" s="34"/>
    </row>
    <row r="19" spans="1:6">
      <c r="A19" s="31">
        <v>18</v>
      </c>
      <c r="B19" s="31" t="s">
        <v>185</v>
      </c>
      <c r="C19" s="31">
        <v>1.9</v>
      </c>
      <c r="D19" s="35">
        <f t="shared" si="1"/>
        <v>1.68141592920354</v>
      </c>
      <c r="F19" s="34"/>
    </row>
    <row r="20" spans="1:6">
      <c r="A20" s="31">
        <v>19</v>
      </c>
      <c r="B20" s="31" t="s">
        <v>186</v>
      </c>
      <c r="C20" s="31">
        <v>1.2</v>
      </c>
      <c r="D20" s="35">
        <f t="shared" si="1"/>
        <v>1.06194690265487</v>
      </c>
      <c r="F20" s="34"/>
    </row>
    <row r="21" spans="1:6">
      <c r="A21" s="31">
        <v>20</v>
      </c>
      <c r="B21" s="31" t="s">
        <v>187</v>
      </c>
      <c r="C21" s="31">
        <v>2.05</v>
      </c>
      <c r="D21" s="35">
        <f t="shared" si="1"/>
        <v>1.8141592920354</v>
      </c>
      <c r="F21" s="34"/>
    </row>
    <row r="22" spans="1:6">
      <c r="A22" s="31">
        <v>21</v>
      </c>
      <c r="B22" s="31" t="s">
        <v>188</v>
      </c>
      <c r="C22" s="31">
        <v>3.3</v>
      </c>
      <c r="D22" s="35">
        <f t="shared" si="1"/>
        <v>2.92035398230088</v>
      </c>
      <c r="F22" s="34"/>
    </row>
    <row r="23" spans="1:6">
      <c r="A23" s="31">
        <v>22</v>
      </c>
      <c r="B23" s="31" t="s">
        <v>189</v>
      </c>
      <c r="C23" s="31">
        <v>16.58</v>
      </c>
      <c r="D23" s="35">
        <f t="shared" si="1"/>
        <v>14.6725663716814</v>
      </c>
      <c r="F23" s="34"/>
    </row>
    <row r="24" spans="1:6">
      <c r="A24" s="31">
        <v>23</v>
      </c>
      <c r="B24" s="31" t="s">
        <v>190</v>
      </c>
      <c r="C24" s="31">
        <v>2.05</v>
      </c>
      <c r="D24" s="35">
        <f t="shared" si="1"/>
        <v>1.8141592920354</v>
      </c>
      <c r="F24" s="34"/>
    </row>
    <row r="25" spans="1:6">
      <c r="A25" s="31">
        <v>24</v>
      </c>
      <c r="B25" s="31" t="s">
        <v>191</v>
      </c>
      <c r="C25" s="31">
        <v>3.94</v>
      </c>
      <c r="D25" s="35">
        <f t="shared" si="1"/>
        <v>3.48672566371681</v>
      </c>
      <c r="F25" s="34"/>
    </row>
    <row r="26" spans="1:6">
      <c r="A26" s="31">
        <v>25</v>
      </c>
      <c r="B26" s="31" t="s">
        <v>192</v>
      </c>
      <c r="C26" s="31">
        <v>4.2</v>
      </c>
      <c r="D26" s="35">
        <f t="shared" si="1"/>
        <v>3.71681415929204</v>
      </c>
      <c r="F26" s="34"/>
    </row>
    <row r="27" spans="1:6">
      <c r="A27" s="31">
        <v>26</v>
      </c>
      <c r="B27" s="31" t="s">
        <v>193</v>
      </c>
      <c r="C27" s="31">
        <v>16.58</v>
      </c>
      <c r="D27" s="35">
        <f t="shared" si="1"/>
        <v>14.6725663716814</v>
      </c>
      <c r="F27" s="34"/>
    </row>
    <row r="28" spans="1:6">
      <c r="A28" s="31">
        <v>27</v>
      </c>
      <c r="B28" s="31" t="s">
        <v>194</v>
      </c>
      <c r="C28" s="31">
        <v>2.05</v>
      </c>
      <c r="D28" s="35">
        <f t="shared" si="1"/>
        <v>1.8141592920354</v>
      </c>
      <c r="F28" s="34"/>
    </row>
    <row r="29" spans="1:6">
      <c r="A29" s="31">
        <v>28</v>
      </c>
      <c r="B29" s="31" t="s">
        <v>195</v>
      </c>
      <c r="C29" s="31">
        <v>1.2</v>
      </c>
      <c r="D29" s="35">
        <f t="shared" si="1"/>
        <v>1.06194690265487</v>
      </c>
      <c r="F29" s="34"/>
    </row>
    <row r="30" spans="1:6">
      <c r="A30" s="31">
        <v>29</v>
      </c>
      <c r="B30" s="31" t="s">
        <v>196</v>
      </c>
      <c r="C30" s="31">
        <v>4.2</v>
      </c>
      <c r="D30" s="35">
        <f t="shared" si="1"/>
        <v>3.71681415929204</v>
      </c>
      <c r="F30" s="34"/>
    </row>
    <row r="31" spans="1:6">
      <c r="A31" s="31">
        <v>30</v>
      </c>
      <c r="B31" s="31" t="s">
        <v>197</v>
      </c>
      <c r="C31" s="31">
        <v>6.51</v>
      </c>
      <c r="D31" s="35">
        <f t="shared" si="1"/>
        <v>5.76106194690266</v>
      </c>
      <c r="F31" s="34"/>
    </row>
    <row r="32" spans="1:6">
      <c r="A32" s="31">
        <v>31</v>
      </c>
      <c r="B32" s="31" t="s">
        <v>198</v>
      </c>
      <c r="C32" s="31">
        <v>19.49</v>
      </c>
      <c r="D32" s="35">
        <f t="shared" si="1"/>
        <v>17.2477876106195</v>
      </c>
      <c r="F32" s="34"/>
    </row>
    <row r="33" spans="1:6">
      <c r="A33" s="31">
        <v>32</v>
      </c>
      <c r="B33" s="31" t="s">
        <v>199</v>
      </c>
      <c r="C33" s="31">
        <v>4.87</v>
      </c>
      <c r="D33" s="35">
        <f t="shared" si="1"/>
        <v>4.30973451327434</v>
      </c>
      <c r="F33" s="34"/>
    </row>
    <row r="34" spans="1:6">
      <c r="A34" s="31">
        <v>33</v>
      </c>
      <c r="B34" s="31" t="s">
        <v>200</v>
      </c>
      <c r="C34" s="31">
        <v>10.4</v>
      </c>
      <c r="D34" s="35">
        <f t="shared" si="1"/>
        <v>9.20353982300885</v>
      </c>
      <c r="F34" s="34"/>
    </row>
    <row r="35" spans="1:6">
      <c r="A35" s="31">
        <v>34</v>
      </c>
      <c r="B35" s="31" t="s">
        <v>201</v>
      </c>
      <c r="C35" s="31">
        <v>80.91</v>
      </c>
      <c r="D35" s="35">
        <f t="shared" si="1"/>
        <v>71.6017699115044</v>
      </c>
      <c r="F35" s="34"/>
    </row>
    <row r="36" spans="1:6">
      <c r="A36" s="31">
        <v>35</v>
      </c>
      <c r="B36" s="31" t="s">
        <v>202</v>
      </c>
      <c r="C36" s="31">
        <v>12.18</v>
      </c>
      <c r="D36" s="35">
        <f t="shared" si="1"/>
        <v>10.7787610619469</v>
      </c>
      <c r="F36" s="34"/>
    </row>
    <row r="37" spans="1:6">
      <c r="A37" s="31">
        <v>36</v>
      </c>
      <c r="B37" s="31" t="s">
        <v>203</v>
      </c>
      <c r="C37" s="31">
        <v>13.13</v>
      </c>
      <c r="D37" s="35">
        <f t="shared" si="1"/>
        <v>11.6194690265487</v>
      </c>
      <c r="F37" s="34"/>
    </row>
    <row r="38" spans="1:6">
      <c r="A38" s="31">
        <v>37</v>
      </c>
      <c r="B38" s="31" t="s">
        <v>204</v>
      </c>
      <c r="C38" s="31">
        <v>33.14</v>
      </c>
      <c r="D38" s="35">
        <f t="shared" ref="D38:D101" si="2">C38/1.13</f>
        <v>29.3274336283186</v>
      </c>
      <c r="F38" s="34"/>
    </row>
    <row r="39" spans="1:6">
      <c r="A39" s="31">
        <v>38</v>
      </c>
      <c r="B39" s="31" t="s">
        <v>205</v>
      </c>
      <c r="C39" s="31">
        <v>438.68</v>
      </c>
      <c r="D39" s="35">
        <f t="shared" si="2"/>
        <v>388.212389380531</v>
      </c>
      <c r="F39" s="34"/>
    </row>
    <row r="40" spans="1:6">
      <c r="A40" s="31">
        <v>39</v>
      </c>
      <c r="B40" s="31" t="s">
        <v>206</v>
      </c>
      <c r="C40" s="31">
        <v>11.68</v>
      </c>
      <c r="D40" s="35">
        <f t="shared" si="2"/>
        <v>10.3362831858407</v>
      </c>
      <c r="F40" s="34"/>
    </row>
    <row r="41" spans="1:6">
      <c r="A41" s="31">
        <v>40</v>
      </c>
      <c r="B41" s="31" t="s">
        <v>207</v>
      </c>
      <c r="C41" s="31">
        <v>12.68</v>
      </c>
      <c r="D41" s="35">
        <f t="shared" si="2"/>
        <v>11.2212389380531</v>
      </c>
      <c r="F41" s="34"/>
    </row>
    <row r="42" spans="1:6">
      <c r="A42" s="31">
        <v>41</v>
      </c>
      <c r="B42" s="31" t="s">
        <v>208</v>
      </c>
      <c r="C42" s="31">
        <v>26.32</v>
      </c>
      <c r="D42" s="35">
        <f t="shared" si="2"/>
        <v>23.2920353982301</v>
      </c>
      <c r="F42" s="34"/>
    </row>
    <row r="43" spans="1:6">
      <c r="A43" s="31">
        <v>42</v>
      </c>
      <c r="B43" s="31" t="s">
        <v>209</v>
      </c>
      <c r="C43" s="31">
        <v>41.92</v>
      </c>
      <c r="D43" s="35">
        <f t="shared" si="2"/>
        <v>37.0973451327434</v>
      </c>
      <c r="F43" s="34"/>
    </row>
    <row r="44" spans="1:6">
      <c r="A44" s="31">
        <v>43</v>
      </c>
      <c r="B44" s="31" t="s">
        <v>210</v>
      </c>
      <c r="C44" s="31">
        <v>46.85</v>
      </c>
      <c r="D44" s="35">
        <f t="shared" si="2"/>
        <v>41.4601769911504</v>
      </c>
      <c r="F44" s="34"/>
    </row>
    <row r="45" spans="1:6">
      <c r="A45" s="31">
        <v>44</v>
      </c>
      <c r="B45" s="31" t="s">
        <v>211</v>
      </c>
      <c r="C45" s="31">
        <v>116.98</v>
      </c>
      <c r="D45" s="35">
        <f t="shared" si="2"/>
        <v>103.522123893805</v>
      </c>
      <c r="F45" s="34"/>
    </row>
    <row r="46" spans="1:6">
      <c r="A46" s="31">
        <v>45</v>
      </c>
      <c r="B46" s="31" t="s">
        <v>212</v>
      </c>
      <c r="C46" s="31">
        <v>26</v>
      </c>
      <c r="D46" s="35">
        <f t="shared" si="2"/>
        <v>23.0088495575221</v>
      </c>
      <c r="F46" s="34"/>
    </row>
    <row r="47" spans="1:6">
      <c r="A47" s="31">
        <v>46</v>
      </c>
      <c r="B47" s="31" t="s">
        <v>213</v>
      </c>
      <c r="C47" s="31">
        <v>30</v>
      </c>
      <c r="D47" s="35">
        <f t="shared" si="2"/>
        <v>26.5486725663717</v>
      </c>
      <c r="F47" s="34"/>
    </row>
    <row r="48" spans="1:6">
      <c r="A48" s="31">
        <v>47</v>
      </c>
      <c r="B48" s="31" t="s">
        <v>214</v>
      </c>
      <c r="C48" s="31">
        <v>37</v>
      </c>
      <c r="D48" s="35">
        <f t="shared" si="2"/>
        <v>32.7433628318584</v>
      </c>
      <c r="F48" s="34"/>
    </row>
    <row r="49" spans="1:6">
      <c r="A49" s="31">
        <v>48</v>
      </c>
      <c r="B49" s="31" t="s">
        <v>215</v>
      </c>
      <c r="C49" s="31">
        <v>0.39</v>
      </c>
      <c r="D49" s="35">
        <f t="shared" si="2"/>
        <v>0.345132743362832</v>
      </c>
      <c r="F49" s="34"/>
    </row>
    <row r="50" spans="1:6">
      <c r="A50" s="31">
        <v>49</v>
      </c>
      <c r="B50" s="31" t="s">
        <v>216</v>
      </c>
      <c r="C50" s="31">
        <v>0.53</v>
      </c>
      <c r="D50" s="35">
        <f t="shared" si="2"/>
        <v>0.469026548672566</v>
      </c>
      <c r="F50" s="34"/>
    </row>
    <row r="51" spans="1:6">
      <c r="A51" s="31">
        <v>50</v>
      </c>
      <c r="B51" s="31" t="s">
        <v>217</v>
      </c>
      <c r="C51" s="31">
        <v>0.41</v>
      </c>
      <c r="D51" s="35">
        <f t="shared" si="2"/>
        <v>0.36283185840708</v>
      </c>
      <c r="F51" s="34"/>
    </row>
    <row r="52" spans="1:6">
      <c r="A52" s="31">
        <v>51</v>
      </c>
      <c r="B52" s="31" t="s">
        <v>218</v>
      </c>
      <c r="C52" s="31">
        <v>0.56</v>
      </c>
      <c r="D52" s="35">
        <f t="shared" si="2"/>
        <v>0.495575221238938</v>
      </c>
      <c r="F52" s="34"/>
    </row>
    <row r="53" spans="1:6">
      <c r="A53" s="31">
        <v>52</v>
      </c>
      <c r="B53" s="31" t="s">
        <v>219</v>
      </c>
      <c r="C53" s="31">
        <v>0.46</v>
      </c>
      <c r="D53" s="35">
        <f t="shared" si="2"/>
        <v>0.407079646017699</v>
      </c>
      <c r="F53" s="34"/>
    </row>
    <row r="54" spans="1:6">
      <c r="A54" s="31">
        <v>53</v>
      </c>
      <c r="B54" s="31" t="s">
        <v>220</v>
      </c>
      <c r="C54" s="31">
        <v>0.46</v>
      </c>
      <c r="D54" s="35">
        <f t="shared" si="2"/>
        <v>0.407079646017699</v>
      </c>
      <c r="F54" s="34"/>
    </row>
    <row r="55" spans="1:6">
      <c r="A55" s="31">
        <v>54</v>
      </c>
      <c r="B55" s="31" t="s">
        <v>221</v>
      </c>
      <c r="C55" s="31">
        <v>0.54</v>
      </c>
      <c r="D55" s="35">
        <f t="shared" si="2"/>
        <v>0.47787610619469</v>
      </c>
      <c r="F55" s="34"/>
    </row>
    <row r="56" spans="1:6">
      <c r="A56" s="31">
        <v>55</v>
      </c>
      <c r="B56" s="31" t="s">
        <v>222</v>
      </c>
      <c r="C56" s="31">
        <v>0.078</v>
      </c>
      <c r="D56" s="35">
        <f t="shared" si="2"/>
        <v>0.0690265486725664</v>
      </c>
      <c r="F56" s="34"/>
    </row>
    <row r="57" spans="1:6">
      <c r="A57" s="31">
        <v>56</v>
      </c>
      <c r="B57" s="31" t="s">
        <v>223</v>
      </c>
      <c r="C57" s="31">
        <v>0.078</v>
      </c>
      <c r="D57" s="35">
        <f t="shared" si="2"/>
        <v>0.0690265486725664</v>
      </c>
      <c r="F57" s="34"/>
    </row>
    <row r="58" spans="1:6">
      <c r="A58" s="31">
        <v>57</v>
      </c>
      <c r="B58" s="31" t="s">
        <v>224</v>
      </c>
      <c r="C58" s="31">
        <v>0.08</v>
      </c>
      <c r="D58" s="35">
        <f t="shared" si="2"/>
        <v>0.0707964601769912</v>
      </c>
      <c r="F58" s="34"/>
    </row>
    <row r="59" spans="1:6">
      <c r="A59" s="31">
        <v>58</v>
      </c>
      <c r="B59" s="31" t="s">
        <v>225</v>
      </c>
      <c r="C59" s="31">
        <v>0.078</v>
      </c>
      <c r="D59" s="35">
        <f t="shared" si="2"/>
        <v>0.0690265486725664</v>
      </c>
      <c r="F59" s="34"/>
    </row>
    <row r="60" spans="1:6">
      <c r="A60" s="31">
        <v>59</v>
      </c>
      <c r="B60" s="31" t="s">
        <v>226</v>
      </c>
      <c r="C60" s="31">
        <v>0.08</v>
      </c>
      <c r="D60" s="35">
        <f t="shared" si="2"/>
        <v>0.0707964601769912</v>
      </c>
      <c r="F60" s="34"/>
    </row>
    <row r="61" spans="1:6">
      <c r="A61" s="31">
        <v>60</v>
      </c>
      <c r="B61" s="31" t="s">
        <v>227</v>
      </c>
      <c r="C61" s="31">
        <v>0.08</v>
      </c>
      <c r="D61" s="35">
        <f t="shared" si="2"/>
        <v>0.0707964601769912</v>
      </c>
      <c r="F61" s="34"/>
    </row>
    <row r="62" spans="1:6">
      <c r="A62" s="31">
        <v>61</v>
      </c>
      <c r="B62" s="31" t="s">
        <v>228</v>
      </c>
      <c r="C62" s="31">
        <v>0.088</v>
      </c>
      <c r="D62" s="35">
        <f t="shared" si="2"/>
        <v>0.0778761061946903</v>
      </c>
      <c r="F62" s="34"/>
    </row>
    <row r="63" spans="1:6">
      <c r="A63" s="31">
        <v>62</v>
      </c>
      <c r="B63" s="31" t="s">
        <v>229</v>
      </c>
      <c r="C63" s="31">
        <v>0.088</v>
      </c>
      <c r="D63" s="35">
        <f t="shared" si="2"/>
        <v>0.0778761061946903</v>
      </c>
      <c r="F63" s="34"/>
    </row>
    <row r="64" spans="1:6">
      <c r="A64" s="31">
        <v>63</v>
      </c>
      <c r="B64" s="31" t="s">
        <v>230</v>
      </c>
      <c r="C64" s="31">
        <v>0.088</v>
      </c>
      <c r="D64" s="35">
        <f t="shared" si="2"/>
        <v>0.0778761061946903</v>
      </c>
      <c r="F64" s="34"/>
    </row>
    <row r="65" spans="1:6">
      <c r="A65" s="31">
        <v>64</v>
      </c>
      <c r="B65" s="31" t="s">
        <v>231</v>
      </c>
      <c r="C65" s="31">
        <v>0.09</v>
      </c>
      <c r="D65" s="35">
        <f t="shared" si="2"/>
        <v>0.079646017699115</v>
      </c>
      <c r="F65" s="34"/>
    </row>
    <row r="66" spans="1:6">
      <c r="A66" s="31">
        <v>65</v>
      </c>
      <c r="B66" s="31" t="s">
        <v>232</v>
      </c>
      <c r="C66" s="31">
        <v>0.3312</v>
      </c>
      <c r="D66" s="35">
        <f t="shared" si="2"/>
        <v>0.293097345132743</v>
      </c>
      <c r="F66" s="34"/>
    </row>
    <row r="67" spans="1:6">
      <c r="A67" s="31">
        <v>66</v>
      </c>
      <c r="B67" s="31" t="s">
        <v>233</v>
      </c>
      <c r="C67" s="31">
        <v>0.5084</v>
      </c>
      <c r="D67" s="35">
        <f t="shared" si="2"/>
        <v>0.449911504424779</v>
      </c>
      <c r="F67" s="34"/>
    </row>
    <row r="68" spans="1:6">
      <c r="A68" s="31">
        <v>67</v>
      </c>
      <c r="B68" s="31" t="s">
        <v>234</v>
      </c>
      <c r="C68" s="31">
        <v>1.3638</v>
      </c>
      <c r="D68" s="35">
        <f t="shared" si="2"/>
        <v>1.20690265486726</v>
      </c>
      <c r="F68" s="34"/>
    </row>
    <row r="69" spans="1:6">
      <c r="A69" s="31">
        <v>68</v>
      </c>
      <c r="B69" s="31" t="s">
        <v>235</v>
      </c>
      <c r="C69" s="31">
        <v>0.0341</v>
      </c>
      <c r="D69" s="35">
        <f t="shared" si="2"/>
        <v>0.0301769911504425</v>
      </c>
      <c r="F69" s="34"/>
    </row>
    <row r="70" spans="1:6">
      <c r="A70" s="31">
        <v>69</v>
      </c>
      <c r="B70" s="31" t="s">
        <v>236</v>
      </c>
      <c r="C70" s="31">
        <v>0.1558</v>
      </c>
      <c r="D70" s="35">
        <f t="shared" si="2"/>
        <v>0.13787610619469</v>
      </c>
      <c r="F70" s="34"/>
    </row>
    <row r="71" spans="1:6">
      <c r="A71" s="31">
        <v>70</v>
      </c>
      <c r="B71" s="31" t="s">
        <v>237</v>
      </c>
      <c r="C71" s="31">
        <v>0.1948</v>
      </c>
      <c r="D71" s="35">
        <f t="shared" si="2"/>
        <v>0.172389380530973</v>
      </c>
      <c r="F71" s="34"/>
    </row>
    <row r="72" spans="1:6">
      <c r="A72" s="31">
        <v>71</v>
      </c>
      <c r="B72" s="31" t="s">
        <v>238</v>
      </c>
      <c r="C72" s="31">
        <v>0.0341</v>
      </c>
      <c r="D72" s="35">
        <f t="shared" si="2"/>
        <v>0.0301769911504425</v>
      </c>
      <c r="F72" s="34"/>
    </row>
    <row r="73" spans="1:6">
      <c r="A73" s="31">
        <v>72</v>
      </c>
      <c r="B73" s="31" t="s">
        <v>239</v>
      </c>
      <c r="C73" s="31">
        <v>0.1558</v>
      </c>
      <c r="D73" s="35">
        <f t="shared" si="2"/>
        <v>0.13787610619469</v>
      </c>
      <c r="F73" s="34"/>
    </row>
    <row r="74" spans="1:6">
      <c r="A74" s="31">
        <v>73</v>
      </c>
      <c r="B74" s="31" t="s">
        <v>240</v>
      </c>
      <c r="C74" s="31">
        <v>0.1948</v>
      </c>
      <c r="D74" s="35">
        <f t="shared" si="2"/>
        <v>0.172389380530973</v>
      </c>
      <c r="F74" s="34"/>
    </row>
    <row r="75" spans="1:6">
      <c r="A75" s="31">
        <v>74</v>
      </c>
      <c r="B75" s="31" t="s">
        <v>241</v>
      </c>
      <c r="C75" s="31">
        <v>0.47</v>
      </c>
      <c r="D75" s="35">
        <f t="shared" si="2"/>
        <v>0.415929203539823</v>
      </c>
      <c r="F75" s="34"/>
    </row>
    <row r="76" spans="1:6">
      <c r="A76" s="31">
        <v>75</v>
      </c>
      <c r="B76" s="31" t="s">
        <v>242</v>
      </c>
      <c r="C76" s="31">
        <v>0.319</v>
      </c>
      <c r="D76" s="35">
        <f t="shared" si="2"/>
        <v>0.282300884955752</v>
      </c>
      <c r="F76" s="34"/>
    </row>
    <row r="77" spans="1:6">
      <c r="A77" s="31">
        <v>76</v>
      </c>
      <c r="B77" s="31" t="s">
        <v>243</v>
      </c>
      <c r="C77" s="31">
        <v>0.66</v>
      </c>
      <c r="D77" s="35">
        <f t="shared" si="2"/>
        <v>0.584070796460177</v>
      </c>
      <c r="F77" s="34"/>
    </row>
    <row r="78" spans="1:6">
      <c r="A78" s="31">
        <v>77</v>
      </c>
      <c r="B78" s="31" t="s">
        <v>244</v>
      </c>
      <c r="C78" s="31">
        <v>0.2406</v>
      </c>
      <c r="D78" s="35">
        <f t="shared" si="2"/>
        <v>0.212920353982301</v>
      </c>
      <c r="F78" s="34"/>
    </row>
    <row r="79" spans="1:6">
      <c r="A79" s="31">
        <v>78</v>
      </c>
      <c r="B79" s="31" t="s">
        <v>245</v>
      </c>
      <c r="C79" s="31">
        <v>0.66</v>
      </c>
      <c r="D79" s="35">
        <f t="shared" si="2"/>
        <v>0.584070796460177</v>
      </c>
      <c r="F79" s="34"/>
    </row>
    <row r="80" spans="1:6">
      <c r="A80" s="31">
        <v>79</v>
      </c>
      <c r="B80" s="31" t="s">
        <v>246</v>
      </c>
      <c r="C80" s="31">
        <v>0.66</v>
      </c>
      <c r="D80" s="35">
        <f t="shared" si="2"/>
        <v>0.584070796460177</v>
      </c>
      <c r="F80" s="34"/>
    </row>
    <row r="81" spans="1:6">
      <c r="A81" s="31">
        <v>80</v>
      </c>
      <c r="B81" s="31" t="s">
        <v>247</v>
      </c>
      <c r="C81" s="31">
        <v>0.595</v>
      </c>
      <c r="D81" s="35">
        <f t="shared" si="2"/>
        <v>0.526548672566372</v>
      </c>
      <c r="F81" s="34"/>
    </row>
    <row r="82" spans="1:6">
      <c r="A82" s="31">
        <v>81</v>
      </c>
      <c r="B82" s="31" t="s">
        <v>248</v>
      </c>
      <c r="C82" s="31">
        <v>0.4</v>
      </c>
      <c r="D82" s="35">
        <f t="shared" si="2"/>
        <v>0.353982300884956</v>
      </c>
      <c r="F82" s="34"/>
    </row>
    <row r="83" spans="1:6">
      <c r="A83" s="31">
        <v>82</v>
      </c>
      <c r="B83" s="31" t="s">
        <v>249</v>
      </c>
      <c r="C83" s="31">
        <v>0.224</v>
      </c>
      <c r="D83" s="35">
        <f t="shared" si="2"/>
        <v>0.198230088495575</v>
      </c>
      <c r="F83" s="34"/>
    </row>
    <row r="84" spans="1:6">
      <c r="A84" s="31">
        <v>83</v>
      </c>
      <c r="B84" s="31" t="s">
        <v>250</v>
      </c>
      <c r="C84" s="31">
        <v>0.4</v>
      </c>
      <c r="D84" s="35">
        <f t="shared" si="2"/>
        <v>0.353982300884956</v>
      </c>
      <c r="F84" s="34"/>
    </row>
    <row r="85" spans="1:6">
      <c r="A85" s="31">
        <v>84</v>
      </c>
      <c r="B85" s="31" t="s">
        <v>251</v>
      </c>
      <c r="C85" s="31">
        <v>0.51</v>
      </c>
      <c r="D85" s="35">
        <f t="shared" si="2"/>
        <v>0.451327433628319</v>
      </c>
      <c r="F85" s="34"/>
    </row>
    <row r="86" spans="1:6">
      <c r="A86" s="31">
        <v>85</v>
      </c>
      <c r="B86" s="31" t="s">
        <v>252</v>
      </c>
      <c r="C86" s="31">
        <v>0.51</v>
      </c>
      <c r="D86" s="35">
        <f t="shared" si="2"/>
        <v>0.451327433628319</v>
      </c>
      <c r="F86" s="34"/>
    </row>
    <row r="87" spans="1:6">
      <c r="A87" s="31">
        <v>86</v>
      </c>
      <c r="B87" s="31" t="s">
        <v>253</v>
      </c>
      <c r="C87" s="31">
        <v>0.14</v>
      </c>
      <c r="D87" s="35">
        <f t="shared" si="2"/>
        <v>0.123893805309735</v>
      </c>
      <c r="F87" s="34"/>
    </row>
    <row r="88" spans="1:6">
      <c r="A88" s="31">
        <v>87</v>
      </c>
      <c r="B88" s="31" t="s">
        <v>254</v>
      </c>
      <c r="C88" s="31">
        <v>0.168</v>
      </c>
      <c r="D88" s="35">
        <f t="shared" si="2"/>
        <v>0.148672566371681</v>
      </c>
      <c r="F88" s="34"/>
    </row>
    <row r="89" spans="1:6">
      <c r="A89" s="31">
        <v>88</v>
      </c>
      <c r="B89" s="31" t="s">
        <v>255</v>
      </c>
      <c r="C89" s="31">
        <v>0.4</v>
      </c>
      <c r="D89" s="35">
        <f t="shared" si="2"/>
        <v>0.353982300884956</v>
      </c>
      <c r="F89" s="34"/>
    </row>
    <row r="90" spans="1:6">
      <c r="A90" s="31">
        <v>89</v>
      </c>
      <c r="B90" s="31" t="s">
        <v>256</v>
      </c>
      <c r="C90" s="31">
        <v>0.168</v>
      </c>
      <c r="D90" s="35">
        <f t="shared" si="2"/>
        <v>0.148672566371681</v>
      </c>
      <c r="F90" s="34"/>
    </row>
    <row r="91" spans="1:6">
      <c r="A91" s="31">
        <v>90</v>
      </c>
      <c r="B91" s="31" t="s">
        <v>257</v>
      </c>
      <c r="C91" s="31">
        <v>0.24</v>
      </c>
      <c r="D91" s="35">
        <f t="shared" si="2"/>
        <v>0.212389380530973</v>
      </c>
      <c r="F91" s="34"/>
    </row>
    <row r="92" spans="1:6">
      <c r="A92" s="31">
        <v>91</v>
      </c>
      <c r="B92" s="31" t="s">
        <v>258</v>
      </c>
      <c r="C92" s="31">
        <v>0.164</v>
      </c>
      <c r="D92" s="35">
        <f t="shared" si="2"/>
        <v>0.145132743362832</v>
      </c>
      <c r="F92" s="34"/>
    </row>
    <row r="93" spans="1:6">
      <c r="A93" s="31">
        <v>92</v>
      </c>
      <c r="B93" s="31" t="s">
        <v>259</v>
      </c>
      <c r="C93" s="31">
        <v>0.28</v>
      </c>
      <c r="D93" s="35">
        <f t="shared" si="2"/>
        <v>0.247787610619469</v>
      </c>
      <c r="F93" s="34"/>
    </row>
    <row r="94" spans="1:6">
      <c r="A94" s="31">
        <v>93</v>
      </c>
      <c r="B94" s="31" t="s">
        <v>260</v>
      </c>
      <c r="C94" s="31">
        <v>0.51</v>
      </c>
      <c r="D94" s="35">
        <f t="shared" si="2"/>
        <v>0.451327433628319</v>
      </c>
      <c r="F94" s="34"/>
    </row>
    <row r="95" spans="1:6">
      <c r="A95" s="31">
        <v>94</v>
      </c>
      <c r="B95" s="31" t="s">
        <v>261</v>
      </c>
      <c r="C95" s="31">
        <v>0.51</v>
      </c>
      <c r="D95" s="35">
        <f t="shared" si="2"/>
        <v>0.451327433628319</v>
      </c>
      <c r="F95" s="34"/>
    </row>
    <row r="96" spans="1:6">
      <c r="A96" s="31">
        <v>95</v>
      </c>
      <c r="B96" s="31" t="s">
        <v>262</v>
      </c>
      <c r="C96" s="31">
        <v>0.51</v>
      </c>
      <c r="D96" s="35">
        <f t="shared" si="2"/>
        <v>0.451327433628319</v>
      </c>
      <c r="F96" s="34"/>
    </row>
    <row r="97" spans="1:6">
      <c r="A97" s="31">
        <v>96</v>
      </c>
      <c r="B97" s="31" t="s">
        <v>263</v>
      </c>
      <c r="C97" s="31">
        <v>0.51</v>
      </c>
      <c r="D97" s="35">
        <f t="shared" si="2"/>
        <v>0.451327433628319</v>
      </c>
      <c r="F97" s="34"/>
    </row>
    <row r="98" spans="1:6">
      <c r="A98" s="31">
        <v>97</v>
      </c>
      <c r="B98" s="31" t="s">
        <v>264</v>
      </c>
      <c r="C98" s="31">
        <v>0.51</v>
      </c>
      <c r="D98" s="35">
        <f t="shared" si="2"/>
        <v>0.451327433628319</v>
      </c>
      <c r="F98" s="34"/>
    </row>
    <row r="99" spans="1:6">
      <c r="A99" s="31">
        <v>98</v>
      </c>
      <c r="B99" s="31" t="s">
        <v>265</v>
      </c>
      <c r="C99" s="31">
        <v>0.2</v>
      </c>
      <c r="D99" s="35">
        <f t="shared" si="2"/>
        <v>0.176991150442478</v>
      </c>
      <c r="F99" s="34"/>
    </row>
    <row r="100" spans="1:6">
      <c r="A100" s="31">
        <v>99</v>
      </c>
      <c r="B100" s="31" t="s">
        <v>266</v>
      </c>
      <c r="C100" s="31">
        <v>0.526</v>
      </c>
      <c r="D100" s="35">
        <f t="shared" si="2"/>
        <v>0.465486725663717</v>
      </c>
      <c r="F100" s="34"/>
    </row>
    <row r="101" spans="1:6">
      <c r="A101" s="31">
        <v>100</v>
      </c>
      <c r="B101" s="31" t="s">
        <v>267</v>
      </c>
      <c r="C101" s="31">
        <v>0.238</v>
      </c>
      <c r="D101" s="35">
        <f t="shared" si="2"/>
        <v>0.210619469026549</v>
      </c>
      <c r="F101" s="34"/>
    </row>
    <row r="102" spans="1:6">
      <c r="A102" s="31">
        <v>101</v>
      </c>
      <c r="B102" s="31" t="s">
        <v>268</v>
      </c>
      <c r="C102" s="31">
        <v>0.41</v>
      </c>
      <c r="D102" s="35">
        <f t="shared" ref="D102:D165" si="3">C102/1.13</f>
        <v>0.36283185840708</v>
      </c>
      <c r="F102" s="34"/>
    </row>
    <row r="103" spans="1:6">
      <c r="A103" s="31">
        <v>102</v>
      </c>
      <c r="B103" s="31" t="s">
        <v>269</v>
      </c>
      <c r="C103" s="31">
        <v>0.146</v>
      </c>
      <c r="D103" s="35">
        <f t="shared" si="3"/>
        <v>0.129203539823009</v>
      </c>
      <c r="F103" s="34"/>
    </row>
    <row r="104" spans="1:6">
      <c r="A104" s="31">
        <v>103</v>
      </c>
      <c r="B104" s="31" t="s">
        <v>270</v>
      </c>
      <c r="C104" s="31">
        <v>0.584</v>
      </c>
      <c r="D104" s="35">
        <f t="shared" si="3"/>
        <v>0.516814159292035</v>
      </c>
      <c r="F104" s="34"/>
    </row>
    <row r="105" spans="1:6">
      <c r="A105" s="31">
        <v>104</v>
      </c>
      <c r="B105" s="31" t="s">
        <v>271</v>
      </c>
      <c r="C105" s="31">
        <v>0.77</v>
      </c>
      <c r="D105" s="35">
        <f t="shared" si="3"/>
        <v>0.68141592920354</v>
      </c>
      <c r="F105" s="34"/>
    </row>
    <row r="106" spans="1:6">
      <c r="A106" s="31">
        <v>105</v>
      </c>
      <c r="B106" s="31" t="s">
        <v>272</v>
      </c>
      <c r="C106" s="31">
        <v>0.0395</v>
      </c>
      <c r="D106" s="35">
        <f t="shared" si="3"/>
        <v>0.0349557522123894</v>
      </c>
      <c r="F106" s="34"/>
    </row>
    <row r="107" spans="1:6">
      <c r="A107" s="31">
        <v>106</v>
      </c>
      <c r="B107" s="31" t="s">
        <v>273</v>
      </c>
      <c r="C107" s="31">
        <v>0.0964</v>
      </c>
      <c r="D107" s="35">
        <f t="shared" si="3"/>
        <v>0.0853097345132743</v>
      </c>
      <c r="F107" s="34"/>
    </row>
    <row r="108" spans="1:6">
      <c r="A108" s="31">
        <v>107</v>
      </c>
      <c r="B108" s="31" t="s">
        <v>274</v>
      </c>
      <c r="C108" s="31">
        <v>0.0964</v>
      </c>
      <c r="D108" s="35">
        <f t="shared" si="3"/>
        <v>0.0853097345132743</v>
      </c>
      <c r="F108" s="34"/>
    </row>
    <row r="109" spans="1:6">
      <c r="A109" s="31">
        <v>108</v>
      </c>
      <c r="B109" s="31" t="s">
        <v>275</v>
      </c>
      <c r="C109" s="31">
        <v>0.0385</v>
      </c>
      <c r="D109" s="35">
        <f t="shared" si="3"/>
        <v>0.034070796460177</v>
      </c>
      <c r="F109" s="34"/>
    </row>
    <row r="110" spans="1:6">
      <c r="A110" s="31">
        <v>109</v>
      </c>
      <c r="B110" s="31" t="s">
        <v>276</v>
      </c>
      <c r="C110" s="31">
        <v>0.0385</v>
      </c>
      <c r="D110" s="35">
        <f t="shared" si="3"/>
        <v>0.034070796460177</v>
      </c>
      <c r="F110" s="34"/>
    </row>
    <row r="111" spans="1:6">
      <c r="A111" s="31">
        <v>110</v>
      </c>
      <c r="B111" s="31" t="s">
        <v>277</v>
      </c>
      <c r="C111" s="31">
        <v>0.0385</v>
      </c>
      <c r="D111" s="35">
        <f t="shared" si="3"/>
        <v>0.034070796460177</v>
      </c>
      <c r="F111" s="34"/>
    </row>
    <row r="112" spans="1:6">
      <c r="A112" s="31">
        <v>111</v>
      </c>
      <c r="B112" s="31" t="s">
        <v>278</v>
      </c>
      <c r="C112" s="31">
        <v>0.0385</v>
      </c>
      <c r="D112" s="35">
        <f t="shared" si="3"/>
        <v>0.034070796460177</v>
      </c>
      <c r="F112" s="34"/>
    </row>
    <row r="113" spans="1:6">
      <c r="A113" s="31">
        <v>112</v>
      </c>
      <c r="B113" s="31" t="s">
        <v>279</v>
      </c>
      <c r="C113" s="31">
        <v>0.0395</v>
      </c>
      <c r="D113" s="35">
        <f t="shared" si="3"/>
        <v>0.0349557522123894</v>
      </c>
      <c r="F113" s="34"/>
    </row>
    <row r="114" spans="1:6">
      <c r="A114" s="31">
        <v>113</v>
      </c>
      <c r="B114" s="31" t="s">
        <v>280</v>
      </c>
      <c r="C114" s="31">
        <v>0.0385</v>
      </c>
      <c r="D114" s="35">
        <f t="shared" si="3"/>
        <v>0.034070796460177</v>
      </c>
      <c r="F114" s="34"/>
    </row>
    <row r="115" spans="1:6">
      <c r="A115" s="31">
        <v>114</v>
      </c>
      <c r="B115" s="31" t="s">
        <v>281</v>
      </c>
      <c r="C115" s="31">
        <v>0.0385</v>
      </c>
      <c r="D115" s="35">
        <f t="shared" si="3"/>
        <v>0.034070796460177</v>
      </c>
      <c r="F115" s="34"/>
    </row>
    <row r="116" spans="1:6">
      <c r="A116" s="31">
        <v>115</v>
      </c>
      <c r="B116" s="31" t="s">
        <v>282</v>
      </c>
      <c r="C116" s="31">
        <v>0.0385</v>
      </c>
      <c r="D116" s="35">
        <f t="shared" si="3"/>
        <v>0.034070796460177</v>
      </c>
      <c r="F116" s="34"/>
    </row>
    <row r="117" spans="1:6">
      <c r="A117" s="31">
        <v>116</v>
      </c>
      <c r="B117" s="31" t="s">
        <v>283</v>
      </c>
      <c r="C117" s="31">
        <v>0.0385</v>
      </c>
      <c r="D117" s="35">
        <f t="shared" si="3"/>
        <v>0.034070796460177</v>
      </c>
      <c r="F117" s="34"/>
    </row>
    <row r="118" spans="1:6">
      <c r="A118" s="31">
        <v>117</v>
      </c>
      <c r="B118" s="31" t="s">
        <v>284</v>
      </c>
      <c r="C118" s="31">
        <v>0.0385</v>
      </c>
      <c r="D118" s="35">
        <f t="shared" si="3"/>
        <v>0.034070796460177</v>
      </c>
      <c r="F118" s="34"/>
    </row>
    <row r="119" spans="1:6">
      <c r="A119" s="31">
        <v>118</v>
      </c>
      <c r="B119" s="31" t="s">
        <v>285</v>
      </c>
      <c r="C119" s="31">
        <v>0.0385</v>
      </c>
      <c r="D119" s="35">
        <f t="shared" si="3"/>
        <v>0.034070796460177</v>
      </c>
      <c r="F119" s="34"/>
    </row>
    <row r="120" spans="1:6">
      <c r="A120" s="31">
        <v>119</v>
      </c>
      <c r="B120" s="31" t="s">
        <v>286</v>
      </c>
      <c r="C120" s="31">
        <v>0.193</v>
      </c>
      <c r="D120" s="35">
        <f t="shared" si="3"/>
        <v>0.170796460176991</v>
      </c>
      <c r="F120" s="34"/>
    </row>
    <row r="121" spans="1:6">
      <c r="A121" s="31">
        <v>120</v>
      </c>
      <c r="B121" s="31" t="s">
        <v>287</v>
      </c>
      <c r="C121" s="31">
        <v>0.198</v>
      </c>
      <c r="D121" s="35">
        <f t="shared" si="3"/>
        <v>0.175221238938053</v>
      </c>
      <c r="F121" s="34"/>
    </row>
    <row r="122" spans="1:6">
      <c r="A122" s="31">
        <v>121</v>
      </c>
      <c r="B122" s="31" t="s">
        <v>288</v>
      </c>
      <c r="C122" s="31">
        <v>0.198</v>
      </c>
      <c r="D122" s="35">
        <f t="shared" si="3"/>
        <v>0.175221238938053</v>
      </c>
      <c r="F122" s="34"/>
    </row>
    <row r="123" spans="1:6">
      <c r="A123" s="31">
        <v>122</v>
      </c>
      <c r="B123" s="31" t="s">
        <v>289</v>
      </c>
      <c r="C123" s="31">
        <v>0.0964</v>
      </c>
      <c r="D123" s="35">
        <f t="shared" si="3"/>
        <v>0.0853097345132743</v>
      </c>
      <c r="F123" s="34"/>
    </row>
    <row r="124" spans="1:6">
      <c r="A124" s="31">
        <v>123</v>
      </c>
      <c r="B124" s="31" t="s">
        <v>290</v>
      </c>
      <c r="C124" s="31">
        <v>0.0964</v>
      </c>
      <c r="D124" s="35">
        <f t="shared" si="3"/>
        <v>0.0853097345132743</v>
      </c>
      <c r="F124" s="34"/>
    </row>
    <row r="125" spans="1:6">
      <c r="A125" s="31">
        <v>124</v>
      </c>
      <c r="B125" s="31" t="s">
        <v>291</v>
      </c>
      <c r="C125" s="31">
        <v>0.0385</v>
      </c>
      <c r="D125" s="35">
        <f t="shared" si="3"/>
        <v>0.034070796460177</v>
      </c>
      <c r="F125" s="34"/>
    </row>
    <row r="126" spans="1:6">
      <c r="A126" s="31">
        <v>125</v>
      </c>
      <c r="B126" s="31" t="s">
        <v>292</v>
      </c>
      <c r="C126" s="31">
        <v>0.0385</v>
      </c>
      <c r="D126" s="35">
        <f t="shared" si="3"/>
        <v>0.034070796460177</v>
      </c>
      <c r="F126" s="34"/>
    </row>
    <row r="127" spans="1:6">
      <c r="A127" s="31">
        <v>126</v>
      </c>
      <c r="B127" s="31" t="s">
        <v>293</v>
      </c>
      <c r="C127" s="31">
        <v>0.0385</v>
      </c>
      <c r="D127" s="35">
        <f t="shared" si="3"/>
        <v>0.034070796460177</v>
      </c>
      <c r="F127" s="34"/>
    </row>
    <row r="128" spans="1:6">
      <c r="A128" s="31">
        <v>127</v>
      </c>
      <c r="B128" s="31" t="s">
        <v>294</v>
      </c>
      <c r="C128" s="31">
        <v>0.0385</v>
      </c>
      <c r="D128" s="35">
        <f t="shared" si="3"/>
        <v>0.034070796460177</v>
      </c>
      <c r="F128" s="34"/>
    </row>
    <row r="129" spans="1:6">
      <c r="A129" s="31">
        <v>128</v>
      </c>
      <c r="B129" s="31" t="s">
        <v>295</v>
      </c>
      <c r="C129" s="31">
        <v>0.193</v>
      </c>
      <c r="D129" s="35">
        <f t="shared" si="3"/>
        <v>0.170796460176991</v>
      </c>
      <c r="F129" s="34"/>
    </row>
    <row r="130" spans="1:6">
      <c r="A130" s="31">
        <v>129</v>
      </c>
      <c r="B130" s="31" t="s">
        <v>296</v>
      </c>
      <c r="C130" s="31">
        <v>0.28</v>
      </c>
      <c r="D130" s="35">
        <f t="shared" si="3"/>
        <v>0.247787610619469</v>
      </c>
      <c r="F130" s="34"/>
    </row>
    <row r="131" spans="1:6">
      <c r="A131" s="31">
        <v>130</v>
      </c>
      <c r="B131" s="31" t="s">
        <v>297</v>
      </c>
      <c r="C131" s="31">
        <v>0.045</v>
      </c>
      <c r="D131" s="35">
        <f t="shared" si="3"/>
        <v>0.0398230088495575</v>
      </c>
      <c r="F131" s="34"/>
    </row>
    <row r="132" spans="1:6">
      <c r="A132" s="31">
        <v>131</v>
      </c>
      <c r="B132" s="31" t="s">
        <v>298</v>
      </c>
      <c r="C132" s="31">
        <v>0.065</v>
      </c>
      <c r="D132" s="35">
        <f t="shared" si="3"/>
        <v>0.0575221238938053</v>
      </c>
      <c r="F132" s="34"/>
    </row>
    <row r="133" spans="1:6">
      <c r="A133" s="31">
        <v>132</v>
      </c>
      <c r="B133" s="31" t="s">
        <v>299</v>
      </c>
      <c r="C133" s="31">
        <v>0.0487</v>
      </c>
      <c r="D133" s="35">
        <f t="shared" si="3"/>
        <v>0.0430973451327434</v>
      </c>
      <c r="F133" s="34"/>
    </row>
    <row r="134" spans="1:6">
      <c r="A134" s="31">
        <v>133</v>
      </c>
      <c r="B134" s="31" t="s">
        <v>300</v>
      </c>
      <c r="C134" s="31">
        <v>0.14</v>
      </c>
      <c r="D134" s="35">
        <f t="shared" si="3"/>
        <v>0.123893805309735</v>
      </c>
      <c r="F134" s="34"/>
    </row>
    <row r="135" spans="1:6">
      <c r="A135" s="31">
        <v>134</v>
      </c>
      <c r="B135" s="31" t="s">
        <v>301</v>
      </c>
      <c r="C135" s="31">
        <v>0.21</v>
      </c>
      <c r="D135" s="35">
        <f t="shared" si="3"/>
        <v>0.185840707964602</v>
      </c>
      <c r="E135" s="31" t="s">
        <v>302</v>
      </c>
      <c r="F135" s="34"/>
    </row>
    <row r="136" spans="1:6">
      <c r="A136" s="31">
        <v>135</v>
      </c>
      <c r="B136" s="31" t="s">
        <v>303</v>
      </c>
      <c r="C136" s="31">
        <v>0.1345</v>
      </c>
      <c r="D136" s="35">
        <f t="shared" si="3"/>
        <v>0.119026548672566</v>
      </c>
      <c r="E136" s="31" t="s">
        <v>304</v>
      </c>
      <c r="F136" s="34"/>
    </row>
    <row r="137" spans="1:6">
      <c r="A137" s="31">
        <v>136</v>
      </c>
      <c r="B137" s="31" t="s">
        <v>305</v>
      </c>
      <c r="C137" s="31">
        <v>0.165</v>
      </c>
      <c r="D137" s="35">
        <f t="shared" si="3"/>
        <v>0.146017699115044</v>
      </c>
      <c r="F137" s="34"/>
    </row>
    <row r="138" spans="1:6">
      <c r="A138" s="31">
        <v>137</v>
      </c>
      <c r="B138" s="31" t="s">
        <v>306</v>
      </c>
      <c r="C138" s="31">
        <v>0.11</v>
      </c>
      <c r="D138" s="35">
        <f t="shared" si="3"/>
        <v>0.0973451327433628</v>
      </c>
      <c r="F138" s="34"/>
    </row>
    <row r="139" spans="1:6">
      <c r="A139" s="31">
        <v>138</v>
      </c>
      <c r="B139" s="31" t="s">
        <v>307</v>
      </c>
      <c r="C139" s="31">
        <v>0.126</v>
      </c>
      <c r="D139" s="35">
        <f t="shared" si="3"/>
        <v>0.111504424778761</v>
      </c>
      <c r="F139" s="34"/>
    </row>
    <row r="140" spans="1:6">
      <c r="A140" s="31">
        <v>139</v>
      </c>
      <c r="B140" s="31" t="s">
        <v>308</v>
      </c>
      <c r="C140" s="31">
        <v>0.14</v>
      </c>
      <c r="D140" s="35">
        <f t="shared" si="3"/>
        <v>0.123893805309735</v>
      </c>
      <c r="F140" s="34"/>
    </row>
    <row r="141" spans="1:6">
      <c r="A141" s="31">
        <v>140</v>
      </c>
      <c r="B141" s="31" t="s">
        <v>309</v>
      </c>
      <c r="C141" s="31">
        <v>0.072</v>
      </c>
      <c r="D141" s="35">
        <f t="shared" si="3"/>
        <v>0.063716814159292</v>
      </c>
      <c r="F141" s="34"/>
    </row>
    <row r="142" spans="1:6">
      <c r="A142" s="31">
        <v>141</v>
      </c>
      <c r="B142" s="31" t="s">
        <v>310</v>
      </c>
      <c r="C142" s="31">
        <v>0.058</v>
      </c>
      <c r="D142" s="35">
        <f t="shared" si="3"/>
        <v>0.0513274336283186</v>
      </c>
      <c r="F142" s="34"/>
    </row>
    <row r="143" spans="1:6">
      <c r="A143" s="31">
        <v>142</v>
      </c>
      <c r="B143" s="31" t="s">
        <v>311</v>
      </c>
      <c r="C143" s="31">
        <v>0.28</v>
      </c>
      <c r="D143" s="35">
        <f t="shared" si="3"/>
        <v>0.247787610619469</v>
      </c>
      <c r="F143" s="34"/>
    </row>
    <row r="144" spans="1:6">
      <c r="A144" s="31">
        <v>143</v>
      </c>
      <c r="B144" s="31" t="s">
        <v>312</v>
      </c>
      <c r="C144" s="31">
        <v>0.28</v>
      </c>
      <c r="D144" s="35">
        <f t="shared" si="3"/>
        <v>0.247787610619469</v>
      </c>
      <c r="F144" s="34"/>
    </row>
    <row r="145" spans="1:6">
      <c r="A145" s="31">
        <v>144</v>
      </c>
      <c r="B145" s="31" t="s">
        <v>313</v>
      </c>
      <c r="C145" s="31">
        <v>0.135</v>
      </c>
      <c r="D145" s="35">
        <f t="shared" si="3"/>
        <v>0.119469026548673</v>
      </c>
      <c r="F145" s="34"/>
    </row>
    <row r="146" spans="1:6">
      <c r="A146" s="31">
        <v>145</v>
      </c>
      <c r="B146" s="31" t="s">
        <v>314</v>
      </c>
      <c r="C146" s="31">
        <v>0.048</v>
      </c>
      <c r="D146" s="35">
        <f t="shared" si="3"/>
        <v>0.0424778761061947</v>
      </c>
      <c r="F146" s="34"/>
    </row>
    <row r="147" spans="1:6">
      <c r="A147" s="31">
        <v>146</v>
      </c>
      <c r="B147" s="31" t="s">
        <v>315</v>
      </c>
      <c r="C147" s="31">
        <v>0.2</v>
      </c>
      <c r="D147" s="35">
        <f t="shared" si="3"/>
        <v>0.176991150442478</v>
      </c>
      <c r="F147" s="34"/>
    </row>
    <row r="148" spans="1:6">
      <c r="A148" s="31">
        <v>147</v>
      </c>
      <c r="B148" s="31" t="s">
        <v>316</v>
      </c>
      <c r="C148" s="31">
        <v>0.26</v>
      </c>
      <c r="D148" s="35">
        <f t="shared" si="3"/>
        <v>0.230088495575221</v>
      </c>
      <c r="F148" s="34"/>
    </row>
    <row r="149" spans="1:6">
      <c r="A149" s="31">
        <v>148</v>
      </c>
      <c r="B149" s="31" t="s">
        <v>317</v>
      </c>
      <c r="C149" s="31">
        <v>1.3</v>
      </c>
      <c r="D149" s="35">
        <f t="shared" si="3"/>
        <v>1.15044247787611</v>
      </c>
      <c r="F149" s="34"/>
    </row>
    <row r="150" spans="1:6">
      <c r="A150" s="31">
        <v>149</v>
      </c>
      <c r="B150" s="31" t="s">
        <v>318</v>
      </c>
      <c r="C150" s="31">
        <v>1.3</v>
      </c>
      <c r="D150" s="35">
        <f t="shared" si="3"/>
        <v>1.15044247787611</v>
      </c>
      <c r="F150" s="34"/>
    </row>
    <row r="151" spans="1:6">
      <c r="A151" s="31">
        <v>150</v>
      </c>
      <c r="B151" s="31" t="s">
        <v>319</v>
      </c>
      <c r="C151" s="31">
        <v>1.17</v>
      </c>
      <c r="D151" s="35">
        <f t="shared" si="3"/>
        <v>1.0353982300885</v>
      </c>
      <c r="F151" s="34"/>
    </row>
    <row r="152" spans="1:6">
      <c r="A152" s="31">
        <v>151</v>
      </c>
      <c r="B152" s="31" t="s">
        <v>320</v>
      </c>
      <c r="C152" s="31">
        <v>1.05</v>
      </c>
      <c r="D152" s="35">
        <f t="shared" si="3"/>
        <v>0.929203539823009</v>
      </c>
      <c r="F152" s="34"/>
    </row>
    <row r="153" spans="1:6">
      <c r="A153" s="31">
        <v>152</v>
      </c>
      <c r="B153" s="31" t="s">
        <v>321</v>
      </c>
      <c r="C153" s="31">
        <v>1.35</v>
      </c>
      <c r="D153" s="35">
        <f t="shared" si="3"/>
        <v>1.19469026548673</v>
      </c>
      <c r="F153" s="34"/>
    </row>
    <row r="154" spans="1:6">
      <c r="A154" s="31">
        <v>153</v>
      </c>
      <c r="B154" s="31" t="s">
        <v>322</v>
      </c>
      <c r="C154" s="31">
        <v>2.1</v>
      </c>
      <c r="D154" s="35">
        <f t="shared" si="3"/>
        <v>1.85840707964602</v>
      </c>
      <c r="F154" s="34"/>
    </row>
    <row r="155" spans="1:6">
      <c r="A155" s="31">
        <v>154</v>
      </c>
      <c r="B155" s="31" t="s">
        <v>323</v>
      </c>
      <c r="C155" s="31">
        <v>1.95</v>
      </c>
      <c r="D155" s="35">
        <f t="shared" si="3"/>
        <v>1.72566371681416</v>
      </c>
      <c r="F155" s="34"/>
    </row>
    <row r="156" spans="1:6">
      <c r="A156" s="31">
        <v>155</v>
      </c>
      <c r="B156" s="31" t="s">
        <v>324</v>
      </c>
      <c r="C156" s="31">
        <v>2</v>
      </c>
      <c r="D156" s="35">
        <f t="shared" si="3"/>
        <v>1.76991150442478</v>
      </c>
      <c r="F156" s="34"/>
    </row>
    <row r="157" spans="1:6">
      <c r="A157" s="31">
        <v>156</v>
      </c>
      <c r="B157" s="31" t="s">
        <v>325</v>
      </c>
      <c r="C157" s="31">
        <v>2</v>
      </c>
      <c r="D157" s="35">
        <f t="shared" si="3"/>
        <v>1.76991150442478</v>
      </c>
      <c r="F157" s="34"/>
    </row>
    <row r="158" spans="1:6">
      <c r="A158" s="31">
        <v>157</v>
      </c>
      <c r="B158" s="31" t="s">
        <v>326</v>
      </c>
      <c r="C158" s="31">
        <v>2.1</v>
      </c>
      <c r="D158" s="35">
        <f t="shared" si="3"/>
        <v>1.85840707964602</v>
      </c>
      <c r="F158" s="34"/>
    </row>
    <row r="159" spans="1:6">
      <c r="A159" s="31">
        <v>158</v>
      </c>
      <c r="B159" s="31" t="s">
        <v>327</v>
      </c>
      <c r="C159" s="31">
        <v>2</v>
      </c>
      <c r="D159" s="35">
        <f t="shared" si="3"/>
        <v>1.76991150442478</v>
      </c>
      <c r="F159" s="34"/>
    </row>
    <row r="160" spans="1:6">
      <c r="A160" s="31">
        <v>159</v>
      </c>
      <c r="B160" s="31" t="s">
        <v>328</v>
      </c>
      <c r="C160" s="31">
        <v>0.5</v>
      </c>
      <c r="D160" s="35">
        <f t="shared" si="3"/>
        <v>0.442477876106195</v>
      </c>
      <c r="F160" s="34"/>
    </row>
    <row r="161" spans="1:6">
      <c r="A161" s="31">
        <v>160</v>
      </c>
      <c r="B161" s="31" t="s">
        <v>329</v>
      </c>
      <c r="C161" s="31">
        <v>2</v>
      </c>
      <c r="D161" s="35">
        <f t="shared" si="3"/>
        <v>1.76991150442478</v>
      </c>
      <c r="F161" s="34"/>
    </row>
    <row r="162" spans="1:6">
      <c r="A162" s="31">
        <v>161</v>
      </c>
      <c r="B162" s="31" t="s">
        <v>330</v>
      </c>
      <c r="C162" s="31">
        <v>1.3</v>
      </c>
      <c r="D162" s="35">
        <f t="shared" si="3"/>
        <v>1.15044247787611</v>
      </c>
      <c r="F162" s="34"/>
    </row>
    <row r="163" spans="1:6">
      <c r="A163" s="31">
        <v>162</v>
      </c>
      <c r="B163" s="31" t="s">
        <v>331</v>
      </c>
      <c r="C163" s="31">
        <v>1.27</v>
      </c>
      <c r="D163" s="35">
        <f t="shared" si="3"/>
        <v>1.12389380530973</v>
      </c>
      <c r="F163" s="34"/>
    </row>
    <row r="164" spans="1:6">
      <c r="A164" s="31">
        <v>163</v>
      </c>
      <c r="B164" s="31" t="s">
        <v>324</v>
      </c>
      <c r="C164" s="31">
        <v>2</v>
      </c>
      <c r="D164" s="35">
        <f t="shared" si="3"/>
        <v>1.76991150442478</v>
      </c>
      <c r="F164" s="34"/>
    </row>
    <row r="165" spans="1:6">
      <c r="A165" s="31">
        <v>164</v>
      </c>
      <c r="B165" s="31" t="s">
        <v>332</v>
      </c>
      <c r="C165" s="31">
        <v>2.23</v>
      </c>
      <c r="D165" s="35">
        <f t="shared" si="3"/>
        <v>1.97345132743363</v>
      </c>
      <c r="F165" s="34"/>
    </row>
    <row r="166" spans="1:6">
      <c r="A166" s="31">
        <v>165</v>
      </c>
      <c r="B166" s="31" t="s">
        <v>333</v>
      </c>
      <c r="C166" s="31">
        <v>2.5</v>
      </c>
      <c r="D166" s="35">
        <f t="shared" ref="D166:D229" si="4">C166/1.13</f>
        <v>2.21238938053097</v>
      </c>
      <c r="F166" s="34"/>
    </row>
    <row r="167" spans="1:6">
      <c r="A167" s="31">
        <v>166</v>
      </c>
      <c r="B167" s="31" t="s">
        <v>334</v>
      </c>
      <c r="C167" s="31">
        <v>3</v>
      </c>
      <c r="D167" s="35">
        <f t="shared" si="4"/>
        <v>2.65486725663717</v>
      </c>
      <c r="F167" s="34"/>
    </row>
    <row r="168" spans="1:6">
      <c r="A168" s="31">
        <v>167</v>
      </c>
      <c r="B168" s="31" t="s">
        <v>335</v>
      </c>
      <c r="C168" s="31">
        <v>3.17</v>
      </c>
      <c r="D168" s="35">
        <f t="shared" si="4"/>
        <v>2.80530973451327</v>
      </c>
      <c r="F168" s="34"/>
    </row>
    <row r="169" spans="1:6">
      <c r="A169" s="31">
        <v>168</v>
      </c>
      <c r="B169" s="31" t="s">
        <v>336</v>
      </c>
      <c r="C169" s="31">
        <v>2.8</v>
      </c>
      <c r="D169" s="35">
        <f t="shared" si="4"/>
        <v>2.47787610619469</v>
      </c>
      <c r="F169" s="34"/>
    </row>
    <row r="170" spans="1:6">
      <c r="A170" s="31">
        <v>169</v>
      </c>
      <c r="B170" s="31" t="s">
        <v>337</v>
      </c>
      <c r="C170" s="31">
        <v>1.5</v>
      </c>
      <c r="D170" s="35">
        <f t="shared" si="4"/>
        <v>1.32743362831858</v>
      </c>
      <c r="F170" s="34"/>
    </row>
    <row r="171" spans="1:6">
      <c r="A171" s="31">
        <v>170</v>
      </c>
      <c r="B171" s="31" t="s">
        <v>338</v>
      </c>
      <c r="C171" s="31">
        <v>2</v>
      </c>
      <c r="D171" s="35">
        <f t="shared" si="4"/>
        <v>1.76991150442478</v>
      </c>
      <c r="F171" s="34"/>
    </row>
    <row r="172" spans="1:6">
      <c r="A172" s="31">
        <v>171</v>
      </c>
      <c r="B172" s="31" t="s">
        <v>339</v>
      </c>
      <c r="C172" s="31">
        <v>13</v>
      </c>
      <c r="D172" s="35">
        <f t="shared" si="4"/>
        <v>11.5044247787611</v>
      </c>
      <c r="F172" s="34"/>
    </row>
    <row r="173" spans="1:6">
      <c r="A173" s="31">
        <v>172</v>
      </c>
      <c r="B173" s="31" t="s">
        <v>340</v>
      </c>
      <c r="C173" s="31">
        <v>14.5</v>
      </c>
      <c r="D173" s="35">
        <f t="shared" si="4"/>
        <v>12.8318584070796</v>
      </c>
      <c r="F173" s="34"/>
    </row>
    <row r="174" spans="1:6">
      <c r="A174" s="31">
        <v>173</v>
      </c>
      <c r="B174" s="31" t="s">
        <v>341</v>
      </c>
      <c r="C174" s="31">
        <v>10.5</v>
      </c>
      <c r="D174" s="35">
        <f t="shared" si="4"/>
        <v>9.29203539823009</v>
      </c>
      <c r="F174" s="34"/>
    </row>
    <row r="175" spans="1:6">
      <c r="A175" s="31">
        <v>174</v>
      </c>
      <c r="B175" s="31" t="s">
        <v>342</v>
      </c>
      <c r="C175" s="31">
        <v>24</v>
      </c>
      <c r="D175" s="35">
        <f t="shared" si="4"/>
        <v>21.2389380530973</v>
      </c>
      <c r="F175" s="34"/>
    </row>
    <row r="176" spans="1:6">
      <c r="A176" s="31">
        <v>175</v>
      </c>
      <c r="B176" s="31" t="s">
        <v>343</v>
      </c>
      <c r="C176" s="31">
        <v>55</v>
      </c>
      <c r="D176" s="35">
        <f t="shared" si="4"/>
        <v>48.6725663716814</v>
      </c>
      <c r="E176" s="31" t="s">
        <v>344</v>
      </c>
      <c r="F176" s="34"/>
    </row>
    <row r="177" spans="1:6">
      <c r="A177" s="31">
        <v>176</v>
      </c>
      <c r="B177" s="31" t="s">
        <v>345</v>
      </c>
      <c r="C177" s="31">
        <v>55</v>
      </c>
      <c r="D177" s="35">
        <f t="shared" si="4"/>
        <v>48.6725663716814</v>
      </c>
      <c r="F177" s="34" t="s">
        <v>346</v>
      </c>
    </row>
    <row r="178" spans="1:6">
      <c r="A178" s="31">
        <v>177</v>
      </c>
      <c r="B178" s="31" t="s">
        <v>347</v>
      </c>
      <c r="C178" s="31">
        <v>77</v>
      </c>
      <c r="D178" s="35">
        <f t="shared" si="4"/>
        <v>68.141592920354</v>
      </c>
      <c r="F178" s="34" t="s">
        <v>346</v>
      </c>
    </row>
    <row r="179" spans="1:6">
      <c r="A179" s="31">
        <v>178</v>
      </c>
      <c r="B179" s="31" t="s">
        <v>348</v>
      </c>
      <c r="C179" s="31">
        <v>75</v>
      </c>
      <c r="D179" s="35">
        <f t="shared" si="4"/>
        <v>66.3716814159292</v>
      </c>
      <c r="F179" s="34"/>
    </row>
    <row r="180" spans="1:6">
      <c r="A180" s="31">
        <v>179</v>
      </c>
      <c r="B180" s="31" t="s">
        <v>349</v>
      </c>
      <c r="C180" s="31">
        <v>82</v>
      </c>
      <c r="D180" s="35">
        <f t="shared" si="4"/>
        <v>72.5663716814159</v>
      </c>
      <c r="F180" s="34"/>
    </row>
    <row r="181" spans="1:6">
      <c r="A181" s="31">
        <v>180</v>
      </c>
      <c r="B181" s="31" t="s">
        <v>350</v>
      </c>
      <c r="C181" s="31">
        <v>82</v>
      </c>
      <c r="D181" s="35">
        <f t="shared" si="4"/>
        <v>72.5663716814159</v>
      </c>
      <c r="F181" s="34"/>
    </row>
    <row r="182" spans="1:6">
      <c r="A182" s="31">
        <v>181</v>
      </c>
      <c r="B182" s="31" t="s">
        <v>351</v>
      </c>
      <c r="C182" s="31">
        <v>16</v>
      </c>
      <c r="D182" s="35">
        <f t="shared" si="4"/>
        <v>14.1592920353982</v>
      </c>
      <c r="F182" s="34"/>
    </row>
    <row r="183" spans="1:7">
      <c r="A183" s="31">
        <v>182</v>
      </c>
      <c r="B183" s="31" t="s">
        <v>352</v>
      </c>
      <c r="C183" s="31">
        <v>24.35</v>
      </c>
      <c r="D183" s="35">
        <f t="shared" si="4"/>
        <v>21.5486725663717</v>
      </c>
      <c r="F183" s="34"/>
      <c r="G183" s="37"/>
    </row>
    <row r="184" spans="1:6">
      <c r="A184" s="31">
        <v>183</v>
      </c>
      <c r="B184" s="31" t="s">
        <v>353</v>
      </c>
      <c r="C184" s="31">
        <v>0.26</v>
      </c>
      <c r="D184" s="35">
        <f t="shared" si="4"/>
        <v>0.230088495575221</v>
      </c>
      <c r="F184" s="34"/>
    </row>
    <row r="185" spans="1:6">
      <c r="A185" s="31">
        <v>184</v>
      </c>
      <c r="B185" s="31" t="s">
        <v>354</v>
      </c>
      <c r="C185" s="31">
        <v>0.26</v>
      </c>
      <c r="D185" s="35">
        <f t="shared" si="4"/>
        <v>0.230088495575221</v>
      </c>
      <c r="F185" s="34"/>
    </row>
    <row r="186" spans="1:6">
      <c r="A186" s="31">
        <v>185</v>
      </c>
      <c r="B186" s="31" t="s">
        <v>355</v>
      </c>
      <c r="C186" s="31">
        <v>0.03</v>
      </c>
      <c r="D186" s="35">
        <f t="shared" si="4"/>
        <v>0.0265486725663717</v>
      </c>
      <c r="F186" s="34" t="s">
        <v>356</v>
      </c>
    </row>
    <row r="187" spans="1:6">
      <c r="A187" s="31">
        <v>186</v>
      </c>
      <c r="B187" s="31" t="s">
        <v>357</v>
      </c>
      <c r="C187" s="31">
        <v>2.26</v>
      </c>
      <c r="D187" s="35">
        <f t="shared" si="4"/>
        <v>2</v>
      </c>
      <c r="F187" s="34" t="s">
        <v>356</v>
      </c>
    </row>
    <row r="188" spans="1:6">
      <c r="A188" s="31">
        <v>187</v>
      </c>
      <c r="B188" s="31" t="s">
        <v>358</v>
      </c>
      <c r="C188" s="31">
        <v>2.7346</v>
      </c>
      <c r="D188" s="35">
        <f t="shared" si="4"/>
        <v>2.42</v>
      </c>
      <c r="F188" s="34"/>
    </row>
    <row r="189" spans="1:6">
      <c r="A189" s="31">
        <v>188</v>
      </c>
      <c r="B189" s="31" t="s">
        <v>359</v>
      </c>
      <c r="C189" s="31">
        <v>0.565</v>
      </c>
      <c r="D189" s="35">
        <f t="shared" si="4"/>
        <v>0.5</v>
      </c>
      <c r="F189" s="34"/>
    </row>
    <row r="190" spans="1:6">
      <c r="A190" s="31">
        <v>189</v>
      </c>
      <c r="B190" s="31" t="s">
        <v>360</v>
      </c>
      <c r="C190" s="31">
        <v>0.27</v>
      </c>
      <c r="D190" s="35">
        <f t="shared" si="4"/>
        <v>0.238938053097345</v>
      </c>
      <c r="F190" s="34"/>
    </row>
    <row r="191" spans="1:6">
      <c r="A191" s="31">
        <v>190</v>
      </c>
      <c r="B191" s="31" t="s">
        <v>361</v>
      </c>
      <c r="C191" s="31">
        <v>0.47</v>
      </c>
      <c r="D191" s="35">
        <f t="shared" si="4"/>
        <v>0.415929203539823</v>
      </c>
      <c r="F191" s="34"/>
    </row>
    <row r="192" spans="1:6">
      <c r="A192" s="31">
        <v>191</v>
      </c>
      <c r="B192" s="31" t="s">
        <v>362</v>
      </c>
      <c r="C192" s="31">
        <v>0.34</v>
      </c>
      <c r="D192" s="35">
        <f t="shared" si="4"/>
        <v>0.300884955752212</v>
      </c>
      <c r="F192" s="34"/>
    </row>
    <row r="193" spans="1:6">
      <c r="A193" s="31">
        <v>192</v>
      </c>
      <c r="B193" s="31" t="s">
        <v>363</v>
      </c>
      <c r="C193" s="31">
        <v>0.2</v>
      </c>
      <c r="D193" s="35">
        <f t="shared" si="4"/>
        <v>0.176991150442478</v>
      </c>
      <c r="F193" s="34"/>
    </row>
    <row r="194" spans="1:6">
      <c r="A194" s="31">
        <v>193</v>
      </c>
      <c r="B194" s="31" t="s">
        <v>364</v>
      </c>
      <c r="C194" s="31">
        <v>0.29</v>
      </c>
      <c r="D194" s="35">
        <f t="shared" si="4"/>
        <v>0.256637168141593</v>
      </c>
      <c r="F194" s="34"/>
    </row>
    <row r="195" spans="1:6">
      <c r="A195" s="31">
        <v>194</v>
      </c>
      <c r="B195" s="31" t="s">
        <v>365</v>
      </c>
      <c r="C195" s="31">
        <v>0.23</v>
      </c>
      <c r="D195" s="35">
        <f t="shared" si="4"/>
        <v>0.20353982300885</v>
      </c>
      <c r="F195" s="34" t="s">
        <v>366</v>
      </c>
    </row>
    <row r="196" spans="1:6">
      <c r="A196" s="31">
        <v>195</v>
      </c>
      <c r="B196" s="31" t="s">
        <v>367</v>
      </c>
      <c r="C196" s="31">
        <v>0.14</v>
      </c>
      <c r="D196" s="35">
        <f t="shared" si="4"/>
        <v>0.123893805309735</v>
      </c>
      <c r="F196" s="34"/>
    </row>
    <row r="197" spans="1:6">
      <c r="A197" s="31">
        <v>196</v>
      </c>
      <c r="B197" s="31" t="s">
        <v>368</v>
      </c>
      <c r="C197" s="31">
        <v>0.085</v>
      </c>
      <c r="D197" s="35">
        <f t="shared" si="4"/>
        <v>0.0752212389380531</v>
      </c>
      <c r="E197" s="31" t="s">
        <v>369</v>
      </c>
      <c r="F197" s="34"/>
    </row>
    <row r="198" spans="1:6">
      <c r="A198" s="31">
        <v>197</v>
      </c>
      <c r="B198" s="31" t="s">
        <v>370</v>
      </c>
      <c r="C198" s="31">
        <v>0.15</v>
      </c>
      <c r="D198" s="35">
        <f t="shared" si="4"/>
        <v>0.132743362831858</v>
      </c>
      <c r="F198" s="34"/>
    </row>
    <row r="199" spans="1:6">
      <c r="A199" s="31">
        <v>198</v>
      </c>
      <c r="B199" s="31" t="s">
        <v>371</v>
      </c>
      <c r="C199" s="31">
        <v>0.16</v>
      </c>
      <c r="D199" s="35">
        <f t="shared" si="4"/>
        <v>0.141592920353982</v>
      </c>
      <c r="E199" s="31" t="s">
        <v>372</v>
      </c>
      <c r="F199" s="34"/>
    </row>
    <row r="200" spans="1:6">
      <c r="A200" s="31">
        <v>199</v>
      </c>
      <c r="B200" s="31" t="s">
        <v>373</v>
      </c>
      <c r="C200" s="31">
        <v>0.06</v>
      </c>
      <c r="D200" s="35">
        <f t="shared" si="4"/>
        <v>0.0530973451327434</v>
      </c>
      <c r="F200" s="34" t="s">
        <v>374</v>
      </c>
    </row>
    <row r="201" spans="1:6">
      <c r="A201" s="31">
        <v>200</v>
      </c>
      <c r="B201" s="31" t="s">
        <v>375</v>
      </c>
      <c r="C201" s="31">
        <v>0.16</v>
      </c>
      <c r="D201" s="35">
        <f t="shared" si="4"/>
        <v>0.141592920353982</v>
      </c>
      <c r="E201" s="31" t="s">
        <v>372</v>
      </c>
      <c r="F201" s="34"/>
    </row>
    <row r="202" spans="1:6">
      <c r="A202" s="31">
        <v>201</v>
      </c>
      <c r="B202" s="31" t="s">
        <v>376</v>
      </c>
      <c r="C202" s="31">
        <v>0.78</v>
      </c>
      <c r="D202" s="35">
        <f t="shared" si="4"/>
        <v>0.690265486725664</v>
      </c>
      <c r="F202" s="34"/>
    </row>
    <row r="203" spans="1:6">
      <c r="A203" s="31">
        <v>202</v>
      </c>
      <c r="B203" s="31" t="s">
        <v>377</v>
      </c>
      <c r="C203" s="31">
        <v>0.35</v>
      </c>
      <c r="D203" s="35">
        <f t="shared" si="4"/>
        <v>0.309734513274336</v>
      </c>
      <c r="F203" s="34"/>
    </row>
    <row r="204" spans="1:6">
      <c r="A204" s="31">
        <v>203</v>
      </c>
      <c r="B204" s="31" t="s">
        <v>378</v>
      </c>
      <c r="C204" s="31">
        <v>0.35</v>
      </c>
      <c r="D204" s="35">
        <f t="shared" si="4"/>
        <v>0.309734513274336</v>
      </c>
      <c r="F204" s="34"/>
    </row>
    <row r="205" spans="1:6">
      <c r="A205" s="31">
        <v>204</v>
      </c>
      <c r="B205" s="31" t="s">
        <v>379</v>
      </c>
      <c r="C205" s="31">
        <v>0.7</v>
      </c>
      <c r="D205" s="35">
        <f t="shared" si="4"/>
        <v>0.619469026548673</v>
      </c>
      <c r="F205" s="34"/>
    </row>
    <row r="206" spans="1:6">
      <c r="A206" s="31">
        <v>205</v>
      </c>
      <c r="B206" s="31" t="s">
        <v>380</v>
      </c>
      <c r="C206" s="31">
        <v>0.02</v>
      </c>
      <c r="D206" s="35">
        <f t="shared" si="4"/>
        <v>0.0176991150442478</v>
      </c>
      <c r="F206" s="34"/>
    </row>
    <row r="207" spans="1:6">
      <c r="A207" s="31">
        <v>206</v>
      </c>
      <c r="B207" s="31" t="s">
        <v>381</v>
      </c>
      <c r="C207" s="31">
        <v>0.015</v>
      </c>
      <c r="D207" s="35">
        <f t="shared" si="4"/>
        <v>0.0132743362831858</v>
      </c>
      <c r="F207" s="34"/>
    </row>
    <row r="208" spans="1:6">
      <c r="A208" s="31">
        <v>207</v>
      </c>
      <c r="B208" s="31" t="s">
        <v>382</v>
      </c>
      <c r="C208" s="31">
        <v>0.4</v>
      </c>
      <c r="D208" s="35">
        <f t="shared" si="4"/>
        <v>0.353982300884956</v>
      </c>
      <c r="F208" s="34"/>
    </row>
    <row r="209" spans="1:6">
      <c r="A209" s="31">
        <v>208</v>
      </c>
      <c r="B209" s="31" t="s">
        <v>365</v>
      </c>
      <c r="C209" s="31">
        <v>0.4034</v>
      </c>
      <c r="D209" s="35">
        <f t="shared" si="4"/>
        <v>0.356991150442478</v>
      </c>
      <c r="F209" s="34"/>
    </row>
    <row r="210" spans="1:6">
      <c r="A210" s="31">
        <v>209</v>
      </c>
      <c r="B210" s="31" t="s">
        <v>383</v>
      </c>
      <c r="C210" s="31">
        <v>0.43</v>
      </c>
      <c r="D210" s="35">
        <f t="shared" si="4"/>
        <v>0.380530973451327</v>
      </c>
      <c r="F210" s="34"/>
    </row>
    <row r="211" spans="1:6">
      <c r="A211" s="31">
        <v>210</v>
      </c>
      <c r="B211" s="31" t="s">
        <v>384</v>
      </c>
      <c r="C211" s="31">
        <v>0.195</v>
      </c>
      <c r="D211" s="35">
        <f t="shared" si="4"/>
        <v>0.172566371681416</v>
      </c>
      <c r="F211" s="34"/>
    </row>
    <row r="212" spans="1:6">
      <c r="A212" s="31">
        <v>211</v>
      </c>
      <c r="B212" s="31" t="s">
        <v>385</v>
      </c>
      <c r="C212" s="31">
        <v>0.195</v>
      </c>
      <c r="D212" s="35">
        <f t="shared" si="4"/>
        <v>0.172566371681416</v>
      </c>
      <c r="F212" s="34"/>
    </row>
    <row r="213" spans="1:6">
      <c r="A213" s="31">
        <v>212</v>
      </c>
      <c r="B213" s="31" t="s">
        <v>386</v>
      </c>
      <c r="C213" s="31">
        <v>0.075</v>
      </c>
      <c r="D213" s="35">
        <f t="shared" si="4"/>
        <v>0.0663716814159292</v>
      </c>
      <c r="F213" s="34"/>
    </row>
    <row r="214" spans="1:6">
      <c r="A214" s="31">
        <v>213</v>
      </c>
      <c r="B214" s="31" t="s">
        <v>387</v>
      </c>
      <c r="C214" s="31">
        <v>0.075</v>
      </c>
      <c r="D214" s="35">
        <f t="shared" si="4"/>
        <v>0.0663716814159292</v>
      </c>
      <c r="F214" s="34"/>
    </row>
    <row r="215" spans="1:6">
      <c r="A215" s="31">
        <v>214</v>
      </c>
      <c r="B215" s="31" t="s">
        <v>388</v>
      </c>
      <c r="C215" s="31">
        <v>0.012</v>
      </c>
      <c r="D215" s="35">
        <f t="shared" si="4"/>
        <v>0.0106194690265487</v>
      </c>
      <c r="F215" s="34"/>
    </row>
    <row r="216" spans="1:6">
      <c r="A216" s="31">
        <v>215</v>
      </c>
      <c r="B216" s="31" t="s">
        <v>389</v>
      </c>
      <c r="C216" s="31">
        <v>0.435</v>
      </c>
      <c r="D216" s="35">
        <f t="shared" si="4"/>
        <v>0.384955752212389</v>
      </c>
      <c r="F216" s="34"/>
    </row>
    <row r="217" spans="1:6">
      <c r="A217" s="31">
        <v>216</v>
      </c>
      <c r="B217" s="31" t="s">
        <v>390</v>
      </c>
      <c r="C217" s="31">
        <v>2.4973</v>
      </c>
      <c r="D217" s="35">
        <f t="shared" si="4"/>
        <v>2.21</v>
      </c>
      <c r="F217" s="34"/>
    </row>
    <row r="218" spans="1:6">
      <c r="A218" s="31">
        <v>217</v>
      </c>
      <c r="B218" s="31" t="s">
        <v>391</v>
      </c>
      <c r="C218" s="31">
        <v>0.4</v>
      </c>
      <c r="D218" s="35">
        <f t="shared" si="4"/>
        <v>0.353982300884956</v>
      </c>
      <c r="F218" s="34"/>
    </row>
    <row r="219" spans="1:6">
      <c r="A219" s="31">
        <v>218</v>
      </c>
      <c r="B219" s="31" t="s">
        <v>392</v>
      </c>
      <c r="C219" s="31">
        <v>0.11</v>
      </c>
      <c r="D219" s="35">
        <f t="shared" si="4"/>
        <v>0.0973451327433628</v>
      </c>
      <c r="F219" s="34"/>
    </row>
    <row r="220" spans="1:6">
      <c r="A220" s="31">
        <v>219</v>
      </c>
      <c r="B220" s="31" t="s">
        <v>393</v>
      </c>
      <c r="C220" s="31">
        <v>0.69</v>
      </c>
      <c r="D220" s="35">
        <f t="shared" si="4"/>
        <v>0.610619469026549</v>
      </c>
      <c r="F220" s="34"/>
    </row>
    <row r="221" spans="1:6">
      <c r="A221" s="31">
        <v>220</v>
      </c>
      <c r="B221" s="31" t="s">
        <v>394</v>
      </c>
      <c r="C221" s="31">
        <v>1.89</v>
      </c>
      <c r="D221" s="35">
        <f t="shared" si="4"/>
        <v>1.67256637168142</v>
      </c>
      <c r="F221" s="34"/>
    </row>
    <row r="222" spans="1:6">
      <c r="A222" s="31">
        <v>221</v>
      </c>
      <c r="B222" s="31" t="s">
        <v>395</v>
      </c>
      <c r="C222" s="31">
        <v>0.107</v>
      </c>
      <c r="D222" s="35">
        <f t="shared" si="4"/>
        <v>0.0946902654867257</v>
      </c>
      <c r="F222" s="34"/>
    </row>
    <row r="223" spans="1:6">
      <c r="A223" s="31">
        <v>222</v>
      </c>
      <c r="B223" s="31" t="s">
        <v>396</v>
      </c>
      <c r="C223" s="31">
        <v>0.26</v>
      </c>
      <c r="D223" s="35">
        <f t="shared" si="4"/>
        <v>0.230088495575221</v>
      </c>
      <c r="F223" s="34"/>
    </row>
    <row r="224" spans="1:6">
      <c r="A224" s="31">
        <v>223</v>
      </c>
      <c r="B224" s="31" t="s">
        <v>397</v>
      </c>
      <c r="C224" s="31">
        <v>0.129</v>
      </c>
      <c r="D224" s="35">
        <f t="shared" si="4"/>
        <v>0.114159292035398</v>
      </c>
      <c r="F224" s="34"/>
    </row>
    <row r="225" spans="1:6">
      <c r="A225" s="31">
        <v>224</v>
      </c>
      <c r="B225" s="31" t="s">
        <v>398</v>
      </c>
      <c r="C225" s="31">
        <v>0.175</v>
      </c>
      <c r="D225" s="35">
        <f t="shared" si="4"/>
        <v>0.154867256637168</v>
      </c>
      <c r="F225" s="34"/>
    </row>
    <row r="226" spans="1:6">
      <c r="A226" s="31">
        <v>225</v>
      </c>
      <c r="B226" s="31" t="s">
        <v>399</v>
      </c>
      <c r="C226" s="31">
        <v>0.08</v>
      </c>
      <c r="D226" s="35">
        <f t="shared" si="4"/>
        <v>0.0707964601769912</v>
      </c>
      <c r="F226" s="34"/>
    </row>
    <row r="227" spans="1:6">
      <c r="A227" s="31">
        <v>226</v>
      </c>
      <c r="B227" s="31" t="s">
        <v>400</v>
      </c>
      <c r="C227" s="31">
        <v>0.26</v>
      </c>
      <c r="D227" s="35">
        <f t="shared" si="4"/>
        <v>0.230088495575221</v>
      </c>
      <c r="F227" s="34"/>
    </row>
    <row r="228" spans="1:6">
      <c r="A228" s="31">
        <v>227</v>
      </c>
      <c r="B228" s="31" t="s">
        <v>401</v>
      </c>
      <c r="C228" s="31">
        <v>0.116</v>
      </c>
      <c r="D228" s="35">
        <f t="shared" si="4"/>
        <v>0.102654867256637</v>
      </c>
      <c r="F228" s="34"/>
    </row>
    <row r="229" spans="1:6">
      <c r="A229" s="31">
        <v>228</v>
      </c>
      <c r="B229" s="31" t="s">
        <v>402</v>
      </c>
      <c r="C229" s="31">
        <v>0.11</v>
      </c>
      <c r="D229" s="35">
        <f t="shared" si="4"/>
        <v>0.0973451327433628</v>
      </c>
      <c r="F229" s="34"/>
    </row>
    <row r="230" spans="1:6">
      <c r="A230" s="31">
        <v>229</v>
      </c>
      <c r="B230" s="31" t="s">
        <v>403</v>
      </c>
      <c r="C230" s="31">
        <v>0.118</v>
      </c>
      <c r="D230" s="35">
        <f t="shared" ref="D230:D293" si="5">C230/1.13</f>
        <v>0.104424778761062</v>
      </c>
      <c r="F230" s="34"/>
    </row>
    <row r="231" spans="1:6">
      <c r="A231" s="31">
        <v>230</v>
      </c>
      <c r="B231" s="31" t="s">
        <v>404</v>
      </c>
      <c r="C231" s="31">
        <v>0.113</v>
      </c>
      <c r="D231" s="35">
        <f t="shared" si="5"/>
        <v>0.1</v>
      </c>
      <c r="F231" s="34"/>
    </row>
    <row r="232" spans="1:6">
      <c r="A232" s="31">
        <v>231</v>
      </c>
      <c r="B232" s="31" t="s">
        <v>405</v>
      </c>
      <c r="C232" s="31">
        <v>0.2</v>
      </c>
      <c r="D232" s="35">
        <f t="shared" si="5"/>
        <v>0.176991150442478</v>
      </c>
      <c r="F232" s="34"/>
    </row>
    <row r="233" spans="1:6">
      <c r="A233" s="31">
        <v>232</v>
      </c>
      <c r="B233" s="31" t="s">
        <v>406</v>
      </c>
      <c r="C233" s="31">
        <v>0.16</v>
      </c>
      <c r="D233" s="35">
        <f t="shared" si="5"/>
        <v>0.141592920353982</v>
      </c>
      <c r="F233" s="34"/>
    </row>
    <row r="234" spans="1:6">
      <c r="A234" s="31">
        <v>233</v>
      </c>
      <c r="B234" s="31" t="s">
        <v>407</v>
      </c>
      <c r="C234" s="31">
        <v>0.17</v>
      </c>
      <c r="D234" s="35">
        <f t="shared" si="5"/>
        <v>0.150442477876106</v>
      </c>
      <c r="F234" s="34"/>
    </row>
    <row r="235" spans="1:6">
      <c r="A235" s="31">
        <v>234</v>
      </c>
      <c r="B235" s="31" t="s">
        <v>408</v>
      </c>
      <c r="C235" s="31">
        <v>0.205</v>
      </c>
      <c r="D235" s="35">
        <f t="shared" si="5"/>
        <v>0.18141592920354</v>
      </c>
      <c r="F235" s="34"/>
    </row>
    <row r="236" spans="1:6">
      <c r="A236" s="31">
        <v>235</v>
      </c>
      <c r="B236" s="31" t="s">
        <v>409</v>
      </c>
      <c r="C236" s="31">
        <v>0.2</v>
      </c>
      <c r="D236" s="35">
        <f t="shared" si="5"/>
        <v>0.176991150442478</v>
      </c>
      <c r="F236" s="34"/>
    </row>
    <row r="237" spans="1:7">
      <c r="A237" s="31">
        <v>236</v>
      </c>
      <c r="B237" s="31" t="s">
        <v>410</v>
      </c>
      <c r="C237" s="31">
        <v>0.205</v>
      </c>
      <c r="D237" s="35">
        <f t="shared" si="5"/>
        <v>0.18141592920354</v>
      </c>
      <c r="F237" s="34"/>
      <c r="G237" s="38">
        <f>170/1.13</f>
        <v>150.442477876106</v>
      </c>
    </row>
    <row r="238" spans="1:6">
      <c r="A238" s="31">
        <v>237</v>
      </c>
      <c r="B238" s="31" t="s">
        <v>411</v>
      </c>
      <c r="C238" s="31">
        <v>0.26</v>
      </c>
      <c r="D238" s="35">
        <f t="shared" si="5"/>
        <v>0.230088495575221</v>
      </c>
      <c r="F238" s="34"/>
    </row>
    <row r="239" spans="1:6">
      <c r="A239" s="31">
        <v>238</v>
      </c>
      <c r="B239" s="31" t="s">
        <v>412</v>
      </c>
      <c r="C239" s="31">
        <v>0.1948</v>
      </c>
      <c r="D239" s="35">
        <f t="shared" si="5"/>
        <v>0.172389380530973</v>
      </c>
      <c r="F239" s="34"/>
    </row>
    <row r="240" spans="1:6">
      <c r="A240" s="31">
        <v>239</v>
      </c>
      <c r="B240" s="31" t="s">
        <v>413</v>
      </c>
      <c r="C240" s="31">
        <v>0.409</v>
      </c>
      <c r="D240" s="35">
        <f t="shared" si="5"/>
        <v>0.361946902654867</v>
      </c>
      <c r="F240" s="34"/>
    </row>
    <row r="241" spans="1:6">
      <c r="A241" s="31">
        <v>240</v>
      </c>
      <c r="B241" s="31" t="s">
        <v>414</v>
      </c>
      <c r="C241" s="31">
        <v>0.3</v>
      </c>
      <c r="D241" s="35">
        <f t="shared" si="5"/>
        <v>0.265486725663717</v>
      </c>
      <c r="F241" s="34"/>
    </row>
    <row r="242" spans="1:6">
      <c r="A242" s="31">
        <v>241</v>
      </c>
      <c r="B242" s="31" t="s">
        <v>415</v>
      </c>
      <c r="C242" s="31">
        <v>0.4</v>
      </c>
      <c r="D242" s="35">
        <f t="shared" si="5"/>
        <v>0.353982300884956</v>
      </c>
      <c r="F242" s="34"/>
    </row>
    <row r="243" spans="1:6">
      <c r="A243" s="31">
        <v>242</v>
      </c>
      <c r="B243" s="31" t="s">
        <v>416</v>
      </c>
      <c r="C243" s="31">
        <v>0.11</v>
      </c>
      <c r="D243" s="35">
        <f t="shared" si="5"/>
        <v>0.0973451327433628</v>
      </c>
      <c r="F243" s="34"/>
    </row>
    <row r="244" spans="1:6">
      <c r="A244" s="31">
        <v>243</v>
      </c>
      <c r="B244" s="31" t="s">
        <v>417</v>
      </c>
      <c r="C244" s="31">
        <v>0.113</v>
      </c>
      <c r="D244" s="35">
        <f t="shared" si="5"/>
        <v>0.1</v>
      </c>
      <c r="F244" s="34"/>
    </row>
    <row r="245" spans="1:6">
      <c r="A245" s="31">
        <v>244</v>
      </c>
      <c r="B245" s="31" t="s">
        <v>418</v>
      </c>
      <c r="C245" s="31">
        <v>0.113</v>
      </c>
      <c r="D245" s="35">
        <f t="shared" si="5"/>
        <v>0.1</v>
      </c>
      <c r="F245" s="34"/>
    </row>
    <row r="246" spans="1:6">
      <c r="A246" s="31">
        <v>245</v>
      </c>
      <c r="B246" s="31" t="s">
        <v>419</v>
      </c>
      <c r="C246" s="31">
        <v>0.195</v>
      </c>
      <c r="D246" s="35">
        <f t="shared" si="5"/>
        <v>0.172566371681416</v>
      </c>
      <c r="F246" s="34"/>
    </row>
    <row r="247" spans="1:6">
      <c r="A247" s="31">
        <v>246</v>
      </c>
      <c r="B247" s="31" t="s">
        <v>420</v>
      </c>
      <c r="C247" s="31">
        <v>0.2</v>
      </c>
      <c r="D247" s="35">
        <f t="shared" si="5"/>
        <v>0.176991150442478</v>
      </c>
      <c r="F247" s="34"/>
    </row>
    <row r="248" spans="1:6">
      <c r="A248" s="31">
        <v>247</v>
      </c>
      <c r="B248" s="31" t="s">
        <v>421</v>
      </c>
      <c r="C248" s="31">
        <v>0.44</v>
      </c>
      <c r="D248" s="35">
        <f t="shared" si="5"/>
        <v>0.389380530973451</v>
      </c>
      <c r="F248" s="34"/>
    </row>
    <row r="249" spans="1:6">
      <c r="A249" s="31">
        <v>248</v>
      </c>
      <c r="B249" s="31" t="s">
        <v>422</v>
      </c>
      <c r="C249" s="31">
        <v>0.288</v>
      </c>
      <c r="D249" s="35">
        <f t="shared" si="5"/>
        <v>0.254867256637168</v>
      </c>
      <c r="F249" s="34"/>
    </row>
    <row r="250" spans="1:6">
      <c r="A250" s="31">
        <v>249</v>
      </c>
      <c r="B250" s="31" t="s">
        <v>423</v>
      </c>
      <c r="C250" s="31">
        <v>0.88</v>
      </c>
      <c r="D250" s="35">
        <f t="shared" si="5"/>
        <v>0.778761061946903</v>
      </c>
      <c r="F250" s="34"/>
    </row>
    <row r="251" spans="1:6">
      <c r="A251" s="31">
        <v>250</v>
      </c>
      <c r="B251" s="31" t="s">
        <v>424</v>
      </c>
      <c r="C251" s="31">
        <v>2.94</v>
      </c>
      <c r="D251" s="35">
        <f t="shared" si="5"/>
        <v>2.60176991150442</v>
      </c>
      <c r="F251" s="34"/>
    </row>
    <row r="252" spans="1:6">
      <c r="A252" s="31">
        <v>251</v>
      </c>
      <c r="B252" s="31" t="s">
        <v>425</v>
      </c>
      <c r="C252" s="31">
        <v>0.46</v>
      </c>
      <c r="D252" s="35">
        <f t="shared" si="5"/>
        <v>0.407079646017699</v>
      </c>
      <c r="F252" s="34"/>
    </row>
    <row r="253" spans="1:6">
      <c r="A253" s="31">
        <v>252</v>
      </c>
      <c r="B253" s="31" t="s">
        <v>426</v>
      </c>
      <c r="C253" s="31">
        <v>0.2</v>
      </c>
      <c r="D253" s="35">
        <f t="shared" si="5"/>
        <v>0.176991150442478</v>
      </c>
      <c r="F253" s="34"/>
    </row>
    <row r="254" spans="1:6">
      <c r="A254" s="31">
        <v>253</v>
      </c>
      <c r="B254" s="31" t="s">
        <v>427</v>
      </c>
      <c r="C254" s="31">
        <v>0.112</v>
      </c>
      <c r="D254" s="35">
        <f t="shared" si="5"/>
        <v>0.0991150442477876</v>
      </c>
      <c r="F254" s="34"/>
    </row>
    <row r="255" spans="1:6">
      <c r="A255" s="31">
        <v>254</v>
      </c>
      <c r="B255" s="31" t="s">
        <v>428</v>
      </c>
      <c r="C255" s="31">
        <v>0.45</v>
      </c>
      <c r="D255" s="35">
        <f t="shared" si="5"/>
        <v>0.398230088495575</v>
      </c>
      <c r="F255" s="34"/>
    </row>
    <row r="256" spans="1:6">
      <c r="A256" s="31">
        <v>255</v>
      </c>
      <c r="B256" s="31" t="s">
        <v>429</v>
      </c>
      <c r="C256" s="31">
        <v>0.225</v>
      </c>
      <c r="D256" s="35">
        <f t="shared" si="5"/>
        <v>0.199115044247788</v>
      </c>
      <c r="F256" s="34"/>
    </row>
    <row r="257" spans="1:6">
      <c r="A257" s="31">
        <v>256</v>
      </c>
      <c r="B257" s="31" t="s">
        <v>430</v>
      </c>
      <c r="C257" s="31">
        <v>0.7</v>
      </c>
      <c r="D257" s="35">
        <f t="shared" si="5"/>
        <v>0.619469026548673</v>
      </c>
      <c r="F257" s="34"/>
    </row>
    <row r="258" spans="1:6">
      <c r="A258" s="31">
        <v>257</v>
      </c>
      <c r="B258" s="31" t="s">
        <v>431</v>
      </c>
      <c r="C258" s="31">
        <v>4</v>
      </c>
      <c r="D258" s="35">
        <f t="shared" si="5"/>
        <v>3.53982300884956</v>
      </c>
      <c r="F258" s="34"/>
    </row>
    <row r="259" spans="1:6">
      <c r="A259" s="31">
        <v>258</v>
      </c>
      <c r="B259" s="31" t="s">
        <v>432</v>
      </c>
      <c r="C259" s="31">
        <v>2.5</v>
      </c>
      <c r="D259" s="35">
        <f t="shared" si="5"/>
        <v>2.21238938053097</v>
      </c>
      <c r="F259" s="34"/>
    </row>
    <row r="260" spans="1:6">
      <c r="A260" s="31">
        <v>259</v>
      </c>
      <c r="B260" s="31" t="s">
        <v>433</v>
      </c>
      <c r="C260" s="31">
        <v>1.5</v>
      </c>
      <c r="D260" s="35">
        <f t="shared" si="5"/>
        <v>1.32743362831858</v>
      </c>
      <c r="F260" s="34"/>
    </row>
    <row r="261" spans="1:6">
      <c r="A261" s="31">
        <v>260</v>
      </c>
      <c r="B261" s="31" t="s">
        <v>434</v>
      </c>
      <c r="C261" s="31">
        <v>0.03</v>
      </c>
      <c r="D261" s="35">
        <f t="shared" si="5"/>
        <v>0.0265486725663717</v>
      </c>
      <c r="F261" s="34"/>
    </row>
    <row r="262" spans="1:6">
      <c r="A262" s="31">
        <v>261</v>
      </c>
      <c r="B262" s="31" t="s">
        <v>435</v>
      </c>
      <c r="C262" s="31">
        <v>1.6</v>
      </c>
      <c r="D262" s="35">
        <f t="shared" si="5"/>
        <v>1.41592920353982</v>
      </c>
      <c r="F262" s="34"/>
    </row>
    <row r="263" spans="1:6">
      <c r="A263" s="31">
        <v>262</v>
      </c>
      <c r="B263" s="31" t="s">
        <v>436</v>
      </c>
      <c r="C263" s="31">
        <v>0.195</v>
      </c>
      <c r="D263" s="35">
        <f t="shared" si="5"/>
        <v>0.172566371681416</v>
      </c>
      <c r="F263" s="34"/>
    </row>
    <row r="264" spans="1:6">
      <c r="A264" s="31">
        <v>263</v>
      </c>
      <c r="B264" s="31" t="s">
        <v>437</v>
      </c>
      <c r="C264" s="31">
        <v>0.45</v>
      </c>
      <c r="D264" s="35">
        <f t="shared" si="5"/>
        <v>0.398230088495575</v>
      </c>
      <c r="F264" s="34"/>
    </row>
    <row r="265" spans="1:6">
      <c r="A265" s="31">
        <v>264</v>
      </c>
      <c r="B265" s="31" t="s">
        <v>438</v>
      </c>
      <c r="C265" s="31">
        <v>1.95</v>
      </c>
      <c r="D265" s="35">
        <f t="shared" si="5"/>
        <v>1.72566371681416</v>
      </c>
      <c r="F265" s="34"/>
    </row>
    <row r="266" spans="1:6">
      <c r="A266" s="31">
        <v>265</v>
      </c>
      <c r="B266" s="31" t="s">
        <v>439</v>
      </c>
      <c r="C266" s="31">
        <v>4.5</v>
      </c>
      <c r="D266" s="35">
        <f t="shared" si="5"/>
        <v>3.98230088495575</v>
      </c>
      <c r="F266" s="34"/>
    </row>
    <row r="267" spans="1:6">
      <c r="A267" s="31">
        <v>266</v>
      </c>
      <c r="B267" s="31" t="s">
        <v>440</v>
      </c>
      <c r="C267" s="31">
        <v>0.7</v>
      </c>
      <c r="D267" s="35">
        <f t="shared" si="5"/>
        <v>0.619469026548673</v>
      </c>
      <c r="F267" s="34"/>
    </row>
    <row r="268" spans="1:6">
      <c r="A268" s="31">
        <v>267</v>
      </c>
      <c r="B268" s="31" t="s">
        <v>441</v>
      </c>
      <c r="C268" s="31">
        <v>1.2</v>
      </c>
      <c r="D268" s="35">
        <f t="shared" si="5"/>
        <v>1.06194690265487</v>
      </c>
      <c r="F268" s="34"/>
    </row>
    <row r="269" spans="1:6">
      <c r="A269" s="31">
        <v>268</v>
      </c>
      <c r="B269" s="31" t="s">
        <v>442</v>
      </c>
      <c r="C269" s="31">
        <v>1.2</v>
      </c>
      <c r="D269" s="35">
        <f t="shared" si="5"/>
        <v>1.06194690265487</v>
      </c>
      <c r="F269" s="34"/>
    </row>
    <row r="270" spans="1:6">
      <c r="A270" s="31">
        <v>269</v>
      </c>
      <c r="B270" s="31" t="s">
        <v>443</v>
      </c>
      <c r="C270" s="31">
        <v>1.2</v>
      </c>
      <c r="D270" s="35">
        <f t="shared" si="5"/>
        <v>1.06194690265487</v>
      </c>
      <c r="F270" s="34"/>
    </row>
    <row r="271" spans="1:6">
      <c r="A271" s="31">
        <v>270</v>
      </c>
      <c r="B271" s="31" t="s">
        <v>444</v>
      </c>
      <c r="C271" s="31">
        <v>1.8</v>
      </c>
      <c r="D271" s="35">
        <f t="shared" si="5"/>
        <v>1.5929203539823</v>
      </c>
      <c r="F271" s="34"/>
    </row>
    <row r="272" spans="1:6">
      <c r="A272" s="31">
        <v>271</v>
      </c>
      <c r="B272" s="31" t="s">
        <v>445</v>
      </c>
      <c r="C272" s="31">
        <v>0.29</v>
      </c>
      <c r="D272" s="35">
        <f t="shared" si="5"/>
        <v>0.256637168141593</v>
      </c>
      <c r="F272" s="34"/>
    </row>
    <row r="273" spans="1:6">
      <c r="A273" s="31">
        <v>272</v>
      </c>
      <c r="B273" s="31" t="s">
        <v>446</v>
      </c>
      <c r="C273" s="31">
        <v>0.7</v>
      </c>
      <c r="D273" s="35">
        <f t="shared" si="5"/>
        <v>0.619469026548673</v>
      </c>
      <c r="F273" s="34"/>
    </row>
    <row r="274" spans="1:6">
      <c r="A274" s="31">
        <v>273</v>
      </c>
      <c r="B274" s="31" t="s">
        <v>447</v>
      </c>
      <c r="C274" s="31">
        <v>0.8</v>
      </c>
      <c r="D274" s="35">
        <f t="shared" si="5"/>
        <v>0.707964601769912</v>
      </c>
      <c r="F274" s="34"/>
    </row>
    <row r="275" spans="1:6">
      <c r="A275" s="31">
        <v>274</v>
      </c>
      <c r="B275" s="31" t="s">
        <v>448</v>
      </c>
      <c r="C275" s="31">
        <v>0.35</v>
      </c>
      <c r="D275" s="35">
        <f t="shared" si="5"/>
        <v>0.309734513274336</v>
      </c>
      <c r="F275" s="34"/>
    </row>
    <row r="276" spans="1:6">
      <c r="A276" s="31">
        <v>275</v>
      </c>
      <c r="B276" s="31" t="s">
        <v>449</v>
      </c>
      <c r="C276" s="31">
        <v>0.45</v>
      </c>
      <c r="D276" s="35">
        <f t="shared" si="5"/>
        <v>0.398230088495575</v>
      </c>
      <c r="F276" s="34"/>
    </row>
    <row r="277" spans="1:6">
      <c r="A277" s="31">
        <v>276</v>
      </c>
      <c r="B277" s="31" t="s">
        <v>450</v>
      </c>
      <c r="C277" s="31">
        <v>0.23</v>
      </c>
      <c r="D277" s="35">
        <f t="shared" si="5"/>
        <v>0.20353982300885</v>
      </c>
      <c r="F277" s="34"/>
    </row>
    <row r="278" spans="1:6">
      <c r="A278" s="31">
        <v>277</v>
      </c>
      <c r="B278" s="31" t="s">
        <v>451</v>
      </c>
      <c r="C278" s="31">
        <v>0.7</v>
      </c>
      <c r="D278" s="35">
        <f t="shared" si="5"/>
        <v>0.619469026548673</v>
      </c>
      <c r="F278" s="34"/>
    </row>
    <row r="279" spans="1:6">
      <c r="A279" s="31">
        <v>278</v>
      </c>
      <c r="B279" s="31" t="s">
        <v>452</v>
      </c>
      <c r="C279" s="31">
        <v>5.8</v>
      </c>
      <c r="D279" s="35">
        <f t="shared" si="5"/>
        <v>5.13274336283186</v>
      </c>
      <c r="F279" s="34"/>
    </row>
    <row r="280" spans="1:6">
      <c r="A280" s="31">
        <v>279</v>
      </c>
      <c r="B280" s="31" t="s">
        <v>453</v>
      </c>
      <c r="C280" s="31">
        <v>5</v>
      </c>
      <c r="D280" s="35">
        <f t="shared" si="5"/>
        <v>4.42477876106195</v>
      </c>
      <c r="F280" s="34"/>
    </row>
    <row r="281" spans="1:6">
      <c r="A281" s="31">
        <v>280</v>
      </c>
      <c r="B281" s="31" t="s">
        <v>454</v>
      </c>
      <c r="C281" s="31">
        <v>4.88</v>
      </c>
      <c r="D281" s="35">
        <f t="shared" si="5"/>
        <v>4.31858407079646</v>
      </c>
      <c r="F281" s="34"/>
    </row>
    <row r="282" spans="1:6">
      <c r="A282" s="31">
        <v>281</v>
      </c>
      <c r="B282" s="31" t="s">
        <v>455</v>
      </c>
      <c r="C282" s="31">
        <v>6.4</v>
      </c>
      <c r="D282" s="35">
        <f t="shared" si="5"/>
        <v>5.66371681415929</v>
      </c>
      <c r="F282" s="34"/>
    </row>
    <row r="283" spans="1:6">
      <c r="A283" s="31">
        <v>282</v>
      </c>
      <c r="B283" s="31" t="s">
        <v>456</v>
      </c>
      <c r="C283" s="31">
        <v>6.6</v>
      </c>
      <c r="D283" s="35">
        <f t="shared" si="5"/>
        <v>5.84070796460177</v>
      </c>
      <c r="F283" s="34"/>
    </row>
    <row r="284" spans="1:6">
      <c r="A284" s="31">
        <v>283</v>
      </c>
      <c r="B284" s="31" t="s">
        <v>457</v>
      </c>
      <c r="C284" s="31">
        <v>6.7</v>
      </c>
      <c r="D284" s="35">
        <f t="shared" si="5"/>
        <v>5.92920353982301</v>
      </c>
      <c r="F284" s="34"/>
    </row>
    <row r="285" spans="1:6">
      <c r="A285" s="31">
        <v>284</v>
      </c>
      <c r="B285" s="31" t="s">
        <v>458</v>
      </c>
      <c r="C285" s="31">
        <v>3</v>
      </c>
      <c r="D285" s="35">
        <f t="shared" si="5"/>
        <v>2.65486725663717</v>
      </c>
      <c r="F285" s="34"/>
    </row>
    <row r="286" spans="1:6">
      <c r="A286" s="31">
        <v>285</v>
      </c>
      <c r="B286" s="31" t="s">
        <v>459</v>
      </c>
      <c r="C286" s="31">
        <v>3</v>
      </c>
      <c r="D286" s="35">
        <f t="shared" si="5"/>
        <v>2.65486725663717</v>
      </c>
      <c r="F286" s="34"/>
    </row>
    <row r="287" spans="1:6">
      <c r="A287" s="31">
        <v>286</v>
      </c>
      <c r="B287" s="31" t="s">
        <v>460</v>
      </c>
      <c r="C287" s="31">
        <v>0.3</v>
      </c>
      <c r="D287" s="35">
        <f t="shared" si="5"/>
        <v>0.265486725663717</v>
      </c>
      <c r="F287" s="34"/>
    </row>
    <row r="288" spans="1:6">
      <c r="A288" s="31">
        <v>287</v>
      </c>
      <c r="B288" s="31" t="s">
        <v>461</v>
      </c>
      <c r="C288" s="31">
        <v>0.5</v>
      </c>
      <c r="D288" s="35">
        <f t="shared" si="5"/>
        <v>0.442477876106195</v>
      </c>
      <c r="F288" s="34"/>
    </row>
    <row r="289" spans="1:6">
      <c r="A289" s="31">
        <v>288</v>
      </c>
      <c r="B289" s="31" t="s">
        <v>462</v>
      </c>
      <c r="C289" s="31">
        <v>0.5</v>
      </c>
      <c r="D289" s="35">
        <f t="shared" si="5"/>
        <v>0.442477876106195</v>
      </c>
      <c r="F289" s="34"/>
    </row>
    <row r="290" spans="1:6">
      <c r="A290" s="31">
        <v>289</v>
      </c>
      <c r="B290" s="31" t="s">
        <v>463</v>
      </c>
      <c r="C290" s="31">
        <v>0.5</v>
      </c>
      <c r="D290" s="35">
        <f t="shared" si="5"/>
        <v>0.442477876106195</v>
      </c>
      <c r="F290" s="34"/>
    </row>
    <row r="291" spans="1:6">
      <c r="A291" s="31">
        <v>290</v>
      </c>
      <c r="B291" s="31" t="s">
        <v>464</v>
      </c>
      <c r="C291" s="31">
        <v>0.5</v>
      </c>
      <c r="D291" s="35">
        <f t="shared" si="5"/>
        <v>0.442477876106195</v>
      </c>
      <c r="F291" s="34"/>
    </row>
    <row r="292" spans="1:6">
      <c r="A292" s="31">
        <v>291</v>
      </c>
      <c r="B292" s="31" t="s">
        <v>465</v>
      </c>
      <c r="C292" s="31">
        <v>0.0023</v>
      </c>
      <c r="D292" s="35">
        <f t="shared" si="5"/>
        <v>0.0020353982300885</v>
      </c>
      <c r="F292" s="34"/>
    </row>
    <row r="293" spans="1:6">
      <c r="A293" s="31">
        <v>292</v>
      </c>
      <c r="B293" s="31" t="s">
        <v>466</v>
      </c>
      <c r="C293" s="31">
        <v>0.02</v>
      </c>
      <c r="D293" s="35">
        <f t="shared" si="5"/>
        <v>0.0176991150442478</v>
      </c>
      <c r="F293" s="34"/>
    </row>
    <row r="294" spans="1:6">
      <c r="A294" s="31">
        <v>293</v>
      </c>
      <c r="B294" s="31" t="s">
        <v>467</v>
      </c>
      <c r="C294" s="31">
        <v>0.0099</v>
      </c>
      <c r="D294" s="35">
        <f t="shared" ref="D294:D357" si="6">C294/1.13</f>
        <v>0.00876106194690266</v>
      </c>
      <c r="F294" s="34"/>
    </row>
    <row r="295" spans="1:6">
      <c r="A295" s="31">
        <v>294</v>
      </c>
      <c r="B295" s="31" t="s">
        <v>468</v>
      </c>
      <c r="C295" s="31">
        <v>0.0063</v>
      </c>
      <c r="D295" s="35">
        <f t="shared" si="6"/>
        <v>0.00557522123893805</v>
      </c>
      <c r="F295" s="34"/>
    </row>
    <row r="296" spans="1:6">
      <c r="A296" s="31">
        <v>295</v>
      </c>
      <c r="B296" s="31" t="s">
        <v>469</v>
      </c>
      <c r="C296" s="31">
        <v>0.14</v>
      </c>
      <c r="D296" s="35">
        <f t="shared" si="6"/>
        <v>0.123893805309735</v>
      </c>
      <c r="F296" s="34"/>
    </row>
    <row r="297" spans="1:6">
      <c r="A297" s="31">
        <v>296</v>
      </c>
      <c r="B297" s="31" t="s">
        <v>470</v>
      </c>
      <c r="C297" s="31">
        <v>0.016</v>
      </c>
      <c r="D297" s="35">
        <f t="shared" si="6"/>
        <v>0.0141592920353982</v>
      </c>
      <c r="F297" s="34"/>
    </row>
    <row r="298" spans="1:6">
      <c r="A298" s="31">
        <v>297</v>
      </c>
      <c r="B298" s="31" t="s">
        <v>471</v>
      </c>
      <c r="C298" s="31">
        <v>0.0268</v>
      </c>
      <c r="D298" s="35">
        <f t="shared" si="6"/>
        <v>0.023716814159292</v>
      </c>
      <c r="F298" s="34"/>
    </row>
    <row r="299" spans="1:6">
      <c r="A299" s="31">
        <v>298</v>
      </c>
      <c r="B299" s="31" t="s">
        <v>472</v>
      </c>
      <c r="C299" s="31">
        <v>0.08</v>
      </c>
      <c r="D299" s="35">
        <f t="shared" si="6"/>
        <v>0.0707964601769912</v>
      </c>
      <c r="F299" s="34"/>
    </row>
    <row r="300" spans="1:6">
      <c r="A300" s="31">
        <v>299</v>
      </c>
      <c r="B300" s="31" t="s">
        <v>473</v>
      </c>
      <c r="C300" s="31">
        <v>0.005</v>
      </c>
      <c r="D300" s="35">
        <f t="shared" si="6"/>
        <v>0.00442477876106195</v>
      </c>
      <c r="F300" s="34"/>
    </row>
    <row r="301" spans="1:6">
      <c r="A301" s="31">
        <v>300</v>
      </c>
      <c r="B301" s="31" t="s">
        <v>474</v>
      </c>
      <c r="C301" s="31">
        <v>0.02</v>
      </c>
      <c r="D301" s="35">
        <f t="shared" si="6"/>
        <v>0.0176991150442478</v>
      </c>
      <c r="F301" s="34"/>
    </row>
    <row r="302" spans="1:6">
      <c r="A302" s="31">
        <v>301</v>
      </c>
      <c r="B302" s="31" t="s">
        <v>475</v>
      </c>
      <c r="C302" s="31">
        <v>0.02</v>
      </c>
      <c r="D302" s="35">
        <f t="shared" si="6"/>
        <v>0.0176991150442478</v>
      </c>
      <c r="F302" s="34"/>
    </row>
    <row r="303" spans="1:6">
      <c r="A303" s="31">
        <v>302</v>
      </c>
      <c r="B303" s="31" t="s">
        <v>476</v>
      </c>
      <c r="C303" s="31">
        <v>0.025</v>
      </c>
      <c r="D303" s="35">
        <f t="shared" si="6"/>
        <v>0.0221238938053097</v>
      </c>
      <c r="F303" s="34"/>
    </row>
    <row r="304" spans="1:6">
      <c r="A304" s="31">
        <v>303</v>
      </c>
      <c r="B304" s="31" t="s">
        <v>477</v>
      </c>
      <c r="C304" s="31">
        <v>0.007</v>
      </c>
      <c r="D304" s="35">
        <f t="shared" si="6"/>
        <v>0.00619469026548673</v>
      </c>
      <c r="F304" s="34"/>
    </row>
    <row r="305" spans="1:6">
      <c r="A305" s="31">
        <v>304</v>
      </c>
      <c r="B305" s="31" t="s">
        <v>478</v>
      </c>
      <c r="C305" s="31">
        <v>0.12</v>
      </c>
      <c r="D305" s="35">
        <f t="shared" si="6"/>
        <v>0.106194690265487</v>
      </c>
      <c r="F305" s="34"/>
    </row>
    <row r="306" spans="1:6">
      <c r="A306" s="31">
        <v>305</v>
      </c>
      <c r="B306" s="31" t="s">
        <v>479</v>
      </c>
      <c r="C306" s="31">
        <v>0.025</v>
      </c>
      <c r="D306" s="35">
        <f t="shared" si="6"/>
        <v>0.0221238938053097</v>
      </c>
      <c r="F306" s="34"/>
    </row>
    <row r="307" spans="1:6">
      <c r="A307" s="31">
        <v>306</v>
      </c>
      <c r="B307" s="31" t="s">
        <v>480</v>
      </c>
      <c r="C307" s="31">
        <v>0.0146</v>
      </c>
      <c r="D307" s="35">
        <f t="shared" si="6"/>
        <v>0.0129203539823009</v>
      </c>
      <c r="F307" s="34"/>
    </row>
    <row r="308" spans="1:6">
      <c r="A308" s="31">
        <v>307</v>
      </c>
      <c r="B308" s="31" t="s">
        <v>481</v>
      </c>
      <c r="C308" s="31">
        <v>0.1</v>
      </c>
      <c r="D308" s="35">
        <f t="shared" si="6"/>
        <v>0.088495575221239</v>
      </c>
      <c r="F308" s="34"/>
    </row>
    <row r="309" spans="1:6">
      <c r="A309" s="31">
        <v>308</v>
      </c>
      <c r="B309" s="31" t="s">
        <v>482</v>
      </c>
      <c r="C309" s="31">
        <v>0.015</v>
      </c>
      <c r="D309" s="35">
        <f t="shared" si="6"/>
        <v>0.0132743362831858</v>
      </c>
      <c r="F309" s="34"/>
    </row>
    <row r="310" spans="1:6">
      <c r="A310" s="31">
        <v>309</v>
      </c>
      <c r="B310" s="31" t="s">
        <v>483</v>
      </c>
      <c r="C310" s="31">
        <v>0.015</v>
      </c>
      <c r="D310" s="35">
        <f t="shared" si="6"/>
        <v>0.0132743362831858</v>
      </c>
      <c r="F310" s="34"/>
    </row>
    <row r="311" spans="1:6">
      <c r="A311" s="31">
        <v>310</v>
      </c>
      <c r="B311" s="31" t="s">
        <v>484</v>
      </c>
      <c r="C311" s="31">
        <v>0.02</v>
      </c>
      <c r="D311" s="35">
        <f t="shared" si="6"/>
        <v>0.0176991150442478</v>
      </c>
      <c r="F311" s="34"/>
    </row>
    <row r="312" spans="1:6">
      <c r="A312" s="31">
        <v>311</v>
      </c>
      <c r="B312" s="31" t="s">
        <v>485</v>
      </c>
      <c r="C312" s="31">
        <v>0.02</v>
      </c>
      <c r="D312" s="35">
        <f t="shared" si="6"/>
        <v>0.0176991150442478</v>
      </c>
      <c r="F312" s="34"/>
    </row>
    <row r="313" spans="1:6">
      <c r="A313" s="31">
        <v>312</v>
      </c>
      <c r="B313" s="31" t="s">
        <v>486</v>
      </c>
      <c r="C313" s="31">
        <v>0.01</v>
      </c>
      <c r="D313" s="35">
        <f t="shared" si="6"/>
        <v>0.0088495575221239</v>
      </c>
      <c r="F313" s="34"/>
    </row>
    <row r="314" spans="1:6">
      <c r="A314" s="31">
        <v>313</v>
      </c>
      <c r="B314" s="31" t="s">
        <v>487</v>
      </c>
      <c r="C314" s="31">
        <v>0.012</v>
      </c>
      <c r="D314" s="35">
        <f t="shared" si="6"/>
        <v>0.0106194690265487</v>
      </c>
      <c r="F314" s="34"/>
    </row>
    <row r="315" spans="1:6">
      <c r="A315" s="31">
        <v>314</v>
      </c>
      <c r="B315" s="31" t="s">
        <v>488</v>
      </c>
      <c r="C315" s="31">
        <v>0.07</v>
      </c>
      <c r="D315" s="35">
        <f t="shared" si="6"/>
        <v>0.0619469026548673</v>
      </c>
      <c r="F315" s="34"/>
    </row>
    <row r="316" spans="1:6">
      <c r="A316" s="31">
        <v>315</v>
      </c>
      <c r="B316" s="31" t="s">
        <v>489</v>
      </c>
      <c r="C316" s="31">
        <v>0.16</v>
      </c>
      <c r="D316" s="35">
        <f t="shared" si="6"/>
        <v>0.141592920353982</v>
      </c>
      <c r="F316" s="34"/>
    </row>
    <row r="317" spans="1:6">
      <c r="A317" s="31">
        <v>316</v>
      </c>
      <c r="B317" s="31" t="s">
        <v>490</v>
      </c>
      <c r="C317" s="31">
        <v>0.06</v>
      </c>
      <c r="D317" s="35">
        <f t="shared" si="6"/>
        <v>0.0530973451327434</v>
      </c>
      <c r="F317" s="34"/>
    </row>
    <row r="318" spans="1:6">
      <c r="A318" s="31">
        <v>317</v>
      </c>
      <c r="B318" s="31" t="s">
        <v>491</v>
      </c>
      <c r="C318" s="31">
        <v>0.022</v>
      </c>
      <c r="D318" s="35">
        <f t="shared" si="6"/>
        <v>0.0194690265486726</v>
      </c>
      <c r="F318" s="34"/>
    </row>
    <row r="319" spans="1:6">
      <c r="A319" s="31">
        <v>318</v>
      </c>
      <c r="B319" s="31" t="s">
        <v>492</v>
      </c>
      <c r="C319" s="31">
        <v>0.018</v>
      </c>
      <c r="D319" s="35">
        <f t="shared" si="6"/>
        <v>0.015929203539823</v>
      </c>
      <c r="F319" s="34"/>
    </row>
    <row r="320" spans="1:6">
      <c r="A320" s="31">
        <v>319</v>
      </c>
      <c r="B320" s="31" t="s">
        <v>493</v>
      </c>
      <c r="C320" s="31">
        <v>0.03</v>
      </c>
      <c r="D320" s="35">
        <f t="shared" si="6"/>
        <v>0.0265486725663717</v>
      </c>
      <c r="F320" s="34"/>
    </row>
    <row r="321" spans="1:6">
      <c r="A321" s="31">
        <v>320</v>
      </c>
      <c r="B321" s="31" t="s">
        <v>494</v>
      </c>
      <c r="C321" s="31">
        <v>0.0046</v>
      </c>
      <c r="D321" s="35">
        <f t="shared" si="6"/>
        <v>0.00407079646017699</v>
      </c>
      <c r="F321" s="34"/>
    </row>
    <row r="322" spans="1:6">
      <c r="A322" s="31">
        <v>321</v>
      </c>
      <c r="B322" s="31" t="s">
        <v>495</v>
      </c>
      <c r="C322" s="31">
        <v>0.09</v>
      </c>
      <c r="D322" s="35">
        <f t="shared" si="6"/>
        <v>0.079646017699115</v>
      </c>
      <c r="F322" s="34"/>
    </row>
    <row r="323" spans="1:6">
      <c r="A323" s="31">
        <v>322</v>
      </c>
      <c r="B323" s="31" t="s">
        <v>496</v>
      </c>
      <c r="C323" s="31">
        <v>0.095</v>
      </c>
      <c r="D323" s="35">
        <f t="shared" si="6"/>
        <v>0.084070796460177</v>
      </c>
      <c r="F323" s="34"/>
    </row>
    <row r="324" spans="1:6">
      <c r="A324" s="31">
        <v>323</v>
      </c>
      <c r="B324" s="31" t="s">
        <v>497</v>
      </c>
      <c r="C324" s="31">
        <v>0.012</v>
      </c>
      <c r="D324" s="35">
        <f t="shared" si="6"/>
        <v>0.0106194690265487</v>
      </c>
      <c r="F324" s="34"/>
    </row>
    <row r="325" spans="1:6">
      <c r="A325" s="31">
        <v>324</v>
      </c>
      <c r="B325" s="31" t="s">
        <v>498</v>
      </c>
      <c r="C325" s="31">
        <v>0.0097</v>
      </c>
      <c r="D325" s="35">
        <f t="shared" si="6"/>
        <v>0.00858407079646018</v>
      </c>
      <c r="F325" s="34"/>
    </row>
    <row r="326" spans="1:6">
      <c r="A326" s="31">
        <v>325</v>
      </c>
      <c r="B326" s="31" t="s">
        <v>499</v>
      </c>
      <c r="C326" s="31">
        <v>0.3503</v>
      </c>
      <c r="D326" s="35">
        <f t="shared" si="6"/>
        <v>0.31</v>
      </c>
      <c r="F326" s="34"/>
    </row>
    <row r="327" spans="1:6">
      <c r="A327" s="31">
        <v>326</v>
      </c>
      <c r="B327" s="31" t="s">
        <v>500</v>
      </c>
      <c r="C327" s="31">
        <v>0.0211</v>
      </c>
      <c r="D327" s="35">
        <f t="shared" si="6"/>
        <v>0.0186725663716814</v>
      </c>
      <c r="F327" s="34"/>
    </row>
    <row r="328" spans="1:6">
      <c r="A328" s="31">
        <v>327</v>
      </c>
      <c r="B328" s="31" t="s">
        <v>501</v>
      </c>
      <c r="C328" s="31">
        <v>0.0106</v>
      </c>
      <c r="D328" s="35">
        <f t="shared" si="6"/>
        <v>0.00938053097345133</v>
      </c>
      <c r="F328" s="34"/>
    </row>
    <row r="329" spans="1:6">
      <c r="A329" s="31">
        <v>328</v>
      </c>
      <c r="B329" s="31" t="s">
        <v>502</v>
      </c>
      <c r="C329" s="31">
        <v>0.0075</v>
      </c>
      <c r="D329" s="35">
        <f t="shared" si="6"/>
        <v>0.00663716814159292</v>
      </c>
      <c r="F329" s="34"/>
    </row>
    <row r="330" spans="1:6">
      <c r="A330" s="31">
        <v>329</v>
      </c>
      <c r="B330" s="31" t="s">
        <v>503</v>
      </c>
      <c r="C330" s="31">
        <v>0.065</v>
      </c>
      <c r="D330" s="35">
        <f t="shared" si="6"/>
        <v>0.0575221238938053</v>
      </c>
      <c r="F330" s="34"/>
    </row>
    <row r="331" spans="1:6">
      <c r="A331" s="31">
        <v>330</v>
      </c>
      <c r="B331" s="31" t="s">
        <v>504</v>
      </c>
      <c r="C331" s="31">
        <v>0.028</v>
      </c>
      <c r="D331" s="35">
        <f t="shared" si="6"/>
        <v>0.0247787610619469</v>
      </c>
      <c r="F331" s="34"/>
    </row>
    <row r="332" spans="1:6">
      <c r="A332" s="31">
        <v>331</v>
      </c>
      <c r="B332" s="31" t="s">
        <v>505</v>
      </c>
      <c r="C332" s="31">
        <v>0.014</v>
      </c>
      <c r="D332" s="35">
        <f t="shared" si="6"/>
        <v>0.0123893805309735</v>
      </c>
      <c r="F332" s="34"/>
    </row>
    <row r="333" spans="1:6">
      <c r="A333" s="31">
        <v>332</v>
      </c>
      <c r="B333" s="31" t="s">
        <v>506</v>
      </c>
      <c r="C333" s="31">
        <v>0.0128</v>
      </c>
      <c r="D333" s="35">
        <f t="shared" si="6"/>
        <v>0.0113274336283186</v>
      </c>
      <c r="F333" s="34"/>
    </row>
    <row r="334" spans="1:6">
      <c r="A334" s="31">
        <v>333</v>
      </c>
      <c r="B334" s="31" t="s">
        <v>507</v>
      </c>
      <c r="C334" s="31">
        <v>0.01</v>
      </c>
      <c r="D334" s="35">
        <f t="shared" si="6"/>
        <v>0.0088495575221239</v>
      </c>
      <c r="F334" s="34"/>
    </row>
    <row r="335" spans="1:6">
      <c r="A335" s="31">
        <v>334</v>
      </c>
      <c r="B335" s="31" t="s">
        <v>508</v>
      </c>
      <c r="C335" s="31">
        <v>0.018</v>
      </c>
      <c r="D335" s="35">
        <f t="shared" si="6"/>
        <v>0.015929203539823</v>
      </c>
      <c r="F335" s="34"/>
    </row>
    <row r="336" spans="1:6">
      <c r="A336" s="31">
        <v>335</v>
      </c>
      <c r="B336" s="31" t="s">
        <v>509</v>
      </c>
      <c r="C336" s="31">
        <v>0.033</v>
      </c>
      <c r="D336" s="35">
        <f t="shared" si="6"/>
        <v>0.0292035398230089</v>
      </c>
      <c r="F336" s="34"/>
    </row>
    <row r="337" spans="1:6">
      <c r="A337" s="31">
        <v>336</v>
      </c>
      <c r="B337" s="31" t="s">
        <v>510</v>
      </c>
      <c r="C337" s="31">
        <v>0.0195</v>
      </c>
      <c r="D337" s="35">
        <f t="shared" si="6"/>
        <v>0.0172566371681416</v>
      </c>
      <c r="F337" s="34"/>
    </row>
    <row r="338" spans="1:6">
      <c r="A338" s="31">
        <v>337</v>
      </c>
      <c r="B338" s="31" t="s">
        <v>511</v>
      </c>
      <c r="C338" s="31">
        <v>0.025</v>
      </c>
      <c r="D338" s="35">
        <f t="shared" si="6"/>
        <v>0.0221238938053097</v>
      </c>
      <c r="F338" s="34"/>
    </row>
    <row r="339" spans="1:6">
      <c r="A339" s="31">
        <v>338</v>
      </c>
      <c r="B339" s="31" t="s">
        <v>512</v>
      </c>
      <c r="C339" s="31">
        <v>0.022</v>
      </c>
      <c r="D339" s="35">
        <f t="shared" si="6"/>
        <v>0.0194690265486726</v>
      </c>
      <c r="F339" s="34"/>
    </row>
    <row r="340" spans="1:6">
      <c r="A340" s="31">
        <v>339</v>
      </c>
      <c r="B340" s="31" t="s">
        <v>513</v>
      </c>
      <c r="C340" s="31">
        <v>0.0055</v>
      </c>
      <c r="D340" s="35">
        <f t="shared" si="6"/>
        <v>0.00486725663716814</v>
      </c>
      <c r="F340" s="34"/>
    </row>
    <row r="341" spans="1:6">
      <c r="A341" s="31">
        <v>340</v>
      </c>
      <c r="B341" s="31" t="s">
        <v>514</v>
      </c>
      <c r="C341" s="31">
        <v>55</v>
      </c>
      <c r="D341" s="35">
        <f t="shared" si="6"/>
        <v>48.6725663716814</v>
      </c>
      <c r="F341" s="34"/>
    </row>
    <row r="342" spans="1:6">
      <c r="A342" s="31">
        <v>341</v>
      </c>
      <c r="B342" s="31" t="s">
        <v>515</v>
      </c>
      <c r="C342" s="31">
        <v>25</v>
      </c>
      <c r="D342" s="35">
        <f t="shared" si="6"/>
        <v>22.1238938053097</v>
      </c>
      <c r="F342" s="34"/>
    </row>
    <row r="343" spans="1:6">
      <c r="A343" s="31">
        <v>342</v>
      </c>
      <c r="B343" s="31" t="s">
        <v>516</v>
      </c>
      <c r="C343" s="31">
        <v>78</v>
      </c>
      <c r="D343" s="35">
        <f t="shared" si="6"/>
        <v>69.0265486725664</v>
      </c>
      <c r="F343" s="34"/>
    </row>
    <row r="344" spans="1:6">
      <c r="A344" s="31">
        <v>343</v>
      </c>
      <c r="B344" s="31" t="s">
        <v>517</v>
      </c>
      <c r="C344" s="31">
        <v>0.2</v>
      </c>
      <c r="D344" s="35">
        <f t="shared" si="6"/>
        <v>0.176991150442478</v>
      </c>
      <c r="F344" s="34"/>
    </row>
    <row r="345" spans="1:6">
      <c r="A345" s="31">
        <v>344</v>
      </c>
      <c r="B345" s="31" t="s">
        <v>518</v>
      </c>
      <c r="C345" s="31">
        <v>0.2</v>
      </c>
      <c r="D345" s="35">
        <f t="shared" si="6"/>
        <v>0.176991150442478</v>
      </c>
      <c r="F345" s="34"/>
    </row>
    <row r="346" spans="1:6">
      <c r="A346" s="31">
        <v>345</v>
      </c>
      <c r="B346" s="31" t="s">
        <v>519</v>
      </c>
      <c r="C346" s="31">
        <v>0.05</v>
      </c>
      <c r="D346" s="35">
        <f t="shared" si="6"/>
        <v>0.0442477876106195</v>
      </c>
      <c r="F346" s="34"/>
    </row>
    <row r="347" spans="1:6">
      <c r="A347" s="31">
        <v>346</v>
      </c>
      <c r="B347" s="31" t="s">
        <v>520</v>
      </c>
      <c r="C347" s="31">
        <v>0.02</v>
      </c>
      <c r="D347" s="35">
        <f t="shared" si="6"/>
        <v>0.0176991150442478</v>
      </c>
      <c r="F347" s="34"/>
    </row>
    <row r="348" spans="1:6">
      <c r="A348" s="31">
        <v>347</v>
      </c>
      <c r="B348" s="31" t="s">
        <v>521</v>
      </c>
      <c r="C348" s="31">
        <v>0.054</v>
      </c>
      <c r="D348" s="35">
        <f t="shared" si="6"/>
        <v>0.047787610619469</v>
      </c>
      <c r="F348" s="34"/>
    </row>
    <row r="349" spans="1:6">
      <c r="A349" s="31">
        <v>348</v>
      </c>
      <c r="B349" s="31" t="s">
        <v>522</v>
      </c>
      <c r="C349" s="31">
        <v>0.043</v>
      </c>
      <c r="D349" s="35">
        <f t="shared" si="6"/>
        <v>0.0380530973451327</v>
      </c>
      <c r="F349" s="34"/>
    </row>
    <row r="350" spans="1:6">
      <c r="A350" s="31">
        <v>349</v>
      </c>
      <c r="B350" s="31" t="s">
        <v>523</v>
      </c>
      <c r="C350" s="31">
        <v>0.01</v>
      </c>
      <c r="D350" s="35">
        <f t="shared" si="6"/>
        <v>0.0088495575221239</v>
      </c>
      <c r="F350" s="34"/>
    </row>
    <row r="351" spans="1:6">
      <c r="A351" s="31">
        <v>350</v>
      </c>
      <c r="B351" s="31" t="s">
        <v>524</v>
      </c>
      <c r="C351" s="31">
        <v>0.0225</v>
      </c>
      <c r="D351" s="35">
        <f t="shared" si="6"/>
        <v>0.0199115044247788</v>
      </c>
      <c r="F351" s="34"/>
    </row>
    <row r="352" spans="1:6">
      <c r="A352" s="31">
        <v>351</v>
      </c>
      <c r="B352" s="31" t="s">
        <v>525</v>
      </c>
      <c r="C352" s="31">
        <v>0.0183</v>
      </c>
      <c r="D352" s="35">
        <f t="shared" si="6"/>
        <v>0.0161946902654867</v>
      </c>
      <c r="F352" s="34"/>
    </row>
    <row r="353" spans="1:6">
      <c r="A353" s="31">
        <v>352</v>
      </c>
      <c r="B353" s="31" t="s">
        <v>526</v>
      </c>
      <c r="C353" s="31">
        <v>0.025</v>
      </c>
      <c r="D353" s="35">
        <f t="shared" si="6"/>
        <v>0.0221238938053097</v>
      </c>
      <c r="F353" s="34"/>
    </row>
    <row r="354" spans="1:6">
      <c r="A354" s="31">
        <v>353</v>
      </c>
      <c r="B354" s="31" t="s">
        <v>527</v>
      </c>
      <c r="C354" s="31">
        <v>0.027</v>
      </c>
      <c r="D354" s="35">
        <f t="shared" si="6"/>
        <v>0.0238938053097345</v>
      </c>
      <c r="F354" s="34"/>
    </row>
    <row r="355" spans="1:6">
      <c r="A355" s="31">
        <v>354</v>
      </c>
      <c r="B355" s="31" t="s">
        <v>528</v>
      </c>
      <c r="C355" s="31">
        <v>0.017</v>
      </c>
      <c r="D355" s="35">
        <f t="shared" si="6"/>
        <v>0.0150442477876106</v>
      </c>
      <c r="F355" s="34"/>
    </row>
    <row r="356" spans="1:6">
      <c r="A356" s="31">
        <v>355</v>
      </c>
      <c r="B356" s="31" t="s">
        <v>529</v>
      </c>
      <c r="C356" s="31">
        <v>0.0052</v>
      </c>
      <c r="D356" s="35">
        <f t="shared" si="6"/>
        <v>0.00460176991150443</v>
      </c>
      <c r="F356" s="34"/>
    </row>
    <row r="357" spans="1:6">
      <c r="A357" s="31">
        <v>356</v>
      </c>
      <c r="B357" s="31" t="s">
        <v>530</v>
      </c>
      <c r="C357" s="31">
        <v>0.051</v>
      </c>
      <c r="D357" s="35">
        <f t="shared" si="6"/>
        <v>0.0451327433628319</v>
      </c>
      <c r="F357" s="34"/>
    </row>
    <row r="358" spans="1:6">
      <c r="A358" s="31">
        <v>357</v>
      </c>
      <c r="B358" s="31" t="s">
        <v>531</v>
      </c>
      <c r="C358" s="31">
        <v>0.07</v>
      </c>
      <c r="D358" s="35">
        <f t="shared" ref="D358:D421" si="7">C358/1.13</f>
        <v>0.0619469026548673</v>
      </c>
      <c r="F358" s="34"/>
    </row>
    <row r="359" spans="1:6">
      <c r="A359" s="31">
        <v>358</v>
      </c>
      <c r="B359" s="31" t="s">
        <v>532</v>
      </c>
      <c r="C359" s="31">
        <v>9.2</v>
      </c>
      <c r="D359" s="35">
        <f t="shared" si="7"/>
        <v>8.14159292035398</v>
      </c>
      <c r="F359" s="34"/>
    </row>
    <row r="360" spans="1:6">
      <c r="A360" s="31">
        <v>359</v>
      </c>
      <c r="B360" s="31" t="s">
        <v>533</v>
      </c>
      <c r="C360" s="31">
        <v>8.8</v>
      </c>
      <c r="D360" s="35">
        <f t="shared" si="7"/>
        <v>7.78761061946903</v>
      </c>
      <c r="F360" s="34"/>
    </row>
    <row r="361" spans="1:6">
      <c r="A361" s="31">
        <v>360</v>
      </c>
      <c r="B361" s="31" t="s">
        <v>534</v>
      </c>
      <c r="C361" s="31">
        <v>3.3</v>
      </c>
      <c r="D361" s="35">
        <f t="shared" si="7"/>
        <v>2.92035398230088</v>
      </c>
      <c r="F361" s="34"/>
    </row>
    <row r="362" spans="1:6">
      <c r="A362" s="31">
        <v>361</v>
      </c>
      <c r="B362" s="31" t="s">
        <v>535</v>
      </c>
      <c r="C362" s="31">
        <v>36</v>
      </c>
      <c r="D362" s="35">
        <f t="shared" si="7"/>
        <v>31.858407079646</v>
      </c>
      <c r="F362" s="34"/>
    </row>
    <row r="363" spans="1:6">
      <c r="A363" s="31">
        <v>362</v>
      </c>
      <c r="B363" s="31" t="s">
        <v>536</v>
      </c>
      <c r="C363" s="31">
        <v>0.35</v>
      </c>
      <c r="D363" s="35">
        <f t="shared" si="7"/>
        <v>0.309734513274336</v>
      </c>
      <c r="F363" s="34"/>
    </row>
    <row r="364" spans="1:6">
      <c r="A364" s="31">
        <v>363</v>
      </c>
      <c r="B364" s="31" t="s">
        <v>537</v>
      </c>
      <c r="C364" s="31">
        <v>7.4</v>
      </c>
      <c r="D364" s="35">
        <f t="shared" si="7"/>
        <v>6.54867256637168</v>
      </c>
      <c r="F364" s="34"/>
    </row>
    <row r="365" spans="1:6">
      <c r="A365" s="31">
        <v>364</v>
      </c>
      <c r="B365" s="31" t="s">
        <v>538</v>
      </c>
      <c r="C365" s="31">
        <v>7.5</v>
      </c>
      <c r="D365" s="35">
        <f t="shared" si="7"/>
        <v>6.63716814159292</v>
      </c>
      <c r="F365" s="34"/>
    </row>
    <row r="366" spans="1:6">
      <c r="A366" s="31">
        <v>365</v>
      </c>
      <c r="B366" s="31" t="s">
        <v>539</v>
      </c>
      <c r="C366" s="31">
        <v>3.3</v>
      </c>
      <c r="D366" s="35">
        <f t="shared" si="7"/>
        <v>2.92035398230088</v>
      </c>
      <c r="F366" s="34"/>
    </row>
    <row r="367" spans="1:6">
      <c r="A367" s="31">
        <v>366</v>
      </c>
      <c r="B367" s="31" t="s">
        <v>540</v>
      </c>
      <c r="C367" s="31">
        <v>8</v>
      </c>
      <c r="D367" s="35">
        <f t="shared" si="7"/>
        <v>7.07964601769912</v>
      </c>
      <c r="F367" s="34"/>
    </row>
    <row r="368" spans="1:6">
      <c r="A368" s="31">
        <v>367</v>
      </c>
      <c r="B368" s="31" t="s">
        <v>541</v>
      </c>
      <c r="C368" s="31">
        <v>2</v>
      </c>
      <c r="D368" s="35">
        <f t="shared" si="7"/>
        <v>1.76991150442478</v>
      </c>
      <c r="F368" s="34"/>
    </row>
    <row r="369" spans="1:6">
      <c r="A369" s="31">
        <v>368</v>
      </c>
      <c r="B369" s="31" t="s">
        <v>542</v>
      </c>
      <c r="C369" s="31">
        <v>1.3</v>
      </c>
      <c r="D369" s="35">
        <f t="shared" si="7"/>
        <v>1.15044247787611</v>
      </c>
      <c r="F369" s="34"/>
    </row>
    <row r="370" spans="1:6">
      <c r="A370" s="31">
        <v>369</v>
      </c>
      <c r="B370" s="31" t="s">
        <v>543</v>
      </c>
      <c r="C370" s="31">
        <v>2.7</v>
      </c>
      <c r="D370" s="35">
        <f t="shared" si="7"/>
        <v>2.38938053097345</v>
      </c>
      <c r="F370" s="34"/>
    </row>
    <row r="371" spans="1:6">
      <c r="A371" s="31">
        <v>370</v>
      </c>
      <c r="B371" s="31" t="s">
        <v>544</v>
      </c>
      <c r="C371" s="31">
        <v>10</v>
      </c>
      <c r="D371" s="35">
        <f t="shared" si="7"/>
        <v>8.8495575221239</v>
      </c>
      <c r="F371" s="34"/>
    </row>
    <row r="372" spans="1:6">
      <c r="A372" s="31">
        <v>371</v>
      </c>
      <c r="B372" s="31" t="s">
        <v>545</v>
      </c>
      <c r="C372" s="31">
        <v>0.59</v>
      </c>
      <c r="D372" s="35">
        <f t="shared" si="7"/>
        <v>0.52212389380531</v>
      </c>
      <c r="F372" s="34"/>
    </row>
    <row r="373" spans="1:6">
      <c r="A373" s="31">
        <v>372</v>
      </c>
      <c r="B373" s="31" t="s">
        <v>546</v>
      </c>
      <c r="C373" s="31">
        <v>3.3</v>
      </c>
      <c r="D373" s="35">
        <f t="shared" si="7"/>
        <v>2.92035398230088</v>
      </c>
      <c r="F373" s="34"/>
    </row>
    <row r="374" spans="1:6">
      <c r="A374" s="31">
        <v>373</v>
      </c>
      <c r="B374" s="31" t="s">
        <v>547</v>
      </c>
      <c r="C374" s="31">
        <v>4</v>
      </c>
      <c r="D374" s="35">
        <f t="shared" si="7"/>
        <v>3.53982300884956</v>
      </c>
      <c r="F374" s="34"/>
    </row>
    <row r="375" spans="1:6">
      <c r="A375" s="31">
        <v>374</v>
      </c>
      <c r="B375" s="31" t="s">
        <v>548</v>
      </c>
      <c r="C375" s="31">
        <v>9</v>
      </c>
      <c r="D375" s="35">
        <f t="shared" si="7"/>
        <v>7.96460176991151</v>
      </c>
      <c r="F375" s="34"/>
    </row>
    <row r="376" spans="1:6">
      <c r="A376" s="31">
        <v>375</v>
      </c>
      <c r="B376" s="31" t="s">
        <v>549</v>
      </c>
      <c r="C376" s="31">
        <v>6</v>
      </c>
      <c r="D376" s="35">
        <f t="shared" si="7"/>
        <v>5.30973451327434</v>
      </c>
      <c r="F376" s="34"/>
    </row>
    <row r="377" spans="1:6">
      <c r="A377" s="31">
        <v>376</v>
      </c>
      <c r="B377" s="31" t="s">
        <v>550</v>
      </c>
      <c r="C377" s="31">
        <v>9.6</v>
      </c>
      <c r="D377" s="35">
        <f t="shared" si="7"/>
        <v>8.49557522123894</v>
      </c>
      <c r="F377" s="34"/>
    </row>
    <row r="378" spans="1:6">
      <c r="A378" s="31">
        <v>377</v>
      </c>
      <c r="B378" s="31" t="s">
        <v>551</v>
      </c>
      <c r="C378" s="31">
        <v>6.5</v>
      </c>
      <c r="D378" s="35">
        <f t="shared" si="7"/>
        <v>5.75221238938053</v>
      </c>
      <c r="F378" s="34"/>
    </row>
    <row r="379" spans="1:6">
      <c r="A379" s="31">
        <v>378</v>
      </c>
      <c r="B379" s="31" t="s">
        <v>552</v>
      </c>
      <c r="C379" s="31">
        <v>7.3</v>
      </c>
      <c r="D379" s="35">
        <f t="shared" si="7"/>
        <v>6.46017699115044</v>
      </c>
      <c r="F379" s="34"/>
    </row>
    <row r="380" spans="1:6">
      <c r="A380" s="31">
        <v>379</v>
      </c>
      <c r="B380" s="31" t="s">
        <v>553</v>
      </c>
      <c r="C380" s="31">
        <v>2.7</v>
      </c>
      <c r="D380" s="35">
        <f t="shared" si="7"/>
        <v>2.38938053097345</v>
      </c>
      <c r="F380" s="34"/>
    </row>
    <row r="381" spans="1:6">
      <c r="A381" s="31">
        <v>380</v>
      </c>
      <c r="B381" s="31" t="s">
        <v>554</v>
      </c>
      <c r="C381" s="31">
        <v>0.6</v>
      </c>
      <c r="D381" s="35">
        <f t="shared" si="7"/>
        <v>0.530973451327434</v>
      </c>
      <c r="F381" s="34"/>
    </row>
    <row r="382" spans="1:6">
      <c r="A382" s="31">
        <v>381</v>
      </c>
      <c r="B382" s="31" t="s">
        <v>555</v>
      </c>
      <c r="C382" s="31">
        <v>0.36</v>
      </c>
      <c r="D382" s="35">
        <f t="shared" si="7"/>
        <v>0.31858407079646</v>
      </c>
      <c r="F382" s="34"/>
    </row>
    <row r="383" spans="1:6">
      <c r="A383" s="31">
        <v>382</v>
      </c>
      <c r="B383" s="31" t="s">
        <v>556</v>
      </c>
      <c r="C383" s="31">
        <v>18.35</v>
      </c>
      <c r="D383" s="35">
        <f t="shared" si="7"/>
        <v>16.2389380530973</v>
      </c>
      <c r="F383" s="34"/>
    </row>
    <row r="384" spans="1:6">
      <c r="A384" s="31">
        <v>383</v>
      </c>
      <c r="B384" s="31" t="s">
        <v>557</v>
      </c>
      <c r="C384" s="31">
        <v>0.36</v>
      </c>
      <c r="D384" s="35">
        <f t="shared" si="7"/>
        <v>0.31858407079646</v>
      </c>
      <c r="F384" s="34"/>
    </row>
    <row r="385" spans="1:6">
      <c r="A385" s="31">
        <v>384</v>
      </c>
      <c r="B385" s="31" t="s">
        <v>558</v>
      </c>
      <c r="C385" s="31">
        <v>645</v>
      </c>
      <c r="D385" s="35">
        <f t="shared" si="7"/>
        <v>570.796460176991</v>
      </c>
      <c r="F385" s="34"/>
    </row>
    <row r="386" spans="1:6">
      <c r="A386" s="31">
        <v>385</v>
      </c>
      <c r="B386" s="31" t="s">
        <v>559</v>
      </c>
      <c r="C386" s="31">
        <v>440</v>
      </c>
      <c r="D386" s="35">
        <f t="shared" si="7"/>
        <v>389.380530973451</v>
      </c>
      <c r="F386" s="34"/>
    </row>
    <row r="387" spans="1:6">
      <c r="A387" s="31">
        <v>386</v>
      </c>
      <c r="B387" s="31" t="s">
        <v>560</v>
      </c>
      <c r="C387" s="31">
        <v>48.7</v>
      </c>
      <c r="D387" s="35">
        <f t="shared" si="7"/>
        <v>43.0973451327434</v>
      </c>
      <c r="F387" s="34"/>
    </row>
    <row r="388" spans="1:6">
      <c r="A388" s="31">
        <v>387</v>
      </c>
      <c r="B388" s="31" t="s">
        <v>561</v>
      </c>
      <c r="C388" s="31">
        <v>110</v>
      </c>
      <c r="D388" s="35">
        <f t="shared" si="7"/>
        <v>97.3451327433628</v>
      </c>
      <c r="F388" s="34"/>
    </row>
    <row r="389" spans="1:6">
      <c r="A389" s="31">
        <v>388</v>
      </c>
      <c r="B389" s="31" t="s">
        <v>562</v>
      </c>
      <c r="C389" s="31">
        <v>665</v>
      </c>
      <c r="D389" s="35">
        <f t="shared" si="7"/>
        <v>588.495575221239</v>
      </c>
      <c r="F389" s="34"/>
    </row>
    <row r="390" spans="1:6">
      <c r="A390" s="31">
        <v>389</v>
      </c>
      <c r="B390" s="31" t="s">
        <v>563</v>
      </c>
      <c r="C390" s="31">
        <v>1400</v>
      </c>
      <c r="D390" s="35">
        <f t="shared" si="7"/>
        <v>1238.93805309735</v>
      </c>
      <c r="F390" s="34"/>
    </row>
    <row r="391" spans="1:6">
      <c r="A391" s="31">
        <v>390</v>
      </c>
      <c r="B391" s="31" t="s">
        <v>564</v>
      </c>
      <c r="C391" s="31">
        <v>0.93</v>
      </c>
      <c r="D391" s="35">
        <f t="shared" si="7"/>
        <v>0.823008849557522</v>
      </c>
      <c r="F391" s="34" t="s">
        <v>369</v>
      </c>
    </row>
    <row r="392" spans="1:6">
      <c r="A392" s="31">
        <v>391</v>
      </c>
      <c r="B392" s="31" t="s">
        <v>565</v>
      </c>
      <c r="C392" s="31">
        <v>1287</v>
      </c>
      <c r="D392" s="35">
        <f t="shared" si="7"/>
        <v>1138.93805309735</v>
      </c>
      <c r="F392" s="34"/>
    </row>
    <row r="393" spans="1:6">
      <c r="A393" s="31">
        <v>392</v>
      </c>
      <c r="B393" s="31" t="s">
        <v>566</v>
      </c>
      <c r="C393" s="31">
        <v>65</v>
      </c>
      <c r="D393" s="35">
        <f t="shared" si="7"/>
        <v>57.5221238938053</v>
      </c>
      <c r="F393" s="34" t="s">
        <v>372</v>
      </c>
    </row>
    <row r="394" spans="1:6">
      <c r="A394" s="31">
        <v>393</v>
      </c>
      <c r="B394" s="31" t="s">
        <v>567</v>
      </c>
      <c r="C394" s="31">
        <v>51.5</v>
      </c>
      <c r="D394" s="35">
        <f t="shared" si="7"/>
        <v>45.5752212389381</v>
      </c>
      <c r="F394" s="34"/>
    </row>
    <row r="395" spans="1:6">
      <c r="A395" s="31">
        <v>394</v>
      </c>
      <c r="B395" s="31" t="s">
        <v>568</v>
      </c>
      <c r="C395" s="31">
        <v>20</v>
      </c>
      <c r="D395" s="35">
        <f t="shared" si="7"/>
        <v>17.6991150442478</v>
      </c>
      <c r="F395" s="34" t="s">
        <v>372</v>
      </c>
    </row>
    <row r="396" spans="1:6">
      <c r="A396" s="31">
        <v>395</v>
      </c>
      <c r="B396" s="31" t="s">
        <v>569</v>
      </c>
      <c r="C396" s="31">
        <v>29</v>
      </c>
      <c r="D396" s="35">
        <f t="shared" si="7"/>
        <v>25.6637168141593</v>
      </c>
      <c r="F396" s="34"/>
    </row>
    <row r="397" spans="1:6">
      <c r="A397" s="31">
        <v>396</v>
      </c>
      <c r="B397" s="31" t="s">
        <v>570</v>
      </c>
      <c r="C397" s="31">
        <v>41.9</v>
      </c>
      <c r="D397" s="35">
        <f t="shared" si="7"/>
        <v>37.0796460176991</v>
      </c>
      <c r="F397" s="34"/>
    </row>
    <row r="398" spans="1:6">
      <c r="A398" s="31">
        <v>397</v>
      </c>
      <c r="B398" s="31" t="s">
        <v>571</v>
      </c>
      <c r="C398" s="31">
        <v>24.8</v>
      </c>
      <c r="D398" s="35">
        <f t="shared" si="7"/>
        <v>21.9469026548673</v>
      </c>
      <c r="F398" s="34"/>
    </row>
    <row r="399" spans="1:6">
      <c r="A399" s="31">
        <v>398</v>
      </c>
      <c r="B399" s="31" t="s">
        <v>572</v>
      </c>
      <c r="C399" s="31">
        <v>791</v>
      </c>
      <c r="D399" s="35">
        <f t="shared" si="7"/>
        <v>700</v>
      </c>
      <c r="F399" s="34"/>
    </row>
    <row r="400" spans="1:6">
      <c r="A400" s="31">
        <v>399</v>
      </c>
      <c r="B400" s="31" t="s">
        <v>573</v>
      </c>
      <c r="C400" s="31">
        <v>420</v>
      </c>
      <c r="D400" s="35">
        <f t="shared" si="7"/>
        <v>371.681415929204</v>
      </c>
      <c r="F400" s="34"/>
    </row>
    <row r="401" spans="1:6">
      <c r="A401" s="31">
        <v>400</v>
      </c>
      <c r="B401" s="31" t="s">
        <v>574</v>
      </c>
      <c r="C401" s="31">
        <v>420</v>
      </c>
      <c r="D401" s="35">
        <f t="shared" si="7"/>
        <v>371.681415929204</v>
      </c>
      <c r="F401" s="34"/>
    </row>
    <row r="402" spans="1:6">
      <c r="A402" s="31">
        <v>401</v>
      </c>
      <c r="B402" s="31" t="s">
        <v>575</v>
      </c>
      <c r="C402" s="31">
        <v>26</v>
      </c>
      <c r="D402" s="35">
        <f t="shared" si="7"/>
        <v>23.0088495575221</v>
      </c>
      <c r="F402" s="34"/>
    </row>
    <row r="403" spans="1:6">
      <c r="A403" s="31">
        <v>402</v>
      </c>
      <c r="B403" s="31" t="s">
        <v>576</v>
      </c>
      <c r="C403" s="31">
        <v>11</v>
      </c>
      <c r="D403" s="35">
        <f t="shared" si="7"/>
        <v>9.73451327433628</v>
      </c>
      <c r="F403" s="34"/>
    </row>
    <row r="404" spans="1:6">
      <c r="A404" s="31">
        <v>403</v>
      </c>
      <c r="B404" s="31" t="s">
        <v>577</v>
      </c>
      <c r="C404" s="31">
        <v>18.5</v>
      </c>
      <c r="D404" s="35">
        <f t="shared" si="7"/>
        <v>16.3716814159292</v>
      </c>
      <c r="F404" s="34"/>
    </row>
    <row r="405" spans="1:6">
      <c r="A405" s="31">
        <v>404</v>
      </c>
      <c r="B405" s="31" t="s">
        <v>578</v>
      </c>
      <c r="C405" s="31">
        <v>0.7</v>
      </c>
      <c r="D405" s="35">
        <f t="shared" si="7"/>
        <v>0.619469026548673</v>
      </c>
      <c r="F405" s="34"/>
    </row>
    <row r="406" spans="1:6">
      <c r="A406" s="31">
        <v>405</v>
      </c>
      <c r="B406" s="31" t="s">
        <v>579</v>
      </c>
      <c r="C406" s="31">
        <v>2.4</v>
      </c>
      <c r="D406" s="35">
        <f t="shared" si="7"/>
        <v>2.12389380530973</v>
      </c>
      <c r="F406" s="34"/>
    </row>
    <row r="407" spans="1:6">
      <c r="A407" s="31">
        <v>406</v>
      </c>
      <c r="B407" s="31" t="s">
        <v>580</v>
      </c>
      <c r="C407" s="31">
        <v>2.4</v>
      </c>
      <c r="D407" s="35">
        <f t="shared" si="7"/>
        <v>2.12389380530973</v>
      </c>
      <c r="F407" s="34"/>
    </row>
    <row r="408" spans="1:6">
      <c r="A408" s="31">
        <v>407</v>
      </c>
      <c r="B408" s="31" t="s">
        <v>581</v>
      </c>
      <c r="C408" s="31">
        <v>51.6</v>
      </c>
      <c r="D408" s="35">
        <f t="shared" si="7"/>
        <v>45.6637168141593</v>
      </c>
      <c r="F408" s="34"/>
    </row>
    <row r="409" spans="1:6">
      <c r="A409" s="31">
        <v>408</v>
      </c>
      <c r="B409" s="31" t="s">
        <v>582</v>
      </c>
      <c r="C409" s="31">
        <v>5.57</v>
      </c>
      <c r="D409" s="35">
        <f t="shared" si="7"/>
        <v>4.92920353982301</v>
      </c>
      <c r="F409" s="34"/>
    </row>
    <row r="410" spans="1:6">
      <c r="A410" s="31">
        <v>409</v>
      </c>
      <c r="B410" s="31" t="s">
        <v>583</v>
      </c>
      <c r="C410" s="31">
        <v>4.5</v>
      </c>
      <c r="D410" s="35">
        <f t="shared" si="7"/>
        <v>3.98230088495575</v>
      </c>
      <c r="F410" s="34"/>
    </row>
    <row r="411" spans="1:6">
      <c r="A411" s="31">
        <v>410</v>
      </c>
      <c r="B411" s="31" t="s">
        <v>584</v>
      </c>
      <c r="C411" s="31">
        <v>6.5</v>
      </c>
      <c r="D411" s="35">
        <f t="shared" si="7"/>
        <v>5.75221238938053</v>
      </c>
      <c r="F411" s="34"/>
    </row>
    <row r="412" spans="1:6">
      <c r="A412" s="31">
        <v>411</v>
      </c>
      <c r="B412" s="31" t="s">
        <v>585</v>
      </c>
      <c r="C412" s="31">
        <v>49</v>
      </c>
      <c r="D412" s="35">
        <f t="shared" si="7"/>
        <v>43.3628318584071</v>
      </c>
      <c r="F412" s="34"/>
    </row>
    <row r="413" spans="1:6">
      <c r="A413" s="31">
        <v>412</v>
      </c>
      <c r="B413" s="31" t="s">
        <v>586</v>
      </c>
      <c r="C413" s="31">
        <v>6.5</v>
      </c>
      <c r="D413" s="35">
        <f t="shared" si="7"/>
        <v>5.75221238938053</v>
      </c>
      <c r="F413" s="34"/>
    </row>
    <row r="414" spans="1:6">
      <c r="A414" s="31">
        <v>413</v>
      </c>
      <c r="B414" s="31" t="s">
        <v>587</v>
      </c>
      <c r="C414" s="31">
        <v>25</v>
      </c>
      <c r="D414" s="35">
        <f t="shared" si="7"/>
        <v>22.1238938053097</v>
      </c>
      <c r="F414" s="34"/>
    </row>
    <row r="415" spans="1:6">
      <c r="A415" s="31">
        <v>414</v>
      </c>
      <c r="B415" s="31" t="s">
        <v>588</v>
      </c>
      <c r="C415" s="31">
        <v>113</v>
      </c>
      <c r="D415" s="35">
        <f t="shared" si="7"/>
        <v>100</v>
      </c>
      <c r="F415" s="34"/>
    </row>
    <row r="416" spans="1:6">
      <c r="A416" s="31">
        <v>415</v>
      </c>
      <c r="B416" s="31" t="s">
        <v>589</v>
      </c>
      <c r="C416" s="31">
        <v>302</v>
      </c>
      <c r="D416" s="35">
        <f t="shared" si="7"/>
        <v>267.256637168142</v>
      </c>
      <c r="F416" s="34"/>
    </row>
    <row r="417" spans="1:6">
      <c r="A417" s="31">
        <v>416</v>
      </c>
      <c r="B417" s="31" t="s">
        <v>590</v>
      </c>
      <c r="C417" s="31">
        <v>302</v>
      </c>
      <c r="D417" s="35">
        <f t="shared" si="7"/>
        <v>267.256637168142</v>
      </c>
      <c r="F417" s="34"/>
    </row>
    <row r="418" spans="1:6">
      <c r="A418" s="31">
        <v>417</v>
      </c>
      <c r="B418" s="31" t="s">
        <v>591</v>
      </c>
      <c r="C418" s="31">
        <v>302</v>
      </c>
      <c r="D418" s="35">
        <f t="shared" si="7"/>
        <v>267.256637168142</v>
      </c>
      <c r="F418" s="34"/>
    </row>
    <row r="419" spans="1:6">
      <c r="A419" s="31">
        <v>418</v>
      </c>
      <c r="B419" s="31" t="s">
        <v>592</v>
      </c>
      <c r="C419" s="31">
        <v>302</v>
      </c>
      <c r="D419" s="35">
        <f t="shared" si="7"/>
        <v>267.256637168142</v>
      </c>
      <c r="F419" s="34"/>
    </row>
    <row r="420" spans="1:6">
      <c r="A420" s="31">
        <v>419</v>
      </c>
      <c r="B420" s="31" t="s">
        <v>593</v>
      </c>
      <c r="C420" s="31">
        <v>318</v>
      </c>
      <c r="D420" s="35">
        <f t="shared" si="7"/>
        <v>281.41592920354</v>
      </c>
      <c r="F420" s="34"/>
    </row>
    <row r="421" spans="1:6">
      <c r="A421" s="31">
        <v>420</v>
      </c>
      <c r="B421" s="31" t="s">
        <v>594</v>
      </c>
      <c r="C421" s="31">
        <v>1.755</v>
      </c>
      <c r="D421" s="35">
        <f t="shared" si="7"/>
        <v>1.55309734513274</v>
      </c>
      <c r="F421" s="34"/>
    </row>
    <row r="422" spans="1:6">
      <c r="A422" s="31">
        <v>421</v>
      </c>
      <c r="B422" s="31" t="s">
        <v>595</v>
      </c>
      <c r="C422" s="31">
        <v>2.8</v>
      </c>
      <c r="D422" s="35">
        <f t="shared" ref="D422:D485" si="8">C422/1.13</f>
        <v>2.47787610619469</v>
      </c>
      <c r="F422" s="34"/>
    </row>
    <row r="423" spans="1:6">
      <c r="A423" s="31">
        <v>422</v>
      </c>
      <c r="B423" s="31" t="s">
        <v>596</v>
      </c>
      <c r="C423" s="31">
        <v>1.755</v>
      </c>
      <c r="D423" s="35">
        <f t="shared" si="8"/>
        <v>1.55309734513274</v>
      </c>
      <c r="F423" s="34"/>
    </row>
    <row r="424" spans="1:6">
      <c r="A424" s="31">
        <v>423</v>
      </c>
      <c r="B424" s="31" t="s">
        <v>597</v>
      </c>
      <c r="C424" s="31">
        <v>2.6</v>
      </c>
      <c r="D424" s="35">
        <f t="shared" si="8"/>
        <v>2.30088495575221</v>
      </c>
      <c r="F424" s="34"/>
    </row>
    <row r="425" spans="1:6">
      <c r="A425" s="31">
        <v>424</v>
      </c>
      <c r="B425" s="31" t="s">
        <v>598</v>
      </c>
      <c r="C425" s="31">
        <v>2.2</v>
      </c>
      <c r="D425" s="35">
        <f t="shared" si="8"/>
        <v>1.94690265486726</v>
      </c>
      <c r="F425" s="34"/>
    </row>
    <row r="426" spans="1:6">
      <c r="A426" s="31">
        <v>425</v>
      </c>
      <c r="B426" s="31" t="s">
        <v>599</v>
      </c>
      <c r="C426" s="31">
        <v>10.2</v>
      </c>
      <c r="D426" s="35">
        <f t="shared" si="8"/>
        <v>9.02654867256637</v>
      </c>
      <c r="F426" s="34"/>
    </row>
    <row r="427" spans="1:6">
      <c r="A427" s="31">
        <v>426</v>
      </c>
      <c r="B427" s="31" t="s">
        <v>600</v>
      </c>
      <c r="C427" s="31">
        <v>0.08</v>
      </c>
      <c r="D427" s="35">
        <f t="shared" si="8"/>
        <v>0.0707964601769912</v>
      </c>
      <c r="F427" s="34"/>
    </row>
    <row r="428" spans="1:6">
      <c r="A428" s="31">
        <v>427</v>
      </c>
      <c r="B428" s="31" t="s">
        <v>601</v>
      </c>
      <c r="C428" s="31">
        <v>0.58</v>
      </c>
      <c r="D428" s="35">
        <f t="shared" si="8"/>
        <v>0.513274336283186</v>
      </c>
      <c r="F428" s="34"/>
    </row>
    <row r="429" spans="1:6">
      <c r="A429" s="31">
        <v>428</v>
      </c>
      <c r="B429" s="31" t="s">
        <v>602</v>
      </c>
      <c r="C429" s="31">
        <v>2.7</v>
      </c>
      <c r="D429" s="35">
        <f t="shared" si="8"/>
        <v>2.38938053097345</v>
      </c>
      <c r="F429" s="34"/>
    </row>
    <row r="430" spans="1:6">
      <c r="A430" s="31">
        <v>429</v>
      </c>
      <c r="B430" s="31" t="s">
        <v>603</v>
      </c>
      <c r="C430" s="31">
        <v>0.088</v>
      </c>
      <c r="D430" s="35">
        <f t="shared" si="8"/>
        <v>0.0778761061946903</v>
      </c>
      <c r="F430" s="34"/>
    </row>
    <row r="431" spans="1:6">
      <c r="A431" s="31">
        <v>430</v>
      </c>
      <c r="B431" s="31" t="s">
        <v>604</v>
      </c>
      <c r="C431" s="31">
        <v>0.8</v>
      </c>
      <c r="D431" s="35">
        <f t="shared" si="8"/>
        <v>0.707964601769912</v>
      </c>
      <c r="F431" s="34"/>
    </row>
    <row r="432" spans="1:6">
      <c r="A432" s="31">
        <v>431</v>
      </c>
      <c r="B432" s="31" t="s">
        <v>605</v>
      </c>
      <c r="C432" s="31">
        <v>11.8</v>
      </c>
      <c r="D432" s="35">
        <f t="shared" si="8"/>
        <v>10.4424778761062</v>
      </c>
      <c r="F432" s="34"/>
    </row>
    <row r="433" spans="1:6">
      <c r="A433" s="31">
        <v>432</v>
      </c>
      <c r="B433" s="31" t="s">
        <v>606</v>
      </c>
      <c r="C433" s="31">
        <v>2.22</v>
      </c>
      <c r="D433" s="35">
        <f t="shared" si="8"/>
        <v>1.9646017699115</v>
      </c>
      <c r="F433" s="34"/>
    </row>
    <row r="434" spans="1:6">
      <c r="A434" s="31">
        <v>433</v>
      </c>
      <c r="B434" s="31" t="s">
        <v>607</v>
      </c>
      <c r="C434" s="31">
        <v>0.2</v>
      </c>
      <c r="D434" s="35">
        <f t="shared" si="8"/>
        <v>0.176991150442478</v>
      </c>
      <c r="F434" s="34"/>
    </row>
    <row r="435" spans="1:6">
      <c r="A435" s="31">
        <v>434</v>
      </c>
      <c r="B435" s="31" t="s">
        <v>608</v>
      </c>
      <c r="C435" s="31">
        <v>0.58</v>
      </c>
      <c r="D435" s="35">
        <f t="shared" si="8"/>
        <v>0.513274336283186</v>
      </c>
      <c r="F435" s="34"/>
    </row>
    <row r="436" spans="1:6">
      <c r="A436" s="31">
        <v>435</v>
      </c>
      <c r="B436" s="31" t="s">
        <v>609</v>
      </c>
      <c r="C436" s="31">
        <v>3</v>
      </c>
      <c r="D436" s="35">
        <f t="shared" si="8"/>
        <v>2.65486725663717</v>
      </c>
      <c r="F436" s="34"/>
    </row>
    <row r="437" spans="1:6">
      <c r="A437" s="31">
        <v>436</v>
      </c>
      <c r="B437" s="31" t="s">
        <v>610</v>
      </c>
      <c r="C437" s="31">
        <v>1.6</v>
      </c>
      <c r="D437" s="35">
        <f t="shared" si="8"/>
        <v>1.41592920353982</v>
      </c>
      <c r="F437" s="34"/>
    </row>
    <row r="438" spans="1:6">
      <c r="A438" s="31">
        <v>437</v>
      </c>
      <c r="B438" s="31" t="s">
        <v>611</v>
      </c>
      <c r="C438" s="31">
        <v>2</v>
      </c>
      <c r="D438" s="35">
        <f t="shared" si="8"/>
        <v>1.76991150442478</v>
      </c>
      <c r="F438" s="34" t="s">
        <v>302</v>
      </c>
    </row>
    <row r="439" spans="1:6">
      <c r="A439" s="31">
        <v>438</v>
      </c>
      <c r="B439" s="31" t="s">
        <v>612</v>
      </c>
      <c r="C439" s="31">
        <v>1.7</v>
      </c>
      <c r="D439" s="35">
        <f t="shared" si="8"/>
        <v>1.50442477876106</v>
      </c>
      <c r="F439" s="34" t="s">
        <v>304</v>
      </c>
    </row>
    <row r="440" spans="1:6">
      <c r="A440" s="31">
        <v>439</v>
      </c>
      <c r="B440" s="31" t="s">
        <v>613</v>
      </c>
      <c r="C440" s="31">
        <v>0.0184</v>
      </c>
      <c r="D440" s="35">
        <f t="shared" si="8"/>
        <v>0.016283185840708</v>
      </c>
      <c r="F440" s="34"/>
    </row>
    <row r="441" spans="1:6">
      <c r="A441" s="31">
        <v>440</v>
      </c>
      <c r="B441" s="31" t="s">
        <v>614</v>
      </c>
      <c r="C441" s="31">
        <v>0.2</v>
      </c>
      <c r="D441" s="35">
        <f t="shared" si="8"/>
        <v>0.176991150442478</v>
      </c>
      <c r="F441" s="34"/>
    </row>
    <row r="442" spans="1:6">
      <c r="A442" s="31">
        <v>441</v>
      </c>
      <c r="B442" s="31" t="s">
        <v>615</v>
      </c>
      <c r="C442" s="31">
        <v>0.3</v>
      </c>
      <c r="D442" s="35">
        <f t="shared" si="8"/>
        <v>0.265486725663717</v>
      </c>
      <c r="F442" s="34"/>
    </row>
    <row r="443" spans="1:6">
      <c r="A443" s="31">
        <v>442</v>
      </c>
      <c r="B443" s="31" t="s">
        <v>616</v>
      </c>
      <c r="C443" s="31">
        <v>0.093</v>
      </c>
      <c r="D443" s="35">
        <f t="shared" si="8"/>
        <v>0.0823008849557522</v>
      </c>
      <c r="F443" s="34"/>
    </row>
    <row r="444" spans="1:6">
      <c r="A444" s="31">
        <v>443</v>
      </c>
      <c r="B444" s="31" t="s">
        <v>617</v>
      </c>
      <c r="C444" s="31">
        <v>14.2</v>
      </c>
      <c r="D444" s="35">
        <f t="shared" si="8"/>
        <v>12.5663716814159</v>
      </c>
      <c r="F444" s="34"/>
    </row>
    <row r="445" spans="1:6">
      <c r="A445" s="31">
        <v>444</v>
      </c>
      <c r="B445" s="31" t="s">
        <v>618</v>
      </c>
      <c r="C445" s="31">
        <v>0.22</v>
      </c>
      <c r="D445" s="35">
        <f t="shared" si="8"/>
        <v>0.194690265486726</v>
      </c>
      <c r="F445" s="34"/>
    </row>
    <row r="446" spans="1:6">
      <c r="A446" s="31">
        <v>445</v>
      </c>
      <c r="B446" s="31" t="s">
        <v>619</v>
      </c>
      <c r="C446" s="31">
        <v>0.24</v>
      </c>
      <c r="D446" s="35">
        <f t="shared" si="8"/>
        <v>0.212389380530973</v>
      </c>
      <c r="F446" s="34"/>
    </row>
    <row r="447" spans="1:6">
      <c r="A447" s="31">
        <v>446</v>
      </c>
      <c r="B447" s="31" t="s">
        <v>620</v>
      </c>
      <c r="C447" s="31">
        <v>0.22</v>
      </c>
      <c r="D447" s="35">
        <f t="shared" si="8"/>
        <v>0.194690265486726</v>
      </c>
      <c r="F447" s="34"/>
    </row>
    <row r="448" spans="1:6">
      <c r="A448" s="31">
        <v>447</v>
      </c>
      <c r="B448" s="31" t="s">
        <v>621</v>
      </c>
      <c r="C448" s="31">
        <v>1.3</v>
      </c>
      <c r="D448" s="35">
        <f t="shared" si="8"/>
        <v>1.15044247787611</v>
      </c>
      <c r="F448" s="34"/>
    </row>
    <row r="449" spans="1:6">
      <c r="A449" s="31">
        <v>448</v>
      </c>
      <c r="B449" s="31" t="s">
        <v>622</v>
      </c>
      <c r="C449" s="31">
        <v>0.149</v>
      </c>
      <c r="D449" s="35">
        <f t="shared" si="8"/>
        <v>0.131858407079646</v>
      </c>
      <c r="F449" s="34"/>
    </row>
    <row r="450" spans="1:6">
      <c r="A450" s="31">
        <v>449</v>
      </c>
      <c r="B450" s="31" t="s">
        <v>623</v>
      </c>
      <c r="C450" s="31">
        <v>1.3</v>
      </c>
      <c r="D450" s="35">
        <f t="shared" si="8"/>
        <v>1.15044247787611</v>
      </c>
      <c r="F450" s="34"/>
    </row>
    <row r="451" spans="1:6">
      <c r="A451" s="31">
        <v>450</v>
      </c>
      <c r="B451" s="31" t="s">
        <v>624</v>
      </c>
      <c r="C451" s="31">
        <v>1</v>
      </c>
      <c r="D451" s="35">
        <f t="shared" si="8"/>
        <v>0.884955752212389</v>
      </c>
      <c r="F451" s="34"/>
    </row>
    <row r="452" spans="1:6">
      <c r="A452" s="31">
        <v>451</v>
      </c>
      <c r="B452" s="31" t="s">
        <v>625</v>
      </c>
      <c r="C452" s="31">
        <v>0.92</v>
      </c>
      <c r="D452" s="35">
        <f t="shared" si="8"/>
        <v>0.814159292035398</v>
      </c>
      <c r="F452" s="34"/>
    </row>
    <row r="453" spans="1:6">
      <c r="A453" s="31">
        <v>452</v>
      </c>
      <c r="B453" s="31" t="s">
        <v>626</v>
      </c>
      <c r="C453" s="31">
        <v>0.9</v>
      </c>
      <c r="D453" s="35">
        <f t="shared" si="8"/>
        <v>0.796460176991151</v>
      </c>
      <c r="F453" s="34"/>
    </row>
    <row r="454" spans="1:6">
      <c r="A454" s="31">
        <v>453</v>
      </c>
      <c r="B454" s="31" t="s">
        <v>627</v>
      </c>
      <c r="C454" s="31">
        <v>0.55</v>
      </c>
      <c r="D454" s="35">
        <f t="shared" si="8"/>
        <v>0.486725663716814</v>
      </c>
      <c r="F454" s="34"/>
    </row>
    <row r="455" spans="1:6">
      <c r="A455" s="31">
        <v>454</v>
      </c>
      <c r="B455" s="31" t="s">
        <v>628</v>
      </c>
      <c r="C455" s="31">
        <v>0.56</v>
      </c>
      <c r="D455" s="35">
        <f t="shared" si="8"/>
        <v>0.495575221238938</v>
      </c>
      <c r="F455" s="34"/>
    </row>
    <row r="456" spans="1:6">
      <c r="A456" s="31">
        <v>455</v>
      </c>
      <c r="B456" s="31" t="s">
        <v>629</v>
      </c>
      <c r="C456" s="31">
        <v>0.73</v>
      </c>
      <c r="D456" s="35">
        <f t="shared" si="8"/>
        <v>0.646017699115044</v>
      </c>
      <c r="F456" s="34"/>
    </row>
    <row r="457" spans="1:6">
      <c r="A457" s="31">
        <v>456</v>
      </c>
      <c r="B457" s="31" t="s">
        <v>630</v>
      </c>
      <c r="C457" s="31">
        <v>0.78</v>
      </c>
      <c r="D457" s="35">
        <f t="shared" si="8"/>
        <v>0.690265486725664</v>
      </c>
      <c r="F457" s="34"/>
    </row>
    <row r="458" spans="1:6">
      <c r="A458" s="31">
        <v>457</v>
      </c>
      <c r="B458" s="31" t="s">
        <v>631</v>
      </c>
      <c r="C458" s="31">
        <v>0.66</v>
      </c>
      <c r="D458" s="35">
        <f t="shared" si="8"/>
        <v>0.584070796460177</v>
      </c>
      <c r="F458" s="34"/>
    </row>
    <row r="459" spans="1:6">
      <c r="A459" s="31">
        <v>458</v>
      </c>
      <c r="B459" s="31" t="s">
        <v>632</v>
      </c>
      <c r="C459" s="31">
        <v>0.8</v>
      </c>
      <c r="D459" s="35">
        <f t="shared" si="8"/>
        <v>0.707964601769912</v>
      </c>
      <c r="F459" s="34"/>
    </row>
    <row r="460" spans="1:6">
      <c r="A460" s="31">
        <v>459</v>
      </c>
      <c r="B460" s="31" t="s">
        <v>633</v>
      </c>
      <c r="C460" s="31">
        <v>1.95</v>
      </c>
      <c r="D460" s="35">
        <f t="shared" si="8"/>
        <v>1.72566371681416</v>
      </c>
      <c r="F460" s="34"/>
    </row>
    <row r="461" spans="1:6">
      <c r="A461" s="31">
        <v>460</v>
      </c>
      <c r="B461" s="31" t="s">
        <v>634</v>
      </c>
      <c r="C461" s="31">
        <v>1.85</v>
      </c>
      <c r="D461" s="35">
        <f t="shared" si="8"/>
        <v>1.63716814159292</v>
      </c>
      <c r="F461" s="34"/>
    </row>
    <row r="462" spans="1:6">
      <c r="A462" s="31">
        <v>461</v>
      </c>
      <c r="B462" s="31" t="s">
        <v>635</v>
      </c>
      <c r="C462" s="31">
        <v>0.8</v>
      </c>
      <c r="D462" s="35">
        <f t="shared" si="8"/>
        <v>0.707964601769912</v>
      </c>
      <c r="F462" s="34"/>
    </row>
    <row r="463" spans="1:6">
      <c r="A463" s="31">
        <v>462</v>
      </c>
      <c r="B463" s="31" t="s">
        <v>636</v>
      </c>
      <c r="C463" s="31">
        <v>1.24</v>
      </c>
      <c r="D463" s="35">
        <f t="shared" si="8"/>
        <v>1.09734513274336</v>
      </c>
      <c r="F463" s="34"/>
    </row>
    <row r="464" spans="1:6">
      <c r="A464" s="31">
        <v>463</v>
      </c>
      <c r="B464" s="31" t="s">
        <v>637</v>
      </c>
      <c r="C464" s="31">
        <v>1.8</v>
      </c>
      <c r="D464" s="35">
        <f t="shared" si="8"/>
        <v>1.5929203539823</v>
      </c>
      <c r="F464" s="34"/>
    </row>
    <row r="465" spans="1:6">
      <c r="A465" s="31">
        <v>464</v>
      </c>
      <c r="B465" s="31" t="s">
        <v>638</v>
      </c>
      <c r="C465" s="31">
        <v>1.35</v>
      </c>
      <c r="D465" s="35">
        <f t="shared" si="8"/>
        <v>1.19469026548673</v>
      </c>
      <c r="F465" s="34"/>
    </row>
    <row r="466" spans="1:6">
      <c r="A466" s="31">
        <v>465</v>
      </c>
      <c r="B466" s="31" t="s">
        <v>639</v>
      </c>
      <c r="C466" s="31">
        <v>1.6</v>
      </c>
      <c r="D466" s="35">
        <f t="shared" si="8"/>
        <v>1.41592920353982</v>
      </c>
      <c r="F466" s="34"/>
    </row>
    <row r="467" spans="1:6">
      <c r="A467" s="31">
        <v>466</v>
      </c>
      <c r="B467" s="31" t="s">
        <v>640</v>
      </c>
      <c r="C467" s="31">
        <v>3.38</v>
      </c>
      <c r="D467" s="35">
        <f t="shared" si="8"/>
        <v>2.99115044247788</v>
      </c>
      <c r="F467" s="34"/>
    </row>
    <row r="468" spans="1:6">
      <c r="A468" s="31">
        <v>467</v>
      </c>
      <c r="B468" s="31" t="s">
        <v>641</v>
      </c>
      <c r="C468" s="31">
        <v>1.38</v>
      </c>
      <c r="D468" s="35">
        <f t="shared" si="8"/>
        <v>1.2212389380531</v>
      </c>
      <c r="F468" s="34"/>
    </row>
    <row r="469" spans="1:6">
      <c r="A469" s="31">
        <v>468</v>
      </c>
      <c r="B469" s="31" t="s">
        <v>642</v>
      </c>
      <c r="C469" s="31">
        <v>0.7</v>
      </c>
      <c r="D469" s="35">
        <f t="shared" si="8"/>
        <v>0.619469026548673</v>
      </c>
      <c r="F469" s="34"/>
    </row>
    <row r="470" spans="1:6">
      <c r="A470" s="31">
        <v>469</v>
      </c>
      <c r="B470" s="31" t="s">
        <v>643</v>
      </c>
      <c r="C470" s="31">
        <v>0.6</v>
      </c>
      <c r="D470" s="35">
        <f t="shared" si="8"/>
        <v>0.530973451327434</v>
      </c>
      <c r="F470" s="34"/>
    </row>
    <row r="471" spans="1:6">
      <c r="A471" s="31">
        <v>470</v>
      </c>
      <c r="B471" s="31" t="s">
        <v>644</v>
      </c>
      <c r="C471" s="31">
        <v>1.07</v>
      </c>
      <c r="D471" s="35">
        <f t="shared" si="8"/>
        <v>0.946902654867257</v>
      </c>
      <c r="F471" s="34"/>
    </row>
    <row r="472" spans="1:6">
      <c r="A472" s="31">
        <v>471</v>
      </c>
      <c r="B472" s="31" t="s">
        <v>645</v>
      </c>
      <c r="C472" s="31">
        <v>1.3</v>
      </c>
      <c r="D472" s="35">
        <f t="shared" si="8"/>
        <v>1.15044247787611</v>
      </c>
      <c r="F472" s="34"/>
    </row>
    <row r="473" spans="1:6">
      <c r="A473" s="31">
        <v>472</v>
      </c>
      <c r="B473" s="31" t="s">
        <v>646</v>
      </c>
      <c r="C473" s="31">
        <v>0.11</v>
      </c>
      <c r="D473" s="35">
        <f t="shared" si="8"/>
        <v>0.0973451327433628</v>
      </c>
      <c r="F473" s="34"/>
    </row>
    <row r="474" spans="1:6">
      <c r="A474" s="31">
        <v>473</v>
      </c>
      <c r="B474" s="31" t="s">
        <v>647</v>
      </c>
      <c r="C474" s="31">
        <v>0.0925</v>
      </c>
      <c r="D474" s="35">
        <f t="shared" si="8"/>
        <v>0.081858407079646</v>
      </c>
      <c r="F474" s="34"/>
    </row>
    <row r="475" spans="1:6">
      <c r="A475" s="31">
        <v>474</v>
      </c>
      <c r="B475" s="31" t="s">
        <v>648</v>
      </c>
      <c r="C475" s="31">
        <v>0.107</v>
      </c>
      <c r="D475" s="35">
        <f t="shared" si="8"/>
        <v>0.0946902654867257</v>
      </c>
      <c r="F475" s="34"/>
    </row>
    <row r="476" spans="1:6">
      <c r="A476" s="31">
        <v>475</v>
      </c>
      <c r="B476" s="31" t="s">
        <v>649</v>
      </c>
      <c r="C476" s="31">
        <v>0.127</v>
      </c>
      <c r="D476" s="35">
        <f t="shared" si="8"/>
        <v>0.112389380530973</v>
      </c>
      <c r="F476" s="34"/>
    </row>
    <row r="477" spans="1:6">
      <c r="A477" s="31">
        <v>476</v>
      </c>
      <c r="B477" s="31" t="s">
        <v>650</v>
      </c>
      <c r="C477" s="31">
        <v>0.48</v>
      </c>
      <c r="D477" s="35">
        <f t="shared" si="8"/>
        <v>0.424778761061947</v>
      </c>
      <c r="F477" s="34"/>
    </row>
    <row r="478" spans="1:6">
      <c r="A478" s="31">
        <v>477</v>
      </c>
      <c r="B478" s="31" t="s">
        <v>651</v>
      </c>
      <c r="C478" s="31">
        <v>0.83</v>
      </c>
      <c r="D478" s="35">
        <f t="shared" si="8"/>
        <v>0.734513274336283</v>
      </c>
      <c r="F478" s="34"/>
    </row>
    <row r="479" spans="1:6">
      <c r="A479" s="31">
        <v>478</v>
      </c>
      <c r="B479" s="31" t="s">
        <v>652</v>
      </c>
      <c r="C479" s="31">
        <v>0.8</v>
      </c>
      <c r="D479" s="35">
        <f t="shared" si="8"/>
        <v>0.707964601769912</v>
      </c>
      <c r="F479" s="34"/>
    </row>
    <row r="480" spans="1:6">
      <c r="A480" s="31">
        <v>479</v>
      </c>
      <c r="B480" s="31" t="s">
        <v>653</v>
      </c>
      <c r="C480" s="31">
        <v>1.4</v>
      </c>
      <c r="D480" s="35">
        <f t="shared" si="8"/>
        <v>1.23893805309735</v>
      </c>
      <c r="F480" s="34"/>
    </row>
    <row r="481" spans="1:6">
      <c r="A481" s="31">
        <v>480</v>
      </c>
      <c r="B481" s="31" t="s">
        <v>654</v>
      </c>
      <c r="C481" s="31">
        <v>2.6</v>
      </c>
      <c r="D481" s="35">
        <f t="shared" si="8"/>
        <v>2.30088495575221</v>
      </c>
      <c r="F481" s="34"/>
    </row>
    <row r="482" spans="1:6">
      <c r="A482" s="31">
        <v>481</v>
      </c>
      <c r="B482" s="31" t="s">
        <v>655</v>
      </c>
      <c r="C482" s="31">
        <v>1.33</v>
      </c>
      <c r="D482" s="35">
        <f t="shared" si="8"/>
        <v>1.17699115044248</v>
      </c>
      <c r="F482" s="34"/>
    </row>
    <row r="483" spans="1:6">
      <c r="A483" s="31">
        <v>482</v>
      </c>
      <c r="B483" s="31" t="s">
        <v>656</v>
      </c>
      <c r="C483" s="31">
        <v>1.27</v>
      </c>
      <c r="D483" s="35">
        <f t="shared" si="8"/>
        <v>1.12389380530973</v>
      </c>
      <c r="F483" s="34"/>
    </row>
    <row r="484" spans="1:6">
      <c r="A484" s="31">
        <v>483</v>
      </c>
      <c r="B484" s="31" t="s">
        <v>657</v>
      </c>
      <c r="C484" s="31">
        <v>1.2</v>
      </c>
      <c r="D484" s="35">
        <f t="shared" si="8"/>
        <v>1.06194690265487</v>
      </c>
      <c r="F484" s="34"/>
    </row>
    <row r="485" spans="1:6">
      <c r="A485" s="31">
        <v>484</v>
      </c>
      <c r="B485" s="31" t="s">
        <v>658</v>
      </c>
      <c r="C485" s="31">
        <v>0.6</v>
      </c>
      <c r="D485" s="35">
        <f t="shared" si="8"/>
        <v>0.530973451327434</v>
      </c>
      <c r="F485" s="34"/>
    </row>
    <row r="486" spans="1:6">
      <c r="A486" s="31">
        <v>485</v>
      </c>
      <c r="B486" s="31" t="s">
        <v>659</v>
      </c>
      <c r="C486" s="31">
        <v>1.2</v>
      </c>
      <c r="D486" s="35">
        <f t="shared" ref="D486:D549" si="9">C486/1.13</f>
        <v>1.06194690265487</v>
      </c>
      <c r="F486" s="34"/>
    </row>
    <row r="487" spans="1:6">
      <c r="A487" s="31">
        <v>486</v>
      </c>
      <c r="B487" s="31" t="s">
        <v>660</v>
      </c>
      <c r="C487" s="31">
        <v>1.6</v>
      </c>
      <c r="D487" s="35">
        <f t="shared" si="9"/>
        <v>1.41592920353982</v>
      </c>
      <c r="F487" s="34">
        <f>C487/1.13</f>
        <v>1.41592920353982</v>
      </c>
    </row>
    <row r="488" spans="1:6">
      <c r="A488" s="31">
        <v>487</v>
      </c>
      <c r="B488" s="31" t="s">
        <v>661</v>
      </c>
      <c r="C488" s="31">
        <v>3.3</v>
      </c>
      <c r="D488" s="35">
        <f t="shared" si="9"/>
        <v>2.92035398230088</v>
      </c>
      <c r="F488" s="34"/>
    </row>
    <row r="489" spans="1:6">
      <c r="A489" s="31">
        <v>488</v>
      </c>
      <c r="B489" s="31" t="s">
        <v>662</v>
      </c>
      <c r="C489" s="31">
        <v>3.3</v>
      </c>
      <c r="D489" s="35">
        <f t="shared" si="9"/>
        <v>2.92035398230088</v>
      </c>
      <c r="F489" s="34"/>
    </row>
    <row r="490" spans="1:6">
      <c r="A490" s="31">
        <v>489</v>
      </c>
      <c r="B490" s="31" t="s">
        <v>663</v>
      </c>
      <c r="C490" s="31">
        <v>4.9</v>
      </c>
      <c r="D490" s="35">
        <f t="shared" si="9"/>
        <v>4.33628318584071</v>
      </c>
      <c r="F490" s="34"/>
    </row>
    <row r="491" spans="1:6">
      <c r="A491" s="31">
        <v>490</v>
      </c>
      <c r="B491" s="31" t="s">
        <v>664</v>
      </c>
      <c r="C491" s="31">
        <v>6.8</v>
      </c>
      <c r="D491" s="35">
        <f t="shared" si="9"/>
        <v>6.01769911504425</v>
      </c>
      <c r="F491" s="34"/>
    </row>
    <row r="492" spans="1:6">
      <c r="A492" s="31">
        <v>491</v>
      </c>
      <c r="B492" s="31" t="s">
        <v>665</v>
      </c>
      <c r="C492" s="31">
        <v>4.7</v>
      </c>
      <c r="D492" s="35">
        <f t="shared" si="9"/>
        <v>4.15929203539823</v>
      </c>
      <c r="F492" s="34"/>
    </row>
    <row r="493" spans="1:6">
      <c r="A493" s="31">
        <v>492</v>
      </c>
      <c r="B493" s="31" t="s">
        <v>666</v>
      </c>
      <c r="C493" s="31">
        <v>4.95</v>
      </c>
      <c r="D493" s="35">
        <f t="shared" si="9"/>
        <v>4.38053097345133</v>
      </c>
      <c r="F493" s="34">
        <f>C493/1.13</f>
        <v>4.38053097345133</v>
      </c>
    </row>
    <row r="494" spans="1:6">
      <c r="A494" s="31">
        <v>493</v>
      </c>
      <c r="B494" s="31" t="s">
        <v>667</v>
      </c>
      <c r="C494" s="31">
        <v>5.6</v>
      </c>
      <c r="D494" s="35">
        <f t="shared" si="9"/>
        <v>4.95575221238938</v>
      </c>
      <c r="F494" s="34"/>
    </row>
    <row r="495" spans="1:6">
      <c r="A495" s="31">
        <v>494</v>
      </c>
      <c r="B495" s="31" t="s">
        <v>668</v>
      </c>
      <c r="C495" s="31">
        <v>5.1</v>
      </c>
      <c r="D495" s="35">
        <f t="shared" si="9"/>
        <v>4.51327433628319</v>
      </c>
      <c r="F495" s="34"/>
    </row>
    <row r="496" spans="1:6">
      <c r="A496" s="31">
        <v>495</v>
      </c>
      <c r="B496" s="31" t="s">
        <v>669</v>
      </c>
      <c r="C496" s="31">
        <v>3.2</v>
      </c>
      <c r="D496" s="35">
        <f t="shared" si="9"/>
        <v>2.83185840707965</v>
      </c>
      <c r="F496" s="34"/>
    </row>
    <row r="497" spans="1:6">
      <c r="A497" s="31">
        <v>496</v>
      </c>
      <c r="B497" s="31" t="s">
        <v>670</v>
      </c>
      <c r="C497" s="31">
        <v>13.64</v>
      </c>
      <c r="D497" s="35">
        <f t="shared" si="9"/>
        <v>12.070796460177</v>
      </c>
      <c r="F497" s="34"/>
    </row>
    <row r="498" spans="1:6">
      <c r="A498" s="31">
        <v>497</v>
      </c>
      <c r="B498" s="31" t="s">
        <v>671</v>
      </c>
      <c r="C498" s="31">
        <v>0.8</v>
      </c>
      <c r="D498" s="35">
        <f t="shared" si="9"/>
        <v>0.707964601769912</v>
      </c>
      <c r="F498" s="34">
        <f t="shared" ref="F498:F504" si="10">C498/1.13</f>
        <v>0.707964601769912</v>
      </c>
    </row>
    <row r="499" spans="1:6">
      <c r="A499" s="31">
        <v>498</v>
      </c>
      <c r="B499" s="31" t="s">
        <v>672</v>
      </c>
      <c r="C499" s="31">
        <v>1.1</v>
      </c>
      <c r="D499" s="35">
        <f t="shared" si="9"/>
        <v>0.973451327433628</v>
      </c>
      <c r="F499" s="34">
        <f t="shared" si="10"/>
        <v>0.973451327433628</v>
      </c>
    </row>
    <row r="500" spans="1:6">
      <c r="A500" s="31">
        <v>499</v>
      </c>
      <c r="B500" s="31" t="s">
        <v>673</v>
      </c>
      <c r="C500" s="31">
        <v>1.2</v>
      </c>
      <c r="D500" s="35">
        <f t="shared" si="9"/>
        <v>1.06194690265487</v>
      </c>
      <c r="F500" s="34">
        <f t="shared" si="10"/>
        <v>1.06194690265487</v>
      </c>
    </row>
    <row r="501" spans="1:6">
      <c r="A501" s="31">
        <v>500</v>
      </c>
      <c r="B501" s="31" t="s">
        <v>674</v>
      </c>
      <c r="C501" s="31">
        <v>5.5</v>
      </c>
      <c r="D501" s="35">
        <f t="shared" si="9"/>
        <v>4.86725663716814</v>
      </c>
      <c r="F501" s="34">
        <f t="shared" si="10"/>
        <v>4.86725663716814</v>
      </c>
    </row>
    <row r="502" spans="1:6">
      <c r="A502" s="31">
        <v>501</v>
      </c>
      <c r="B502" s="31" t="s">
        <v>675</v>
      </c>
      <c r="C502" s="31">
        <v>3.6</v>
      </c>
      <c r="D502" s="35">
        <f t="shared" si="9"/>
        <v>3.1858407079646</v>
      </c>
      <c r="F502" s="34">
        <f t="shared" si="10"/>
        <v>3.1858407079646</v>
      </c>
    </row>
    <row r="503" spans="1:6">
      <c r="A503" s="31">
        <v>502</v>
      </c>
      <c r="B503" s="31" t="s">
        <v>676</v>
      </c>
      <c r="C503" s="31">
        <v>4.2</v>
      </c>
      <c r="D503" s="35">
        <f t="shared" si="9"/>
        <v>3.71681415929204</v>
      </c>
      <c r="F503" s="34">
        <f t="shared" si="10"/>
        <v>3.71681415929204</v>
      </c>
    </row>
    <row r="504" spans="1:6">
      <c r="A504" s="31">
        <v>503</v>
      </c>
      <c r="B504" s="31" t="s">
        <v>677</v>
      </c>
      <c r="C504" s="31">
        <v>6.4</v>
      </c>
      <c r="D504" s="35">
        <f t="shared" si="9"/>
        <v>5.66371681415929</v>
      </c>
      <c r="F504" s="34">
        <f t="shared" si="10"/>
        <v>5.66371681415929</v>
      </c>
    </row>
    <row r="505" spans="1:6">
      <c r="A505" s="31">
        <v>504</v>
      </c>
      <c r="B505" s="31" t="s">
        <v>678</v>
      </c>
      <c r="C505" s="31">
        <v>7.3</v>
      </c>
      <c r="D505" s="35">
        <f t="shared" si="9"/>
        <v>6.46017699115044</v>
      </c>
      <c r="F505" s="34"/>
    </row>
    <row r="506" spans="1:6">
      <c r="A506" s="31">
        <v>505</v>
      </c>
      <c r="B506" s="31" t="s">
        <v>679</v>
      </c>
      <c r="C506" s="31">
        <v>6.8</v>
      </c>
      <c r="D506" s="35">
        <f t="shared" si="9"/>
        <v>6.01769911504425</v>
      </c>
      <c r="F506" s="34"/>
    </row>
    <row r="507" spans="1:6">
      <c r="A507" s="31">
        <v>506</v>
      </c>
      <c r="B507" s="31" t="s">
        <v>680</v>
      </c>
      <c r="C507" s="31">
        <v>5.5</v>
      </c>
      <c r="D507" s="35">
        <f t="shared" si="9"/>
        <v>4.86725663716814</v>
      </c>
      <c r="F507" s="34"/>
    </row>
    <row r="508" spans="1:6">
      <c r="A508" s="31">
        <v>507</v>
      </c>
      <c r="B508" s="31" t="s">
        <v>681</v>
      </c>
      <c r="C508" s="31">
        <v>15</v>
      </c>
      <c r="D508" s="35">
        <f t="shared" si="9"/>
        <v>13.2743362831858</v>
      </c>
      <c r="F508" s="34"/>
    </row>
    <row r="509" spans="1:6">
      <c r="A509" s="31">
        <v>508</v>
      </c>
      <c r="B509" s="31" t="s">
        <v>682</v>
      </c>
      <c r="C509" s="31">
        <v>5</v>
      </c>
      <c r="D509" s="35">
        <f t="shared" si="9"/>
        <v>4.42477876106195</v>
      </c>
      <c r="F509" s="34"/>
    </row>
    <row r="510" spans="1:6">
      <c r="A510" s="31">
        <v>509</v>
      </c>
      <c r="B510" s="31" t="s">
        <v>683</v>
      </c>
      <c r="C510" s="31">
        <v>6.8</v>
      </c>
      <c r="D510" s="35">
        <f t="shared" si="9"/>
        <v>6.01769911504425</v>
      </c>
      <c r="F510" s="34"/>
    </row>
    <row r="511" spans="1:6">
      <c r="A511" s="31">
        <v>510</v>
      </c>
      <c r="B511" s="31" t="s">
        <v>684</v>
      </c>
      <c r="C511" s="31">
        <v>9.74</v>
      </c>
      <c r="D511" s="35">
        <f t="shared" si="9"/>
        <v>8.61946902654867</v>
      </c>
      <c r="F511" s="34"/>
    </row>
    <row r="512" spans="1:6">
      <c r="A512" s="31">
        <v>511</v>
      </c>
      <c r="B512" s="31" t="s">
        <v>685</v>
      </c>
      <c r="C512" s="31">
        <v>5.6</v>
      </c>
      <c r="D512" s="35">
        <f t="shared" si="9"/>
        <v>4.95575221238938</v>
      </c>
      <c r="F512" s="34"/>
    </row>
    <row r="513" spans="1:6">
      <c r="A513" s="31">
        <v>512</v>
      </c>
      <c r="B513" s="31" t="s">
        <v>686</v>
      </c>
      <c r="C513" s="31">
        <v>7.3</v>
      </c>
      <c r="D513" s="35">
        <f t="shared" si="9"/>
        <v>6.46017699115044</v>
      </c>
      <c r="F513" s="34"/>
    </row>
    <row r="514" spans="1:6">
      <c r="A514" s="31">
        <v>513</v>
      </c>
      <c r="B514" s="31" t="s">
        <v>687</v>
      </c>
      <c r="C514" s="31">
        <v>5.2</v>
      </c>
      <c r="D514" s="35">
        <f t="shared" si="9"/>
        <v>4.60176991150443</v>
      </c>
      <c r="F514" s="34"/>
    </row>
    <row r="515" spans="1:6">
      <c r="A515" s="31">
        <v>514</v>
      </c>
      <c r="B515" s="31" t="s">
        <v>688</v>
      </c>
      <c r="C515" s="31">
        <v>15</v>
      </c>
      <c r="D515" s="35">
        <f t="shared" si="9"/>
        <v>13.2743362831858</v>
      </c>
      <c r="F515" s="34"/>
    </row>
    <row r="516" spans="1:6">
      <c r="A516" s="31">
        <v>515</v>
      </c>
      <c r="B516" s="31" t="s">
        <v>689</v>
      </c>
      <c r="C516" s="31">
        <v>1.2</v>
      </c>
      <c r="D516" s="35">
        <f t="shared" si="9"/>
        <v>1.06194690265487</v>
      </c>
      <c r="F516" s="34"/>
    </row>
    <row r="517" spans="1:6">
      <c r="A517" s="31">
        <v>516</v>
      </c>
      <c r="B517" s="31" t="s">
        <v>690</v>
      </c>
      <c r="C517" s="31">
        <v>4.4</v>
      </c>
      <c r="D517" s="35">
        <f t="shared" si="9"/>
        <v>3.89380530973451</v>
      </c>
      <c r="F517" s="34"/>
    </row>
    <row r="518" spans="1:6">
      <c r="A518" s="31">
        <v>517</v>
      </c>
      <c r="B518" s="31" t="s">
        <v>691</v>
      </c>
      <c r="C518" s="31">
        <v>6.9</v>
      </c>
      <c r="D518" s="35">
        <f t="shared" si="9"/>
        <v>6.10619469026549</v>
      </c>
      <c r="F518" s="34"/>
    </row>
    <row r="519" spans="1:6">
      <c r="A519" s="31">
        <v>518</v>
      </c>
      <c r="B519" s="31" t="s">
        <v>692</v>
      </c>
      <c r="C519" s="31">
        <v>4.4</v>
      </c>
      <c r="D519" s="35">
        <f t="shared" si="9"/>
        <v>3.89380530973451</v>
      </c>
      <c r="F519" s="34"/>
    </row>
    <row r="520" spans="1:6">
      <c r="A520" s="31">
        <v>519</v>
      </c>
      <c r="B520" s="31" t="s">
        <v>693</v>
      </c>
      <c r="C520" s="31">
        <v>5.8</v>
      </c>
      <c r="D520" s="35">
        <f t="shared" si="9"/>
        <v>5.13274336283186</v>
      </c>
      <c r="F520" s="34"/>
    </row>
    <row r="521" spans="1:6">
      <c r="A521" s="31">
        <v>520</v>
      </c>
      <c r="B521" s="31" t="s">
        <v>694</v>
      </c>
      <c r="C521" s="31">
        <v>0.04</v>
      </c>
      <c r="D521" s="35">
        <f t="shared" si="9"/>
        <v>0.0353982300884956</v>
      </c>
      <c r="F521" s="34"/>
    </row>
    <row r="522" spans="1:6">
      <c r="A522" s="31">
        <v>521</v>
      </c>
      <c r="B522" s="31" t="s">
        <v>695</v>
      </c>
      <c r="C522" s="31">
        <v>0.1</v>
      </c>
      <c r="D522" s="35">
        <f t="shared" si="9"/>
        <v>0.088495575221239</v>
      </c>
      <c r="F522" s="34"/>
    </row>
    <row r="523" spans="1:6">
      <c r="A523" s="31">
        <v>522</v>
      </c>
      <c r="B523" s="31" t="s">
        <v>696</v>
      </c>
      <c r="C523" s="31">
        <v>0.19</v>
      </c>
      <c r="D523" s="35">
        <f t="shared" si="9"/>
        <v>0.168141592920354</v>
      </c>
      <c r="F523" s="34"/>
    </row>
    <row r="524" spans="1:6">
      <c r="A524" s="31">
        <v>523</v>
      </c>
      <c r="B524" s="31" t="s">
        <v>697</v>
      </c>
      <c r="C524" s="31">
        <v>0.052</v>
      </c>
      <c r="D524" s="35">
        <f t="shared" si="9"/>
        <v>0.0460176991150442</v>
      </c>
      <c r="F524" s="34"/>
    </row>
    <row r="525" spans="1:6">
      <c r="A525" s="31">
        <v>524</v>
      </c>
      <c r="B525" s="31" t="s">
        <v>698</v>
      </c>
      <c r="C525" s="31">
        <v>0.083</v>
      </c>
      <c r="D525" s="35">
        <f t="shared" si="9"/>
        <v>0.0734513274336283</v>
      </c>
      <c r="F525" s="34"/>
    </row>
    <row r="526" spans="1:6">
      <c r="A526" s="31">
        <v>525</v>
      </c>
      <c r="B526" s="31" t="s">
        <v>699</v>
      </c>
      <c r="C526" s="31">
        <v>0.0828</v>
      </c>
      <c r="D526" s="35">
        <f t="shared" si="9"/>
        <v>0.0732743362831858</v>
      </c>
      <c r="F526" s="34"/>
    </row>
    <row r="527" spans="1:6">
      <c r="A527" s="31">
        <v>526</v>
      </c>
      <c r="B527" s="31" t="s">
        <v>700</v>
      </c>
      <c r="C527" s="31">
        <v>0.096</v>
      </c>
      <c r="D527" s="35">
        <f t="shared" si="9"/>
        <v>0.0849557522123894</v>
      </c>
      <c r="F527" s="34"/>
    </row>
    <row r="528" spans="1:6">
      <c r="A528" s="31">
        <v>527</v>
      </c>
      <c r="B528" s="31" t="s">
        <v>701</v>
      </c>
      <c r="C528" s="31">
        <v>0.023</v>
      </c>
      <c r="D528" s="35">
        <f t="shared" si="9"/>
        <v>0.020353982300885</v>
      </c>
      <c r="F528" s="34"/>
    </row>
    <row r="529" spans="1:6">
      <c r="A529" s="31">
        <v>528</v>
      </c>
      <c r="B529" s="31" t="s">
        <v>702</v>
      </c>
      <c r="C529" s="31">
        <v>0.0179</v>
      </c>
      <c r="D529" s="35">
        <f t="shared" si="9"/>
        <v>0.0158407079646018</v>
      </c>
      <c r="F529" s="34"/>
    </row>
    <row r="530" spans="1:6">
      <c r="A530" s="31">
        <v>529</v>
      </c>
      <c r="B530" s="31" t="s">
        <v>703</v>
      </c>
      <c r="C530" s="31">
        <v>3.7</v>
      </c>
      <c r="D530" s="35">
        <f t="shared" si="9"/>
        <v>3.27433628318584</v>
      </c>
      <c r="F530" s="34"/>
    </row>
    <row r="531" spans="1:6">
      <c r="A531" s="31">
        <v>530</v>
      </c>
      <c r="B531" s="31" t="s">
        <v>704</v>
      </c>
      <c r="C531" s="31">
        <v>0.0015</v>
      </c>
      <c r="D531" s="35">
        <f t="shared" si="9"/>
        <v>0.00132743362831858</v>
      </c>
      <c r="F531" s="34"/>
    </row>
    <row r="532" spans="1:6">
      <c r="A532" s="31">
        <v>531</v>
      </c>
      <c r="B532" s="31" t="s">
        <v>705</v>
      </c>
      <c r="C532" s="31">
        <v>0.0015</v>
      </c>
      <c r="D532" s="35">
        <f t="shared" si="9"/>
        <v>0.00132743362831858</v>
      </c>
      <c r="F532" s="34"/>
    </row>
    <row r="533" spans="1:6">
      <c r="A533" s="31">
        <v>532</v>
      </c>
      <c r="B533" s="31" t="s">
        <v>706</v>
      </c>
      <c r="C533" s="31">
        <v>0.0179</v>
      </c>
      <c r="D533" s="35">
        <f t="shared" si="9"/>
        <v>0.0158407079646018</v>
      </c>
      <c r="F533" s="34"/>
    </row>
    <row r="534" spans="1:6">
      <c r="A534" s="31">
        <v>533</v>
      </c>
      <c r="B534" s="31" t="s">
        <v>707</v>
      </c>
      <c r="C534" s="31">
        <v>0.0106</v>
      </c>
      <c r="D534" s="35">
        <f t="shared" si="9"/>
        <v>0.00938053097345133</v>
      </c>
      <c r="F534" s="34"/>
    </row>
    <row r="535" spans="1:6">
      <c r="A535" s="31">
        <v>534</v>
      </c>
      <c r="B535" s="31" t="s">
        <v>708</v>
      </c>
      <c r="C535" s="31">
        <v>0.0104</v>
      </c>
      <c r="D535" s="35">
        <f t="shared" si="9"/>
        <v>0.00920353982300885</v>
      </c>
      <c r="F535" s="34"/>
    </row>
    <row r="536" spans="1:6">
      <c r="A536" s="31">
        <v>535</v>
      </c>
      <c r="B536" s="31" t="s">
        <v>709</v>
      </c>
      <c r="C536" s="31">
        <v>0.0109</v>
      </c>
      <c r="D536" s="35">
        <f t="shared" si="9"/>
        <v>0.00964601769911505</v>
      </c>
      <c r="F536" s="34"/>
    </row>
    <row r="537" spans="1:6">
      <c r="A537" s="31">
        <v>536</v>
      </c>
      <c r="B537" s="31" t="s">
        <v>710</v>
      </c>
      <c r="C537" s="31">
        <v>0.0104</v>
      </c>
      <c r="D537" s="35">
        <f t="shared" si="9"/>
        <v>0.00920353982300885</v>
      </c>
      <c r="F537" s="34"/>
    </row>
    <row r="538" spans="1:6">
      <c r="A538" s="31">
        <v>537</v>
      </c>
      <c r="B538" s="31" t="s">
        <v>711</v>
      </c>
      <c r="C538" s="31">
        <v>0.0104</v>
      </c>
      <c r="D538" s="35">
        <f t="shared" si="9"/>
        <v>0.00920353982300885</v>
      </c>
      <c r="F538" s="34"/>
    </row>
    <row r="539" spans="1:6">
      <c r="A539" s="31">
        <v>538</v>
      </c>
      <c r="B539" s="31" t="s">
        <v>712</v>
      </c>
      <c r="C539" s="31">
        <v>0.0104</v>
      </c>
      <c r="D539" s="35">
        <f t="shared" si="9"/>
        <v>0.00920353982300885</v>
      </c>
      <c r="F539" s="34"/>
    </row>
    <row r="540" spans="1:6">
      <c r="A540" s="31">
        <v>539</v>
      </c>
      <c r="B540" s="31" t="s">
        <v>713</v>
      </c>
      <c r="C540" s="31">
        <v>0.0015</v>
      </c>
      <c r="D540" s="35">
        <f t="shared" si="9"/>
        <v>0.00132743362831858</v>
      </c>
      <c r="F540" s="34"/>
    </row>
    <row r="541" spans="1:6">
      <c r="A541" s="31">
        <v>540</v>
      </c>
      <c r="B541" s="31" t="s">
        <v>714</v>
      </c>
      <c r="C541" s="31">
        <v>0.0104</v>
      </c>
      <c r="D541" s="35">
        <f t="shared" si="9"/>
        <v>0.00920353982300885</v>
      </c>
      <c r="F541" s="34"/>
    </row>
    <row r="542" spans="1:6">
      <c r="A542" s="31">
        <v>541</v>
      </c>
      <c r="B542" s="31" t="s">
        <v>715</v>
      </c>
      <c r="C542" s="31">
        <v>0.1667</v>
      </c>
      <c r="D542" s="35">
        <f t="shared" si="9"/>
        <v>0.147522123893805</v>
      </c>
      <c r="F542" s="34"/>
    </row>
    <row r="543" spans="1:6">
      <c r="A543" s="31">
        <v>542</v>
      </c>
      <c r="B543" s="31" t="s">
        <v>716</v>
      </c>
      <c r="C543" s="31">
        <v>0.1667</v>
      </c>
      <c r="D543" s="35">
        <f t="shared" si="9"/>
        <v>0.147522123893805</v>
      </c>
      <c r="F543" s="34"/>
    </row>
    <row r="544" spans="1:6">
      <c r="A544" s="31">
        <v>543</v>
      </c>
      <c r="B544" s="31" t="s">
        <v>717</v>
      </c>
      <c r="C544" s="31">
        <v>0.0106</v>
      </c>
      <c r="D544" s="35">
        <f t="shared" si="9"/>
        <v>0.00938053097345133</v>
      </c>
      <c r="F544" s="34"/>
    </row>
    <row r="545" spans="1:6">
      <c r="A545" s="31">
        <v>544</v>
      </c>
      <c r="B545" s="31" t="s">
        <v>718</v>
      </c>
      <c r="C545" s="31">
        <v>0.0104</v>
      </c>
      <c r="D545" s="35">
        <f t="shared" si="9"/>
        <v>0.00920353982300885</v>
      </c>
      <c r="F545" s="34"/>
    </row>
    <row r="546" spans="1:6">
      <c r="A546" s="31">
        <v>545</v>
      </c>
      <c r="B546" s="31" t="s">
        <v>719</v>
      </c>
      <c r="C546" s="31">
        <v>0.78</v>
      </c>
      <c r="D546" s="35">
        <f t="shared" si="9"/>
        <v>0.690265486725664</v>
      </c>
      <c r="F546" s="34"/>
    </row>
    <row r="547" spans="1:6">
      <c r="A547" s="31">
        <v>546</v>
      </c>
      <c r="B547" s="31" t="s">
        <v>720</v>
      </c>
      <c r="C547" s="31">
        <v>0.78</v>
      </c>
      <c r="D547" s="35">
        <f t="shared" si="9"/>
        <v>0.690265486725664</v>
      </c>
      <c r="F547" s="34"/>
    </row>
    <row r="548" spans="1:6">
      <c r="A548" s="31">
        <v>547</v>
      </c>
      <c r="B548" s="31" t="s">
        <v>721</v>
      </c>
      <c r="C548" s="31">
        <v>1.16</v>
      </c>
      <c r="D548" s="35">
        <f t="shared" si="9"/>
        <v>1.02654867256637</v>
      </c>
      <c r="F548" s="34"/>
    </row>
    <row r="549" spans="1:6">
      <c r="A549" s="31">
        <v>548</v>
      </c>
      <c r="B549" s="31" t="s">
        <v>722</v>
      </c>
      <c r="C549" s="31">
        <v>1.35</v>
      </c>
      <c r="D549" s="35">
        <f t="shared" si="9"/>
        <v>1.19469026548673</v>
      </c>
      <c r="F549" s="34"/>
    </row>
    <row r="550" spans="1:6">
      <c r="A550" s="31">
        <v>549</v>
      </c>
      <c r="B550" s="31" t="s">
        <v>723</v>
      </c>
      <c r="C550" s="31">
        <v>53.5</v>
      </c>
      <c r="D550" s="35">
        <f t="shared" ref="D550:D557" si="11">C550/1.13</f>
        <v>47.3451327433628</v>
      </c>
      <c r="F550" s="34"/>
    </row>
    <row r="551" spans="1:6">
      <c r="A551" s="31">
        <v>550</v>
      </c>
      <c r="B551" s="31" t="s">
        <v>724</v>
      </c>
      <c r="C551" s="31">
        <v>56.5</v>
      </c>
      <c r="D551" s="35">
        <f t="shared" si="11"/>
        <v>50</v>
      </c>
      <c r="F551" s="34"/>
    </row>
    <row r="552" spans="1:6">
      <c r="A552" s="31">
        <v>551</v>
      </c>
      <c r="B552" s="31" t="s">
        <v>725</v>
      </c>
      <c r="C552" s="31">
        <v>5</v>
      </c>
      <c r="D552" s="35">
        <f t="shared" si="11"/>
        <v>4.42477876106195</v>
      </c>
      <c r="F552" s="34"/>
    </row>
    <row r="553" spans="1:6">
      <c r="A553" s="31">
        <v>552</v>
      </c>
      <c r="B553" s="31" t="s">
        <v>726</v>
      </c>
      <c r="C553" s="31">
        <v>366</v>
      </c>
      <c r="D553" s="35">
        <f t="shared" si="11"/>
        <v>323.893805309735</v>
      </c>
      <c r="F553" s="34"/>
    </row>
    <row r="554" spans="1:6">
      <c r="A554" s="31">
        <v>553</v>
      </c>
      <c r="B554" s="31" t="s">
        <v>727</v>
      </c>
      <c r="C554" s="31">
        <v>94.2</v>
      </c>
      <c r="D554" s="35">
        <f t="shared" si="11"/>
        <v>83.3628318584071</v>
      </c>
      <c r="F554" s="34"/>
    </row>
    <row r="555" spans="1:6">
      <c r="A555" s="31">
        <v>554</v>
      </c>
      <c r="B555" s="31" t="s">
        <v>728</v>
      </c>
      <c r="C555" s="31">
        <v>11.1</v>
      </c>
      <c r="D555" s="35">
        <f t="shared" si="11"/>
        <v>9.82300884955752</v>
      </c>
      <c r="F555" s="34"/>
    </row>
    <row r="556" spans="1:6">
      <c r="A556" s="31">
        <v>555</v>
      </c>
      <c r="B556" s="31" t="s">
        <v>729</v>
      </c>
      <c r="C556" s="31">
        <v>12.18</v>
      </c>
      <c r="D556" s="35">
        <f t="shared" si="11"/>
        <v>10.7787610619469</v>
      </c>
      <c r="F556" s="34"/>
    </row>
    <row r="557" spans="1:6">
      <c r="A557" s="31">
        <v>556</v>
      </c>
      <c r="B557" s="31" t="s">
        <v>730</v>
      </c>
      <c r="C557" s="31">
        <v>9</v>
      </c>
      <c r="D557" s="35">
        <f t="shared" si="11"/>
        <v>7.96460176991151</v>
      </c>
      <c r="F557" s="34"/>
    </row>
    <row r="558" spans="1:6">
      <c r="A558" s="31">
        <v>557</v>
      </c>
      <c r="B558" s="39" t="s">
        <v>731</v>
      </c>
      <c r="C558" s="40">
        <v>460</v>
      </c>
      <c r="D558" s="35">
        <f t="shared" ref="D558:D590" si="12">C558/1.13</f>
        <v>407.079646017699</v>
      </c>
      <c r="F558" s="34"/>
    </row>
    <row r="559" spans="1:6">
      <c r="A559" s="31">
        <v>558</v>
      </c>
      <c r="B559" s="39" t="s">
        <v>732</v>
      </c>
      <c r="C559" s="40">
        <v>750</v>
      </c>
      <c r="D559" s="35">
        <f t="shared" si="12"/>
        <v>663.716814159292</v>
      </c>
      <c r="F559" s="34"/>
    </row>
    <row r="560" spans="1:6">
      <c r="A560" s="31">
        <v>559</v>
      </c>
      <c r="B560" s="39" t="s">
        <v>733</v>
      </c>
      <c r="C560" s="40">
        <v>330</v>
      </c>
      <c r="D560" s="35">
        <f t="shared" si="12"/>
        <v>292.035398230089</v>
      </c>
      <c r="F560" s="34"/>
    </row>
    <row r="561" spans="1:6">
      <c r="A561" s="31">
        <v>560</v>
      </c>
      <c r="B561" s="39" t="s">
        <v>734</v>
      </c>
      <c r="C561" s="40">
        <v>12.5</v>
      </c>
      <c r="D561" s="35">
        <f t="shared" si="12"/>
        <v>11.0619469026549</v>
      </c>
      <c r="F561" s="34"/>
    </row>
    <row r="562" spans="1:6">
      <c r="A562" s="31">
        <v>561</v>
      </c>
      <c r="B562" s="39" t="s">
        <v>735</v>
      </c>
      <c r="C562" s="40">
        <v>12.5</v>
      </c>
      <c r="D562" s="35">
        <f t="shared" si="12"/>
        <v>11.0619469026549</v>
      </c>
      <c r="F562" s="34"/>
    </row>
    <row r="563" spans="1:6">
      <c r="A563" s="31">
        <v>562</v>
      </c>
      <c r="B563" s="39" t="s">
        <v>736</v>
      </c>
      <c r="C563" s="40">
        <v>0.24</v>
      </c>
      <c r="D563" s="35">
        <f t="shared" si="12"/>
        <v>0.212389380530973</v>
      </c>
      <c r="F563" s="34"/>
    </row>
    <row r="564" spans="1:6">
      <c r="A564" s="31">
        <v>563</v>
      </c>
      <c r="B564" s="39" t="s">
        <v>737</v>
      </c>
      <c r="C564" s="40">
        <v>0.245</v>
      </c>
      <c r="D564" s="35">
        <f t="shared" si="12"/>
        <v>0.216814159292035</v>
      </c>
      <c r="F564" s="34"/>
    </row>
    <row r="565" spans="1:6">
      <c r="A565" s="31">
        <v>564</v>
      </c>
      <c r="B565" s="39" t="s">
        <v>738</v>
      </c>
      <c r="C565" s="40">
        <v>0.245</v>
      </c>
      <c r="D565" s="35">
        <f t="shared" si="12"/>
        <v>0.216814159292035</v>
      </c>
      <c r="F565" s="34"/>
    </row>
    <row r="566" spans="1:6">
      <c r="A566" s="31">
        <v>565</v>
      </c>
      <c r="B566" s="39" t="s">
        <v>739</v>
      </c>
      <c r="C566" s="40">
        <v>0.25</v>
      </c>
      <c r="D566" s="35">
        <f t="shared" si="12"/>
        <v>0.221238938053097</v>
      </c>
      <c r="F566" s="34"/>
    </row>
    <row r="567" spans="1:6">
      <c r="A567" s="31">
        <v>566</v>
      </c>
      <c r="B567" s="39" t="s">
        <v>740</v>
      </c>
      <c r="C567" s="40">
        <v>0.25</v>
      </c>
      <c r="D567" s="35">
        <f t="shared" si="12"/>
        <v>0.221238938053097</v>
      </c>
      <c r="F567" s="34"/>
    </row>
    <row r="568" spans="1:6">
      <c r="A568" s="31">
        <v>567</v>
      </c>
      <c r="B568" s="39" t="s">
        <v>741</v>
      </c>
      <c r="C568" s="40">
        <v>1.1</v>
      </c>
      <c r="D568" s="35">
        <f t="shared" si="12"/>
        <v>0.973451327433628</v>
      </c>
      <c r="F568" s="34"/>
    </row>
    <row r="569" spans="1:6">
      <c r="A569" s="31">
        <v>568</v>
      </c>
      <c r="B569" s="39" t="s">
        <v>742</v>
      </c>
      <c r="C569" s="40">
        <v>0.45</v>
      </c>
      <c r="D569" s="35">
        <f t="shared" si="12"/>
        <v>0.398230088495575</v>
      </c>
      <c r="F569" s="34">
        <f>0.162/1.13</f>
        <v>0.143362831858407</v>
      </c>
    </row>
    <row r="570" spans="1:6">
      <c r="A570" s="31">
        <v>569</v>
      </c>
      <c r="B570" s="39" t="s">
        <v>743</v>
      </c>
      <c r="C570" s="40">
        <v>0.45</v>
      </c>
      <c r="D570" s="35">
        <f t="shared" si="12"/>
        <v>0.398230088495575</v>
      </c>
      <c r="F570" s="34"/>
    </row>
    <row r="571" spans="1:6">
      <c r="A571" s="31">
        <v>570</v>
      </c>
      <c r="B571" s="39" t="s">
        <v>744</v>
      </c>
      <c r="C571" s="40">
        <v>2.2</v>
      </c>
      <c r="D571" s="35">
        <f t="shared" si="12"/>
        <v>1.94690265486726</v>
      </c>
      <c r="F571" s="34"/>
    </row>
    <row r="572" spans="1:6">
      <c r="A572" s="31">
        <v>571</v>
      </c>
      <c r="B572" s="39" t="s">
        <v>745</v>
      </c>
      <c r="C572" s="40">
        <v>14</v>
      </c>
      <c r="D572" s="35">
        <f t="shared" si="12"/>
        <v>12.3893805309735</v>
      </c>
      <c r="F572" s="34"/>
    </row>
    <row r="573" spans="1:6">
      <c r="A573" s="31">
        <v>572</v>
      </c>
      <c r="B573" s="39" t="s">
        <v>746</v>
      </c>
      <c r="C573" s="40">
        <v>32</v>
      </c>
      <c r="D573" s="35">
        <f t="shared" si="12"/>
        <v>28.3185840707965</v>
      </c>
      <c r="F573" s="34"/>
    </row>
    <row r="574" spans="1:6">
      <c r="A574" s="31">
        <v>573</v>
      </c>
      <c r="B574" s="39" t="s">
        <v>17</v>
      </c>
      <c r="C574" s="40">
        <v>0.035</v>
      </c>
      <c r="D574" s="35">
        <f t="shared" si="12"/>
        <v>0.0309734513274336</v>
      </c>
      <c r="F574" s="34"/>
    </row>
    <row r="575" spans="1:4">
      <c r="A575" s="31">
        <v>574</v>
      </c>
      <c r="B575" s="39" t="s">
        <v>747</v>
      </c>
      <c r="C575" s="40">
        <v>0.037</v>
      </c>
      <c r="D575" s="35">
        <f t="shared" si="12"/>
        <v>0.0327433628318584</v>
      </c>
    </row>
    <row r="576" spans="1:4">
      <c r="A576" s="31">
        <v>575</v>
      </c>
      <c r="B576" s="39" t="s">
        <v>748</v>
      </c>
      <c r="C576" s="40">
        <v>0.037</v>
      </c>
      <c r="D576" s="35">
        <f t="shared" si="12"/>
        <v>0.0327433628318584</v>
      </c>
    </row>
    <row r="577" spans="1:4">
      <c r="A577" s="31">
        <v>576</v>
      </c>
      <c r="B577" s="39" t="s">
        <v>749</v>
      </c>
      <c r="C577" s="40">
        <v>0.06</v>
      </c>
      <c r="D577" s="35">
        <f t="shared" si="12"/>
        <v>0.0530973451327434</v>
      </c>
    </row>
    <row r="578" spans="1:4">
      <c r="A578" s="31">
        <v>577</v>
      </c>
      <c r="B578" s="39" t="s">
        <v>24</v>
      </c>
      <c r="C578" s="40">
        <v>0.26</v>
      </c>
      <c r="D578" s="35">
        <f t="shared" si="12"/>
        <v>0.230088495575221</v>
      </c>
    </row>
    <row r="579" spans="1:4">
      <c r="A579" s="31">
        <v>578</v>
      </c>
      <c r="B579" s="39" t="s">
        <v>21</v>
      </c>
      <c r="C579" s="40">
        <v>0.26</v>
      </c>
      <c r="D579" s="35">
        <f t="shared" si="12"/>
        <v>0.230088495575221</v>
      </c>
    </row>
    <row r="580" spans="1:4">
      <c r="A580" s="31">
        <v>579</v>
      </c>
      <c r="B580" s="39" t="s">
        <v>750</v>
      </c>
      <c r="C580" s="40">
        <v>0.36</v>
      </c>
      <c r="D580" s="35">
        <f t="shared" si="12"/>
        <v>0.31858407079646</v>
      </c>
    </row>
    <row r="581" spans="1:4">
      <c r="A581" s="31">
        <v>580</v>
      </c>
      <c r="B581" s="39" t="s">
        <v>112</v>
      </c>
      <c r="C581" s="40">
        <v>0.52</v>
      </c>
      <c r="D581" s="35">
        <f t="shared" si="12"/>
        <v>0.460176991150443</v>
      </c>
    </row>
    <row r="582" spans="1:4">
      <c r="A582" s="31">
        <v>581</v>
      </c>
      <c r="B582" s="39" t="s">
        <v>751</v>
      </c>
      <c r="C582" s="40">
        <v>0.76</v>
      </c>
      <c r="D582" s="35">
        <f t="shared" si="12"/>
        <v>0.672566371681416</v>
      </c>
    </row>
    <row r="583" spans="1:6">
      <c r="A583" s="31">
        <v>582</v>
      </c>
      <c r="B583" s="39" t="s">
        <v>752</v>
      </c>
      <c r="C583" s="40">
        <v>0.12</v>
      </c>
      <c r="D583" s="35">
        <f t="shared" si="12"/>
        <v>0.106194690265487</v>
      </c>
      <c r="F583" s="33">
        <f>0.125/1.13</f>
        <v>0.110619469026549</v>
      </c>
    </row>
    <row r="584" spans="1:4">
      <c r="A584" s="31">
        <v>583</v>
      </c>
      <c r="B584" s="39" t="s">
        <v>31</v>
      </c>
      <c r="C584" s="40">
        <v>0.125</v>
      </c>
      <c r="D584" s="35">
        <f t="shared" si="12"/>
        <v>0.110619469026549</v>
      </c>
    </row>
    <row r="585" spans="1:4">
      <c r="A585" s="31">
        <v>584</v>
      </c>
      <c r="B585" s="39" t="s">
        <v>753</v>
      </c>
      <c r="C585" s="40">
        <v>1.5</v>
      </c>
      <c r="D585" s="35">
        <f t="shared" si="12"/>
        <v>1.32743362831858</v>
      </c>
    </row>
    <row r="586" spans="1:4">
      <c r="A586" s="31">
        <v>584</v>
      </c>
      <c r="B586" s="39" t="s">
        <v>754</v>
      </c>
      <c r="C586" s="40">
        <v>0.125</v>
      </c>
      <c r="D586" s="35">
        <f t="shared" si="12"/>
        <v>0.110619469026549</v>
      </c>
    </row>
    <row r="587" spans="1:4">
      <c r="A587" s="31">
        <v>585</v>
      </c>
      <c r="B587" s="39" t="s">
        <v>755</v>
      </c>
      <c r="C587" s="40">
        <v>0.125</v>
      </c>
      <c r="D587" s="35">
        <f t="shared" si="12"/>
        <v>0.110619469026549</v>
      </c>
    </row>
    <row r="588" spans="1:4">
      <c r="A588" s="31">
        <v>586</v>
      </c>
      <c r="B588" s="39" t="s">
        <v>756</v>
      </c>
      <c r="C588" s="40">
        <v>0.135</v>
      </c>
      <c r="D588" s="35">
        <f t="shared" si="12"/>
        <v>0.119469026548673</v>
      </c>
    </row>
    <row r="589" spans="1:4">
      <c r="A589" s="31">
        <v>587</v>
      </c>
      <c r="B589" s="39" t="s">
        <v>757</v>
      </c>
      <c r="C589" s="40">
        <v>0.6</v>
      </c>
      <c r="D589" s="35">
        <f t="shared" si="12"/>
        <v>0.530973451327434</v>
      </c>
    </row>
    <row r="590" spans="1:4">
      <c r="A590" s="31">
        <v>588</v>
      </c>
      <c r="B590" s="39" t="s">
        <v>758</v>
      </c>
      <c r="C590" s="40">
        <v>0.57</v>
      </c>
      <c r="D590" s="35">
        <f t="shared" si="12"/>
        <v>0.504424778761062</v>
      </c>
    </row>
    <row r="591" spans="1:4">
      <c r="A591" s="31">
        <v>589</v>
      </c>
      <c r="B591" s="39" t="s">
        <v>33</v>
      </c>
      <c r="C591" s="40">
        <v>0.38</v>
      </c>
      <c r="D591" s="35">
        <f t="shared" ref="D591:D626" si="13">C591/1.13</f>
        <v>0.336283185840708</v>
      </c>
    </row>
    <row r="592" spans="1:4">
      <c r="A592" s="31">
        <v>590</v>
      </c>
      <c r="B592" s="39" t="s">
        <v>759</v>
      </c>
      <c r="C592" s="40">
        <v>0.6</v>
      </c>
      <c r="D592" s="35">
        <f t="shared" si="13"/>
        <v>0.530973451327434</v>
      </c>
    </row>
    <row r="593" spans="1:4">
      <c r="A593" s="31">
        <v>591</v>
      </c>
      <c r="B593" s="39" t="s">
        <v>760</v>
      </c>
      <c r="C593" s="40">
        <v>0.8</v>
      </c>
      <c r="D593" s="35">
        <f t="shared" si="13"/>
        <v>0.707964601769912</v>
      </c>
    </row>
    <row r="594" spans="1:4">
      <c r="A594" s="31">
        <v>592</v>
      </c>
      <c r="B594" s="39" t="s">
        <v>27</v>
      </c>
      <c r="C594" s="40">
        <v>1.14</v>
      </c>
      <c r="D594" s="35">
        <f t="shared" si="13"/>
        <v>1.00884955752212</v>
      </c>
    </row>
    <row r="595" spans="1:4">
      <c r="A595" s="31">
        <v>593</v>
      </c>
      <c r="B595" s="39" t="s">
        <v>761</v>
      </c>
      <c r="C595" s="40">
        <v>1.2</v>
      </c>
      <c r="D595" s="35">
        <f t="shared" si="13"/>
        <v>1.06194690265487</v>
      </c>
    </row>
    <row r="596" spans="1:4">
      <c r="A596" s="31">
        <v>594</v>
      </c>
      <c r="B596" s="39" t="s">
        <v>762</v>
      </c>
      <c r="C596" s="40">
        <v>8</v>
      </c>
      <c r="D596" s="35">
        <f t="shared" si="13"/>
        <v>7.07964601769912</v>
      </c>
    </row>
    <row r="597" spans="1:4">
      <c r="A597" s="31">
        <v>595</v>
      </c>
      <c r="B597" s="39" t="s">
        <v>763</v>
      </c>
      <c r="C597" s="40">
        <v>36</v>
      </c>
      <c r="D597" s="35">
        <f t="shared" si="13"/>
        <v>31.858407079646</v>
      </c>
    </row>
    <row r="598" spans="1:4">
      <c r="A598" s="31">
        <v>596</v>
      </c>
      <c r="B598" s="39" t="s">
        <v>764</v>
      </c>
      <c r="C598" s="40">
        <v>0.12</v>
      </c>
      <c r="D598" s="35">
        <f t="shared" si="13"/>
        <v>0.106194690265487</v>
      </c>
    </row>
    <row r="599" spans="1:4">
      <c r="A599" s="31">
        <v>597</v>
      </c>
      <c r="B599" s="39" t="s">
        <v>765</v>
      </c>
      <c r="C599" s="40">
        <v>0.32</v>
      </c>
      <c r="D599" s="35">
        <f t="shared" si="13"/>
        <v>0.283185840707965</v>
      </c>
    </row>
    <row r="600" spans="1:4">
      <c r="A600" s="31">
        <v>598</v>
      </c>
      <c r="B600" s="39" t="s">
        <v>766</v>
      </c>
      <c r="C600" s="40">
        <v>0.038</v>
      </c>
      <c r="D600" s="35">
        <f t="shared" si="13"/>
        <v>0.0336283185840708</v>
      </c>
    </row>
    <row r="601" spans="1:4">
      <c r="A601" s="31">
        <v>599</v>
      </c>
      <c r="B601" s="39" t="s">
        <v>767</v>
      </c>
      <c r="C601" s="40">
        <v>0.045</v>
      </c>
      <c r="D601" s="35">
        <f t="shared" si="13"/>
        <v>0.0398230088495575</v>
      </c>
    </row>
    <row r="602" spans="1:4">
      <c r="A602" s="31">
        <v>600</v>
      </c>
      <c r="B602" s="39" t="s">
        <v>768</v>
      </c>
      <c r="C602" s="40">
        <v>0.045</v>
      </c>
      <c r="D602" s="35">
        <f t="shared" si="13"/>
        <v>0.0398230088495575</v>
      </c>
    </row>
    <row r="603" spans="1:4">
      <c r="A603" s="31">
        <v>601</v>
      </c>
      <c r="B603" s="39" t="s">
        <v>769</v>
      </c>
      <c r="C603" s="40">
        <v>0.045</v>
      </c>
      <c r="D603" s="35">
        <f t="shared" si="13"/>
        <v>0.0398230088495575</v>
      </c>
    </row>
    <row r="604" spans="1:4">
      <c r="A604" s="31">
        <v>602</v>
      </c>
      <c r="B604" s="39" t="s">
        <v>770</v>
      </c>
      <c r="C604" s="40">
        <v>0.045</v>
      </c>
      <c r="D604" s="35">
        <f t="shared" si="13"/>
        <v>0.0398230088495575</v>
      </c>
    </row>
    <row r="605" spans="1:4">
      <c r="A605" s="31">
        <v>603</v>
      </c>
      <c r="B605" s="39" t="s">
        <v>771</v>
      </c>
      <c r="C605" s="40">
        <v>0.055</v>
      </c>
      <c r="D605" s="35">
        <f t="shared" si="13"/>
        <v>0.0486725663716814</v>
      </c>
    </row>
    <row r="606" spans="1:4">
      <c r="A606" s="31">
        <v>604</v>
      </c>
      <c r="B606" s="39" t="s">
        <v>772</v>
      </c>
      <c r="C606" s="40">
        <v>0.058</v>
      </c>
      <c r="D606" s="35">
        <f t="shared" si="13"/>
        <v>0.0513274336283186</v>
      </c>
    </row>
    <row r="607" spans="1:4">
      <c r="A607" s="31">
        <v>605</v>
      </c>
      <c r="B607" s="39" t="s">
        <v>773</v>
      </c>
      <c r="C607" s="40">
        <v>0.058</v>
      </c>
      <c r="D607" s="35">
        <f t="shared" si="13"/>
        <v>0.0513274336283186</v>
      </c>
    </row>
    <row r="608" spans="1:4">
      <c r="A608" s="31">
        <v>606</v>
      </c>
      <c r="B608" s="39" t="s">
        <v>774</v>
      </c>
      <c r="C608" s="40">
        <v>0.033</v>
      </c>
      <c r="D608" s="35">
        <f t="shared" si="13"/>
        <v>0.0292035398230089</v>
      </c>
    </row>
    <row r="609" spans="1:4">
      <c r="A609" s="31">
        <v>607</v>
      </c>
      <c r="B609" s="39" t="s">
        <v>775</v>
      </c>
      <c r="C609" s="40">
        <v>0.24</v>
      </c>
      <c r="D609" s="35">
        <f t="shared" si="13"/>
        <v>0.212389380530973</v>
      </c>
    </row>
    <row r="610" spans="1:4">
      <c r="A610" s="31">
        <v>608</v>
      </c>
      <c r="B610" s="39" t="s">
        <v>776</v>
      </c>
      <c r="C610" s="40">
        <v>0.246</v>
      </c>
      <c r="D610" s="35">
        <f t="shared" si="13"/>
        <v>0.217699115044248</v>
      </c>
    </row>
    <row r="611" spans="1:4">
      <c r="A611" s="31">
        <v>609</v>
      </c>
      <c r="B611" s="39" t="s">
        <v>777</v>
      </c>
      <c r="C611" s="40">
        <v>0.25</v>
      </c>
      <c r="D611" s="35">
        <f t="shared" si="13"/>
        <v>0.221238938053097</v>
      </c>
    </row>
    <row r="612" spans="1:4">
      <c r="A612" s="31">
        <v>610</v>
      </c>
      <c r="B612" s="39" t="s">
        <v>778</v>
      </c>
      <c r="C612" s="40">
        <v>0.25</v>
      </c>
      <c r="D612" s="35">
        <f t="shared" si="13"/>
        <v>0.221238938053097</v>
      </c>
    </row>
    <row r="613" spans="1:4">
      <c r="A613" s="31">
        <v>611</v>
      </c>
      <c r="B613" s="39" t="s">
        <v>779</v>
      </c>
      <c r="C613" s="40">
        <v>0.25</v>
      </c>
      <c r="D613" s="35">
        <f t="shared" si="13"/>
        <v>0.221238938053097</v>
      </c>
    </row>
    <row r="614" spans="1:4">
      <c r="A614" s="31">
        <v>612</v>
      </c>
      <c r="B614" s="39" t="s">
        <v>780</v>
      </c>
      <c r="C614" s="40">
        <v>0.4238</v>
      </c>
      <c r="D614" s="35">
        <f t="shared" si="13"/>
        <v>0.375044247787611</v>
      </c>
    </row>
    <row r="615" spans="1:4">
      <c r="A615" s="31">
        <v>613</v>
      </c>
      <c r="B615" s="39" t="s">
        <v>781</v>
      </c>
      <c r="C615" s="40">
        <v>0.375</v>
      </c>
      <c r="D615" s="35">
        <f t="shared" si="13"/>
        <v>0.331858407079646</v>
      </c>
    </row>
    <row r="616" spans="1:4">
      <c r="A616" s="31">
        <v>614</v>
      </c>
      <c r="B616" s="39" t="s">
        <v>782</v>
      </c>
      <c r="C616" s="40">
        <v>0.48</v>
      </c>
      <c r="D616" s="35">
        <f t="shared" si="13"/>
        <v>0.424778761061947</v>
      </c>
    </row>
    <row r="617" spans="1:4">
      <c r="A617" s="31">
        <v>615</v>
      </c>
      <c r="B617" s="39" t="s">
        <v>783</v>
      </c>
      <c r="C617" s="40">
        <v>0.5</v>
      </c>
      <c r="D617" s="35">
        <f t="shared" si="13"/>
        <v>0.442477876106195</v>
      </c>
    </row>
    <row r="618" spans="1:4">
      <c r="A618" s="31">
        <v>616</v>
      </c>
      <c r="B618" s="39" t="s">
        <v>784</v>
      </c>
      <c r="C618" s="40">
        <v>0.5</v>
      </c>
      <c r="D618" s="35">
        <f t="shared" si="13"/>
        <v>0.442477876106195</v>
      </c>
    </row>
    <row r="619" spans="1:4">
      <c r="A619" s="31">
        <v>617</v>
      </c>
      <c r="B619" s="39" t="s">
        <v>785</v>
      </c>
      <c r="C619" s="40">
        <v>0.7</v>
      </c>
      <c r="D619" s="35">
        <f t="shared" si="13"/>
        <v>0.619469026548673</v>
      </c>
    </row>
    <row r="620" spans="1:4">
      <c r="A620" s="31">
        <v>618</v>
      </c>
      <c r="B620" s="39" t="s">
        <v>786</v>
      </c>
      <c r="C620" s="40">
        <v>0.25</v>
      </c>
      <c r="D620" s="35">
        <f t="shared" si="13"/>
        <v>0.221238938053097</v>
      </c>
    </row>
    <row r="621" spans="1:4">
      <c r="A621" s="31">
        <v>619</v>
      </c>
      <c r="B621" s="39" t="s">
        <v>787</v>
      </c>
      <c r="C621" s="40">
        <v>0.69</v>
      </c>
      <c r="D621" s="35">
        <f t="shared" si="13"/>
        <v>0.610619469026549</v>
      </c>
    </row>
    <row r="622" spans="1:4">
      <c r="A622" s="31">
        <v>620</v>
      </c>
      <c r="B622" s="39" t="s">
        <v>788</v>
      </c>
      <c r="C622" s="40">
        <v>0.27</v>
      </c>
      <c r="D622" s="35">
        <f t="shared" si="13"/>
        <v>0.238938053097345</v>
      </c>
    </row>
    <row r="623" spans="1:4">
      <c r="A623" s="31">
        <v>621</v>
      </c>
      <c r="B623" s="39" t="s">
        <v>789</v>
      </c>
      <c r="C623" s="40">
        <v>0.54</v>
      </c>
      <c r="D623" s="35">
        <f t="shared" si="13"/>
        <v>0.47787610619469</v>
      </c>
    </row>
    <row r="624" spans="1:4">
      <c r="A624" s="31">
        <v>622</v>
      </c>
      <c r="B624" s="39" t="s">
        <v>790</v>
      </c>
      <c r="C624" s="40">
        <v>0.07</v>
      </c>
      <c r="D624" s="35">
        <f t="shared" si="13"/>
        <v>0.0619469026548673</v>
      </c>
    </row>
    <row r="625" spans="1:4">
      <c r="A625" s="31">
        <v>623</v>
      </c>
      <c r="B625" s="39" t="s">
        <v>791</v>
      </c>
      <c r="C625" s="40">
        <v>0.7</v>
      </c>
      <c r="D625" s="35">
        <f t="shared" si="13"/>
        <v>0.619469026548673</v>
      </c>
    </row>
    <row r="626" spans="1:4">
      <c r="A626" s="31">
        <v>624</v>
      </c>
      <c r="B626" s="39" t="s">
        <v>792</v>
      </c>
      <c r="C626" s="40">
        <v>1.5</v>
      </c>
      <c r="D626" s="35">
        <f t="shared" si="13"/>
        <v>1.32743362831858</v>
      </c>
    </row>
    <row r="627" spans="2:4">
      <c r="B627" s="41" t="s">
        <v>793</v>
      </c>
      <c r="C627" s="41">
        <v>0.042</v>
      </c>
      <c r="D627" s="42">
        <f t="shared" ref="D627:D656" si="14">C627/1.13</f>
        <v>0.0371681415929204</v>
      </c>
    </row>
    <row r="628" spans="2:4">
      <c r="B628" s="41" t="s">
        <v>794</v>
      </c>
      <c r="C628" s="41">
        <v>0.038</v>
      </c>
      <c r="D628" s="42">
        <f t="shared" si="14"/>
        <v>0.0336283185840708</v>
      </c>
    </row>
    <row r="629" spans="2:4">
      <c r="B629" s="41" t="s">
        <v>795</v>
      </c>
      <c r="C629" s="41">
        <v>0.042</v>
      </c>
      <c r="D629" s="42">
        <f t="shared" si="14"/>
        <v>0.0371681415929204</v>
      </c>
    </row>
    <row r="630" spans="2:4">
      <c r="B630" s="41" t="s">
        <v>796</v>
      </c>
      <c r="C630" s="41">
        <v>0.047</v>
      </c>
      <c r="D630" s="42">
        <f t="shared" si="14"/>
        <v>0.0415929203539823</v>
      </c>
    </row>
    <row r="631" spans="2:4">
      <c r="B631" s="41" t="s">
        <v>797</v>
      </c>
      <c r="C631" s="41">
        <v>0.044</v>
      </c>
      <c r="D631" s="42">
        <f t="shared" si="14"/>
        <v>0.0389380530973451</v>
      </c>
    </row>
    <row r="632" spans="2:4">
      <c r="B632" s="41" t="s">
        <v>798</v>
      </c>
      <c r="C632" s="41">
        <v>0.045</v>
      </c>
      <c r="D632" s="42">
        <f t="shared" si="14"/>
        <v>0.0398230088495575</v>
      </c>
    </row>
    <row r="633" spans="2:4">
      <c r="B633" s="41" t="s">
        <v>799</v>
      </c>
      <c r="C633" s="41">
        <v>0.06</v>
      </c>
      <c r="D633" s="42">
        <f t="shared" si="14"/>
        <v>0.0530973451327434</v>
      </c>
    </row>
    <row r="634" spans="2:4">
      <c r="B634" s="41" t="s">
        <v>800</v>
      </c>
      <c r="C634" s="41">
        <v>0.055</v>
      </c>
      <c r="D634" s="42">
        <f t="shared" si="14"/>
        <v>0.0486725663716814</v>
      </c>
    </row>
    <row r="635" spans="2:4">
      <c r="B635" s="41" t="s">
        <v>801</v>
      </c>
      <c r="C635" s="41">
        <v>0.13</v>
      </c>
      <c r="D635" s="42">
        <f t="shared" si="14"/>
        <v>0.115044247787611</v>
      </c>
    </row>
    <row r="636" spans="2:4">
      <c r="B636" s="41" t="s">
        <v>802</v>
      </c>
      <c r="C636" s="41">
        <v>0.135</v>
      </c>
      <c r="D636" s="42">
        <f t="shared" si="14"/>
        <v>0.119469026548673</v>
      </c>
    </row>
    <row r="637" spans="2:4">
      <c r="B637" s="41" t="s">
        <v>803</v>
      </c>
      <c r="C637" s="41">
        <v>0.26</v>
      </c>
      <c r="D637" s="42">
        <f t="shared" si="14"/>
        <v>0.230088495575221</v>
      </c>
    </row>
    <row r="638" spans="2:4">
      <c r="B638" s="41" t="s">
        <v>804</v>
      </c>
      <c r="C638" s="41">
        <v>0.25</v>
      </c>
      <c r="D638" s="42">
        <f t="shared" si="14"/>
        <v>0.221238938053097</v>
      </c>
    </row>
    <row r="639" spans="2:4">
      <c r="B639" s="41" t="s">
        <v>805</v>
      </c>
      <c r="C639" s="41">
        <v>0.246</v>
      </c>
      <c r="D639" s="42">
        <f t="shared" si="14"/>
        <v>0.217699115044248</v>
      </c>
    </row>
    <row r="640" spans="2:4">
      <c r="B640" s="41" t="s">
        <v>806</v>
      </c>
      <c r="C640" s="41">
        <v>0.36</v>
      </c>
      <c r="D640" s="42">
        <f t="shared" si="14"/>
        <v>0.31858407079646</v>
      </c>
    </row>
    <row r="641" spans="2:4">
      <c r="B641" s="41" t="s">
        <v>807</v>
      </c>
      <c r="C641" s="41">
        <v>0.4238</v>
      </c>
      <c r="D641" s="42">
        <f t="shared" si="14"/>
        <v>0.375044247787611</v>
      </c>
    </row>
    <row r="642" spans="2:4">
      <c r="B642" s="41" t="s">
        <v>808</v>
      </c>
      <c r="C642" s="41">
        <v>0.345</v>
      </c>
      <c r="D642" s="42">
        <f t="shared" si="14"/>
        <v>0.305309734513274</v>
      </c>
    </row>
    <row r="643" spans="2:4">
      <c r="B643" s="41" t="s">
        <v>809</v>
      </c>
      <c r="C643" s="41">
        <v>0.62</v>
      </c>
      <c r="D643" s="42">
        <f t="shared" si="14"/>
        <v>0.548672566371681</v>
      </c>
    </row>
    <row r="644" spans="2:4">
      <c r="B644" s="41" t="s">
        <v>810</v>
      </c>
      <c r="C644" s="41">
        <v>0.6</v>
      </c>
      <c r="D644" s="42">
        <f t="shared" si="14"/>
        <v>0.530973451327434</v>
      </c>
    </row>
    <row r="645" spans="2:4">
      <c r="B645" s="41" t="s">
        <v>811</v>
      </c>
      <c r="C645" s="41">
        <v>0.66</v>
      </c>
      <c r="D645" s="42">
        <f t="shared" si="14"/>
        <v>0.584070796460177</v>
      </c>
    </row>
    <row r="646" spans="2:4">
      <c r="B646" s="41" t="s">
        <v>812</v>
      </c>
      <c r="C646" s="41">
        <v>0.6</v>
      </c>
      <c r="D646" s="42">
        <f t="shared" si="14"/>
        <v>0.530973451327434</v>
      </c>
    </row>
    <row r="647" spans="2:4">
      <c r="B647" s="41" t="s">
        <v>813</v>
      </c>
      <c r="C647" s="41">
        <v>0.52</v>
      </c>
      <c r="D647" s="42">
        <f t="shared" si="14"/>
        <v>0.460176991150443</v>
      </c>
    </row>
    <row r="648" spans="2:4">
      <c r="B648" s="41" t="s">
        <v>814</v>
      </c>
      <c r="C648" s="41">
        <v>0.5</v>
      </c>
      <c r="D648" s="42">
        <f t="shared" si="14"/>
        <v>0.442477876106195</v>
      </c>
    </row>
    <row r="649" spans="2:4">
      <c r="B649" s="41" t="s">
        <v>815</v>
      </c>
      <c r="C649" s="41">
        <v>0.52</v>
      </c>
      <c r="D649" s="42">
        <f t="shared" si="14"/>
        <v>0.460176991150443</v>
      </c>
    </row>
    <row r="650" spans="2:4">
      <c r="B650" s="41" t="s">
        <v>816</v>
      </c>
      <c r="C650" s="41">
        <v>0.72</v>
      </c>
      <c r="D650" s="42">
        <f t="shared" si="14"/>
        <v>0.63716814159292</v>
      </c>
    </row>
    <row r="651" spans="2:4">
      <c r="B651" s="41" t="s">
        <v>817</v>
      </c>
      <c r="C651" s="41">
        <v>0.7</v>
      </c>
      <c r="D651" s="42">
        <f t="shared" si="14"/>
        <v>0.619469026548673</v>
      </c>
    </row>
    <row r="652" spans="2:4">
      <c r="B652" s="41" t="s">
        <v>818</v>
      </c>
      <c r="C652" s="41">
        <v>0.69</v>
      </c>
      <c r="D652" s="42">
        <f t="shared" si="14"/>
        <v>0.610619469026549</v>
      </c>
    </row>
    <row r="653" spans="2:4">
      <c r="B653" s="41" t="s">
        <v>819</v>
      </c>
      <c r="C653" s="41">
        <v>1.24</v>
      </c>
      <c r="D653" s="42">
        <f t="shared" si="14"/>
        <v>1.09734513274336</v>
      </c>
    </row>
    <row r="654" spans="2:4">
      <c r="B654" s="41" t="s">
        <v>820</v>
      </c>
      <c r="C654" s="41">
        <v>1.2</v>
      </c>
      <c r="D654" s="42">
        <f t="shared" si="14"/>
        <v>1.06194690265487</v>
      </c>
    </row>
    <row r="655" spans="2:4">
      <c r="B655" s="41" t="s">
        <v>821</v>
      </c>
      <c r="C655" s="41">
        <v>1.32</v>
      </c>
      <c r="D655" s="42">
        <f t="shared" si="14"/>
        <v>1.16814159292035</v>
      </c>
    </row>
    <row r="656" spans="2:4">
      <c r="B656" s="41" t="s">
        <v>822</v>
      </c>
      <c r="C656" s="41">
        <v>1.2</v>
      </c>
      <c r="D656" s="42">
        <f t="shared" si="14"/>
        <v>1.06194690265487</v>
      </c>
    </row>
  </sheetData>
  <autoFilter ref="A1:P656">
    <extLst/>
  </autoFilter>
  <conditionalFormatting sqref="B$1:B$1048576">
    <cfRule type="duplicateValues" dxfId="2" priority="1" stopIfTrue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115"/>
  <sheetViews>
    <sheetView workbookViewId="0">
      <pane ySplit="2" topLeftCell="A95" activePane="bottomLeft" state="frozen"/>
      <selection/>
      <selection pane="bottomLeft" activeCell="D84" sqref="D84"/>
    </sheetView>
  </sheetViews>
  <sheetFormatPr defaultColWidth="9" defaultRowHeight="14.4"/>
  <cols>
    <col min="1" max="1" width="39" style="3" customWidth="1"/>
    <col min="2" max="2" width="8.62962962962963" style="4" customWidth="1"/>
    <col min="3" max="3" width="8.62962962962963" style="5" customWidth="1"/>
    <col min="4" max="4" width="8.62962962962963" style="6" customWidth="1"/>
    <col min="5" max="5" width="8.62962962962963" style="7" customWidth="1"/>
    <col min="6" max="6" width="8.62962962962963" style="8" customWidth="1"/>
    <col min="7" max="13" width="8.62962962962963" style="9" customWidth="1"/>
    <col min="14" max="14" width="22.5" style="9" customWidth="1"/>
    <col min="15" max="16384" width="9" style="9"/>
  </cols>
  <sheetData>
    <row r="1" s="1" customFormat="1" ht="40.7" customHeight="1" spans="1:16">
      <c r="A1" s="10" t="s">
        <v>823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P1" s="1" t="s">
        <v>115</v>
      </c>
    </row>
    <row r="2" s="1" customFormat="1" ht="13.5" customHeight="1" spans="1:13">
      <c r="A2" s="12" t="s">
        <v>1</v>
      </c>
      <c r="B2" s="13" t="s">
        <v>824</v>
      </c>
      <c r="C2" s="13" t="s">
        <v>825</v>
      </c>
      <c r="D2" s="13" t="s">
        <v>826</v>
      </c>
      <c r="E2" s="13" t="s">
        <v>827</v>
      </c>
      <c r="F2" s="13" t="s">
        <v>828</v>
      </c>
      <c r="G2" s="13" t="s">
        <v>829</v>
      </c>
      <c r="H2" s="13" t="s">
        <v>830</v>
      </c>
      <c r="I2" s="13" t="s">
        <v>831</v>
      </c>
      <c r="J2" s="13" t="s">
        <v>832</v>
      </c>
      <c r="K2" s="13" t="s">
        <v>833</v>
      </c>
      <c r="L2" s="13" t="s">
        <v>834</v>
      </c>
      <c r="M2" s="13" t="s">
        <v>835</v>
      </c>
    </row>
    <row r="3" s="2" customFormat="1" ht="13.5" customHeight="1" spans="1:13">
      <c r="A3" s="14" t="s">
        <v>836</v>
      </c>
      <c r="B3" s="15">
        <v>1</v>
      </c>
      <c r="C3" s="15">
        <v>1</v>
      </c>
      <c r="D3" s="15">
        <v>1</v>
      </c>
      <c r="E3" s="15">
        <v>1.04</v>
      </c>
      <c r="F3" s="15">
        <v>1.14</v>
      </c>
      <c r="G3" s="15">
        <v>2.5</v>
      </c>
      <c r="H3" s="15">
        <v>1.4</v>
      </c>
      <c r="I3" s="15">
        <v>1.4</v>
      </c>
      <c r="J3" s="15">
        <v>1.4</v>
      </c>
      <c r="K3" s="15">
        <v>1.5</v>
      </c>
      <c r="L3" s="15">
        <v>1.6</v>
      </c>
      <c r="M3" s="15">
        <v>2.6</v>
      </c>
    </row>
    <row r="4" s="1" customFormat="1" ht="13.5" customHeight="1" spans="1:13">
      <c r="A4" s="16" t="s">
        <v>837</v>
      </c>
      <c r="B4" s="17">
        <v>1.2</v>
      </c>
      <c r="C4" s="17">
        <v>1.2</v>
      </c>
      <c r="D4" s="17">
        <v>1.2</v>
      </c>
      <c r="E4" s="17">
        <v>1.25</v>
      </c>
      <c r="F4" s="17">
        <v>1.4</v>
      </c>
      <c r="G4" s="17" t="s">
        <v>838</v>
      </c>
      <c r="H4" s="17">
        <v>1.7</v>
      </c>
      <c r="I4" s="17">
        <v>1.7</v>
      </c>
      <c r="J4" s="17">
        <v>1.7</v>
      </c>
      <c r="K4" s="17">
        <v>1.8</v>
      </c>
      <c r="L4" s="17">
        <v>1.9</v>
      </c>
      <c r="M4" s="17">
        <v>2.7</v>
      </c>
    </row>
    <row r="5" s="1" customFormat="1" ht="14.25" customHeight="1" spans="1:13">
      <c r="A5" s="18" t="s">
        <v>839</v>
      </c>
      <c r="B5" s="17">
        <v>0.095</v>
      </c>
      <c r="C5" s="17">
        <v>0.104</v>
      </c>
      <c r="D5" s="17">
        <v>0.13</v>
      </c>
      <c r="E5" s="17">
        <v>0.247</v>
      </c>
      <c r="F5" s="17">
        <v>0.39</v>
      </c>
      <c r="G5" s="17">
        <v>0.79</v>
      </c>
      <c r="H5" s="17">
        <v>0.19</v>
      </c>
      <c r="I5" s="17">
        <v>0.19</v>
      </c>
      <c r="J5" s="17">
        <v>0.24</v>
      </c>
      <c r="K5" s="17">
        <v>0.4</v>
      </c>
      <c r="L5" s="17">
        <v>0.7</v>
      </c>
      <c r="M5" s="17">
        <v>1.52</v>
      </c>
    </row>
    <row r="6" s="2" customFormat="1" ht="14.25" customHeight="1" spans="1:13">
      <c r="A6" s="19" t="s">
        <v>840</v>
      </c>
      <c r="B6" s="15">
        <v>0.095</v>
      </c>
      <c r="C6" s="15">
        <v>0.104</v>
      </c>
      <c r="D6" s="15">
        <v>0.133</v>
      </c>
      <c r="E6" s="15">
        <v>0.247</v>
      </c>
      <c r="F6" s="15">
        <v>0.39</v>
      </c>
      <c r="G6" s="15">
        <v>0.79</v>
      </c>
      <c r="H6" s="15">
        <v>0.19</v>
      </c>
      <c r="I6" s="15">
        <v>0.19</v>
      </c>
      <c r="J6" s="15">
        <v>0.24</v>
      </c>
      <c r="K6" s="15">
        <v>0.4</v>
      </c>
      <c r="L6" s="15">
        <v>0.7</v>
      </c>
      <c r="M6" s="15">
        <v>1.52</v>
      </c>
    </row>
    <row r="7" s="1" customFormat="1" ht="13.5" customHeight="1" spans="1:13">
      <c r="A7" s="18" t="s">
        <v>841</v>
      </c>
      <c r="B7" s="20">
        <v>0.5</v>
      </c>
      <c r="C7" s="20">
        <v>0.34</v>
      </c>
      <c r="D7" s="20">
        <v>0.5</v>
      </c>
      <c r="E7" s="21">
        <v>1.1</v>
      </c>
      <c r="F7" s="21">
        <v>1.5</v>
      </c>
      <c r="G7" s="20">
        <f>F7*2</f>
        <v>3</v>
      </c>
      <c r="H7" s="20">
        <v>0.5</v>
      </c>
      <c r="I7" s="20">
        <v>0.34</v>
      </c>
      <c r="J7" s="20">
        <v>0.5</v>
      </c>
      <c r="K7" s="21">
        <v>1.1</v>
      </c>
      <c r="L7" s="21">
        <v>1.5</v>
      </c>
      <c r="M7" s="20">
        <f>L7*2</f>
        <v>3</v>
      </c>
    </row>
    <row r="8" s="1" customFormat="1" ht="13.5" customHeight="1" spans="1:13">
      <c r="A8" s="18" t="s">
        <v>842</v>
      </c>
      <c r="B8" s="20">
        <v>0.25</v>
      </c>
      <c r="C8" s="20">
        <v>0.25</v>
      </c>
      <c r="D8" s="20">
        <v>0.25</v>
      </c>
      <c r="E8" s="20">
        <v>0.25</v>
      </c>
      <c r="F8" s="20">
        <v>0.25</v>
      </c>
      <c r="G8" s="20">
        <f>F8*2</f>
        <v>0.5</v>
      </c>
      <c r="H8" s="20">
        <v>0.5</v>
      </c>
      <c r="I8" s="20">
        <v>0.5</v>
      </c>
      <c r="J8" s="20">
        <v>0.5</v>
      </c>
      <c r="K8" s="20">
        <v>0.5</v>
      </c>
      <c r="L8" s="20">
        <v>0.5</v>
      </c>
      <c r="M8" s="20">
        <v>0.5</v>
      </c>
    </row>
    <row r="9" s="1" customFormat="1" ht="13.5" customHeight="1" spans="1:13">
      <c r="A9" s="18"/>
      <c r="B9" s="20">
        <f>B7+B8</f>
        <v>0.75</v>
      </c>
      <c r="C9" s="20">
        <f t="shared" ref="C9:M9" si="0">C7+C8</f>
        <v>0.59</v>
      </c>
      <c r="D9" s="20">
        <f t="shared" si="0"/>
        <v>0.75</v>
      </c>
      <c r="E9" s="20">
        <f t="shared" si="0"/>
        <v>1.35</v>
      </c>
      <c r="F9" s="20">
        <f t="shared" si="0"/>
        <v>1.75</v>
      </c>
      <c r="G9" s="20">
        <f t="shared" si="0"/>
        <v>3.5</v>
      </c>
      <c r="H9" s="20">
        <f t="shared" si="0"/>
        <v>1</v>
      </c>
      <c r="I9" s="20">
        <f t="shared" si="0"/>
        <v>0.84</v>
      </c>
      <c r="J9" s="20">
        <f t="shared" si="0"/>
        <v>1</v>
      </c>
      <c r="K9" s="20">
        <f t="shared" si="0"/>
        <v>1.6</v>
      </c>
      <c r="L9" s="20">
        <f t="shared" si="0"/>
        <v>2</v>
      </c>
      <c r="M9" s="20">
        <f t="shared" si="0"/>
        <v>3.5</v>
      </c>
    </row>
    <row r="10" s="1" customFormat="1" ht="13.5" customHeight="1" spans="1:13">
      <c r="A10" s="18" t="s">
        <v>843</v>
      </c>
      <c r="B10" s="20">
        <v>0.48</v>
      </c>
      <c r="C10" s="20">
        <v>0.34</v>
      </c>
      <c r="D10" s="20">
        <v>0.395</v>
      </c>
      <c r="E10" s="20">
        <v>0.41</v>
      </c>
      <c r="F10" s="20">
        <v>0.72</v>
      </c>
      <c r="G10" s="20">
        <f>F10*2</f>
        <v>1.44</v>
      </c>
      <c r="H10" s="20">
        <v>0.65</v>
      </c>
      <c r="I10" s="20">
        <f t="shared" ref="I10:M10" si="1">C10*2</f>
        <v>0.68</v>
      </c>
      <c r="J10" s="20">
        <f t="shared" si="1"/>
        <v>0.79</v>
      </c>
      <c r="K10" s="20">
        <f t="shared" si="1"/>
        <v>0.82</v>
      </c>
      <c r="L10" s="20">
        <f t="shared" si="1"/>
        <v>1.44</v>
      </c>
      <c r="M10" s="20">
        <f t="shared" si="1"/>
        <v>2.88</v>
      </c>
    </row>
    <row r="11" s="1" customFormat="1" ht="14.25" customHeight="1" spans="1:13">
      <c r="A11" s="16" t="s">
        <v>844</v>
      </c>
      <c r="B11" s="20">
        <v>0.2</v>
      </c>
      <c r="C11" s="20">
        <v>0.2</v>
      </c>
      <c r="D11" s="20">
        <v>0.2</v>
      </c>
      <c r="E11" s="20">
        <v>0.24</v>
      </c>
      <c r="F11" s="20">
        <v>0.26</v>
      </c>
      <c r="G11" s="20">
        <v>0.3</v>
      </c>
      <c r="H11" s="20">
        <v>0.2</v>
      </c>
      <c r="I11" s="20">
        <v>0.2</v>
      </c>
      <c r="J11" s="20">
        <v>0.2</v>
      </c>
      <c r="K11" s="20">
        <v>0.24</v>
      </c>
      <c r="L11" s="20">
        <v>0.26</v>
      </c>
      <c r="M11" s="20">
        <v>0.3</v>
      </c>
    </row>
    <row r="12" s="1" customFormat="1" ht="14.25" customHeight="1" spans="1:13">
      <c r="A12" s="16" t="s">
        <v>845</v>
      </c>
      <c r="B12" s="20">
        <v>0.15</v>
      </c>
      <c r="C12" s="20">
        <v>0.15</v>
      </c>
      <c r="D12" s="20">
        <v>0.15</v>
      </c>
      <c r="E12" s="20">
        <v>0.18</v>
      </c>
      <c r="F12" s="20">
        <v>0.18</v>
      </c>
      <c r="G12" s="20">
        <v>0.18</v>
      </c>
      <c r="H12" s="20">
        <v>0.15</v>
      </c>
      <c r="I12" s="20">
        <v>0.15</v>
      </c>
      <c r="J12" s="20">
        <v>0.15</v>
      </c>
      <c r="K12" s="20">
        <v>0.18</v>
      </c>
      <c r="L12" s="20">
        <v>0.18</v>
      </c>
      <c r="M12" s="20">
        <v>0.18</v>
      </c>
    </row>
    <row r="13" s="1" customFormat="1" ht="14.25" customHeight="1" spans="1:13">
      <c r="A13" s="16" t="s">
        <v>846</v>
      </c>
      <c r="B13" s="20">
        <v>0.22</v>
      </c>
      <c r="C13" s="20">
        <v>0.22</v>
      </c>
      <c r="D13" s="20">
        <v>0.22</v>
      </c>
      <c r="E13" s="20">
        <v>0.3088</v>
      </c>
      <c r="F13" s="20">
        <v>0.4532</v>
      </c>
      <c r="G13" s="20">
        <v>0.875</v>
      </c>
      <c r="H13" s="20">
        <v>0.22</v>
      </c>
      <c r="I13" s="20">
        <v>0.22</v>
      </c>
      <c r="J13" s="20">
        <v>0.22</v>
      </c>
      <c r="K13" s="20">
        <v>0.3183</v>
      </c>
      <c r="L13" s="20">
        <v>0.4722</v>
      </c>
      <c r="M13" s="20">
        <v>0.875</v>
      </c>
    </row>
    <row r="14" s="2" customFormat="1" ht="14.25" customHeight="1" spans="1:13">
      <c r="A14" s="14" t="s">
        <v>847</v>
      </c>
      <c r="B14" s="22">
        <v>0.22</v>
      </c>
      <c r="C14" s="22">
        <v>0.22</v>
      </c>
      <c r="D14" s="22">
        <v>0.22</v>
      </c>
      <c r="E14" s="22">
        <v>0.3396</v>
      </c>
      <c r="F14" s="22">
        <v>0.4985</v>
      </c>
      <c r="G14" s="22">
        <v>0.9624</v>
      </c>
      <c r="H14" s="22">
        <v>0.22</v>
      </c>
      <c r="I14" s="22">
        <v>0.22</v>
      </c>
      <c r="J14" s="22">
        <v>0.22</v>
      </c>
      <c r="K14" s="22">
        <v>0.3501</v>
      </c>
      <c r="L14" s="22">
        <v>0.5194</v>
      </c>
      <c r="M14" s="22">
        <v>0.9624</v>
      </c>
    </row>
    <row r="15" s="1" customFormat="1" ht="14.25" customHeight="1" spans="1:13">
      <c r="A15" s="16" t="s">
        <v>848</v>
      </c>
      <c r="B15" s="20">
        <v>0.25</v>
      </c>
      <c r="C15" s="20">
        <v>0.25</v>
      </c>
      <c r="D15" s="20">
        <v>0.25</v>
      </c>
      <c r="E15" s="20">
        <v>0.3</v>
      </c>
      <c r="F15" s="20">
        <v>0.35</v>
      </c>
      <c r="G15" s="20">
        <v>0.43</v>
      </c>
      <c r="H15" s="20">
        <v>0.25</v>
      </c>
      <c r="I15" s="20">
        <v>0.25</v>
      </c>
      <c r="J15" s="20">
        <v>0.25</v>
      </c>
      <c r="K15" s="20">
        <v>0.3</v>
      </c>
      <c r="L15" s="20">
        <v>0.35</v>
      </c>
      <c r="M15" s="20">
        <v>0.43</v>
      </c>
    </row>
    <row r="16" s="1" customFormat="1" ht="13.5" customHeight="1" spans="1:13">
      <c r="A16" s="16" t="s">
        <v>849</v>
      </c>
      <c r="B16" s="20">
        <v>0.07</v>
      </c>
      <c r="C16" s="20">
        <v>0.09</v>
      </c>
      <c r="D16" s="20">
        <v>0.11</v>
      </c>
      <c r="E16" s="20">
        <v>0.21</v>
      </c>
      <c r="F16" s="20">
        <v>0.4</v>
      </c>
      <c r="G16" s="20">
        <v>0.83</v>
      </c>
      <c r="H16" s="20">
        <v>0.08</v>
      </c>
      <c r="I16" s="20">
        <v>0.1</v>
      </c>
      <c r="J16" s="20">
        <v>0.12</v>
      </c>
      <c r="K16" s="20">
        <v>0.22</v>
      </c>
      <c r="L16" s="20">
        <v>0.43</v>
      </c>
      <c r="M16" s="20">
        <v>0.9</v>
      </c>
    </row>
    <row r="17" s="1" customFormat="1" ht="13.5" customHeight="1" spans="1:13">
      <c r="A17" s="16" t="s">
        <v>850</v>
      </c>
      <c r="B17" s="20">
        <v>0.098</v>
      </c>
      <c r="C17" s="20">
        <v>0.13</v>
      </c>
      <c r="D17" s="20">
        <v>0.2</v>
      </c>
      <c r="E17" s="20">
        <v>0.34</v>
      </c>
      <c r="F17" s="20">
        <v>0.698</v>
      </c>
      <c r="G17" s="20">
        <v>1.34</v>
      </c>
      <c r="H17" s="20">
        <v>0.104</v>
      </c>
      <c r="I17" s="20">
        <v>0.136</v>
      </c>
      <c r="J17" s="20">
        <v>0.21</v>
      </c>
      <c r="K17" s="20">
        <v>0.378</v>
      </c>
      <c r="L17" s="20">
        <v>0.704</v>
      </c>
      <c r="M17" s="20">
        <v>1.346</v>
      </c>
    </row>
    <row r="18" s="1" customFormat="1" spans="1:13">
      <c r="A18" s="14" t="s">
        <v>851</v>
      </c>
      <c r="B18" s="22">
        <v>0.1035</v>
      </c>
      <c r="C18" s="22">
        <v>0.1345</v>
      </c>
      <c r="D18" s="22">
        <v>0.206</v>
      </c>
      <c r="E18" s="22">
        <v>0.368</v>
      </c>
      <c r="F18" s="22">
        <f>F17+F17*0.1</f>
        <v>0.7678</v>
      </c>
      <c r="G18" s="22">
        <f>G17+G17*0.1</f>
        <v>1.474</v>
      </c>
      <c r="H18" s="22">
        <v>0.119</v>
      </c>
      <c r="I18" s="22">
        <v>0.15</v>
      </c>
      <c r="J18" s="22">
        <v>0.2215</v>
      </c>
      <c r="K18" s="22">
        <v>0.3835</v>
      </c>
      <c r="L18" s="22">
        <v>0.736</v>
      </c>
      <c r="M18" s="22">
        <v>1.365</v>
      </c>
    </row>
    <row r="19" s="1" customFormat="1" spans="1:13">
      <c r="A19" s="16" t="s">
        <v>852</v>
      </c>
      <c r="B19" s="20" t="s">
        <v>853</v>
      </c>
      <c r="C19" s="20">
        <v>0.0475</v>
      </c>
      <c r="D19" s="20">
        <v>0.0855</v>
      </c>
      <c r="E19" s="20">
        <v>0.152</v>
      </c>
      <c r="F19" s="20">
        <v>0.2945</v>
      </c>
      <c r="G19" s="20">
        <v>0.57</v>
      </c>
      <c r="H19" s="20" t="s">
        <v>853</v>
      </c>
      <c r="I19" s="20">
        <v>0.0475</v>
      </c>
      <c r="J19" s="20">
        <v>0.0855</v>
      </c>
      <c r="K19" s="20">
        <v>0.152</v>
      </c>
      <c r="L19" s="20">
        <v>0.2945</v>
      </c>
      <c r="M19" s="20">
        <v>0.57</v>
      </c>
    </row>
    <row r="20" s="1" customFormat="1" spans="1:13">
      <c r="A20" s="16" t="s">
        <v>854</v>
      </c>
      <c r="B20" s="20" t="s">
        <v>853</v>
      </c>
      <c r="C20" s="20">
        <v>0.057</v>
      </c>
      <c r="D20" s="20">
        <v>0.1026</v>
      </c>
      <c r="E20" s="20">
        <v>0.1824</v>
      </c>
      <c r="F20" s="20">
        <v>0.3534</v>
      </c>
      <c r="G20" s="20">
        <v>0.684</v>
      </c>
      <c r="H20" s="20" t="s">
        <v>853</v>
      </c>
      <c r="I20" s="20">
        <v>0.057</v>
      </c>
      <c r="J20" s="20">
        <v>0.1026</v>
      </c>
      <c r="K20" s="20">
        <v>0.1824</v>
      </c>
      <c r="L20" s="20">
        <v>0.3534</v>
      </c>
      <c r="M20" s="20">
        <v>0.684</v>
      </c>
    </row>
    <row r="21" s="1" customFormat="1" spans="1:13">
      <c r="A21" s="14" t="s">
        <v>855</v>
      </c>
      <c r="B21" s="22" t="s">
        <v>853</v>
      </c>
      <c r="C21" s="22">
        <v>0.0658</v>
      </c>
      <c r="D21" s="22">
        <v>0.1185</v>
      </c>
      <c r="E21" s="22">
        <v>0.2107</v>
      </c>
      <c r="F21" s="22">
        <v>0.3887</v>
      </c>
      <c r="G21" s="22">
        <v>0.7524</v>
      </c>
      <c r="H21" s="22" t="s">
        <v>853</v>
      </c>
      <c r="I21" s="22">
        <v>0.0658</v>
      </c>
      <c r="J21" s="22">
        <v>0.1185</v>
      </c>
      <c r="K21" s="22">
        <v>0.2107</v>
      </c>
      <c r="L21" s="22">
        <v>0.3887</v>
      </c>
      <c r="M21" s="22">
        <v>0.7524</v>
      </c>
    </row>
    <row r="22" s="1" customFormat="1" spans="1:13">
      <c r="A22" s="16" t="s">
        <v>856</v>
      </c>
      <c r="B22" s="20">
        <v>0.095</v>
      </c>
      <c r="C22" s="20">
        <v>0.095</v>
      </c>
      <c r="D22" s="20">
        <v>0.12</v>
      </c>
      <c r="E22" s="20">
        <v>0.3</v>
      </c>
      <c r="F22" s="20">
        <v>0.52</v>
      </c>
      <c r="G22" s="20">
        <v>0.95</v>
      </c>
      <c r="H22" s="20">
        <v>0.114</v>
      </c>
      <c r="I22" s="20">
        <v>0.114</v>
      </c>
      <c r="J22" s="20">
        <v>0.1805</v>
      </c>
      <c r="K22" s="20">
        <v>0.3325</v>
      </c>
      <c r="L22" s="20">
        <v>0.5795</v>
      </c>
      <c r="M22" s="20">
        <v>0.969</v>
      </c>
    </row>
    <row r="23" s="1" customFormat="1" ht="13.5" customHeight="1" spans="1:13">
      <c r="A23" s="14" t="s">
        <v>857</v>
      </c>
      <c r="B23" s="22">
        <v>0.19</v>
      </c>
      <c r="C23" s="22">
        <v>0.19</v>
      </c>
      <c r="D23" s="22">
        <v>0.22</v>
      </c>
      <c r="E23" s="22">
        <v>0.48</v>
      </c>
      <c r="F23" s="22">
        <v>0.65</v>
      </c>
      <c r="G23" s="22">
        <v>1.52</v>
      </c>
      <c r="H23" s="22">
        <v>0.209</v>
      </c>
      <c r="I23" s="22">
        <v>0.209</v>
      </c>
      <c r="J23" s="22">
        <v>0.266</v>
      </c>
      <c r="K23" s="22">
        <v>0.532</v>
      </c>
      <c r="L23" s="22">
        <v>0.8075</v>
      </c>
      <c r="M23" s="22">
        <v>1.539</v>
      </c>
    </row>
    <row r="24" s="1" customFormat="1" ht="13.5" customHeight="1" spans="1:13">
      <c r="A24" s="16" t="s">
        <v>858</v>
      </c>
      <c r="B24" s="20">
        <v>0.2185</v>
      </c>
      <c r="C24" s="20">
        <v>0.2375</v>
      </c>
      <c r="D24" s="20">
        <v>0.4</v>
      </c>
      <c r="E24" s="20">
        <v>0.589</v>
      </c>
      <c r="F24" s="20">
        <v>1.045</v>
      </c>
      <c r="G24" s="20">
        <v>1.615</v>
      </c>
      <c r="H24" s="20">
        <v>0.228</v>
      </c>
      <c r="I24" s="20">
        <v>0.247</v>
      </c>
      <c r="J24" s="20">
        <v>0.41</v>
      </c>
      <c r="K24" s="20">
        <v>0.599</v>
      </c>
      <c r="L24" s="20">
        <v>1.0545</v>
      </c>
      <c r="M24" s="20">
        <v>1.6245</v>
      </c>
    </row>
    <row r="25" s="1" customFormat="1" ht="13.5" customHeight="1" spans="1:13">
      <c r="A25" s="16" t="s">
        <v>859</v>
      </c>
      <c r="B25" s="20">
        <v>0.361</v>
      </c>
      <c r="C25" s="20">
        <v>0.365</v>
      </c>
      <c r="D25" s="20">
        <v>0.37</v>
      </c>
      <c r="E25" s="20">
        <v>0.65</v>
      </c>
      <c r="F25" s="20">
        <v>1.2</v>
      </c>
      <c r="G25" s="20">
        <v>2.7075</v>
      </c>
      <c r="H25" s="20">
        <v>0.371</v>
      </c>
      <c r="I25" s="20">
        <v>0.375</v>
      </c>
      <c r="J25" s="20">
        <v>0.38</v>
      </c>
      <c r="K25" s="20">
        <v>0.66</v>
      </c>
      <c r="L25" s="20">
        <v>1.21</v>
      </c>
      <c r="M25" s="20">
        <v>2.7175</v>
      </c>
    </row>
    <row r="26" s="1" customFormat="1" ht="13.5" customHeight="1" spans="1:13">
      <c r="A26" s="16" t="s">
        <v>860</v>
      </c>
      <c r="B26" s="20" t="s">
        <v>853</v>
      </c>
      <c r="C26" s="20">
        <v>0.0475</v>
      </c>
      <c r="D26" s="20">
        <v>0.0855</v>
      </c>
      <c r="E26" s="20">
        <v>0.152</v>
      </c>
      <c r="F26" s="20">
        <v>0.2945</v>
      </c>
      <c r="G26" s="20">
        <v>0.57</v>
      </c>
      <c r="H26" s="20" t="s">
        <v>853</v>
      </c>
      <c r="I26" s="20">
        <v>0.0475</v>
      </c>
      <c r="J26" s="20">
        <v>0.0855</v>
      </c>
      <c r="K26" s="20">
        <v>0.152</v>
      </c>
      <c r="L26" s="20">
        <v>0.2945</v>
      </c>
      <c r="M26" s="20">
        <v>0.57</v>
      </c>
    </row>
    <row r="27" s="1" customFormat="1" ht="13.5" customHeight="1" spans="1:13">
      <c r="A27" s="16" t="s">
        <v>861</v>
      </c>
      <c r="B27" s="20" t="s">
        <v>853</v>
      </c>
      <c r="C27" s="20">
        <v>0.0855</v>
      </c>
      <c r="D27" s="20">
        <v>0.152</v>
      </c>
      <c r="E27" s="20">
        <v>0.266</v>
      </c>
      <c r="F27" s="20">
        <v>0.456</v>
      </c>
      <c r="G27" s="20">
        <v>0.855</v>
      </c>
      <c r="H27" s="20" t="s">
        <v>853</v>
      </c>
      <c r="I27" s="20">
        <v>0.0855</v>
      </c>
      <c r="J27" s="20">
        <v>0.152</v>
      </c>
      <c r="K27" s="20">
        <v>0.266</v>
      </c>
      <c r="L27" s="20">
        <v>0.456</v>
      </c>
      <c r="M27" s="20">
        <v>0.855</v>
      </c>
    </row>
    <row r="28" s="1" customFormat="1" ht="13.5" customHeight="1" spans="1:13">
      <c r="A28" s="16" t="s">
        <v>862</v>
      </c>
      <c r="B28" s="20">
        <v>0.1825</v>
      </c>
      <c r="C28" s="20">
        <v>0.21</v>
      </c>
      <c r="D28" s="20">
        <v>0.2585</v>
      </c>
      <c r="E28" s="20">
        <v>0.395</v>
      </c>
      <c r="F28" s="20">
        <v>0.5435</v>
      </c>
      <c r="G28" s="20">
        <v>0.743</v>
      </c>
      <c r="H28" s="20">
        <v>0.19</v>
      </c>
      <c r="I28" s="20">
        <v>0.22</v>
      </c>
      <c r="J28" s="20">
        <v>0.268</v>
      </c>
      <c r="K28" s="20">
        <v>0.41</v>
      </c>
      <c r="L28" s="20">
        <v>0.5625</v>
      </c>
      <c r="M28" s="20">
        <v>0.762</v>
      </c>
    </row>
    <row r="29" s="1" customFormat="1" ht="13.5" customHeight="1" spans="1:13">
      <c r="A29" s="16" t="s">
        <v>863</v>
      </c>
      <c r="B29" s="20" t="s">
        <v>853</v>
      </c>
      <c r="C29" s="20" t="s">
        <v>853</v>
      </c>
      <c r="D29" s="17">
        <v>0.29</v>
      </c>
      <c r="E29" s="20">
        <v>0.48</v>
      </c>
      <c r="F29" s="20" t="s">
        <v>853</v>
      </c>
      <c r="G29" s="20" t="s">
        <v>853</v>
      </c>
      <c r="H29" s="20" t="s">
        <v>853</v>
      </c>
      <c r="I29" s="20" t="s">
        <v>853</v>
      </c>
      <c r="J29" s="20" t="s">
        <v>853</v>
      </c>
      <c r="K29" s="20" t="s">
        <v>853</v>
      </c>
      <c r="L29" s="20" t="s">
        <v>853</v>
      </c>
      <c r="M29" s="20" t="s">
        <v>853</v>
      </c>
    </row>
    <row r="30" ht="13.5" customHeight="1" spans="1:13">
      <c r="A30" s="16" t="s">
        <v>864</v>
      </c>
      <c r="B30" s="20" t="s">
        <v>853</v>
      </c>
      <c r="C30" s="20" t="s">
        <v>853</v>
      </c>
      <c r="D30" s="17">
        <v>0.29</v>
      </c>
      <c r="E30" s="20">
        <v>0.48</v>
      </c>
      <c r="F30" s="20" t="s">
        <v>853</v>
      </c>
      <c r="G30" s="20" t="s">
        <v>853</v>
      </c>
      <c r="H30" s="20" t="s">
        <v>853</v>
      </c>
      <c r="I30" s="20" t="s">
        <v>853</v>
      </c>
      <c r="J30" s="20" t="s">
        <v>853</v>
      </c>
      <c r="K30" s="20" t="s">
        <v>853</v>
      </c>
      <c r="L30" s="20" t="s">
        <v>853</v>
      </c>
      <c r="M30" s="20" t="s">
        <v>853</v>
      </c>
    </row>
    <row r="31" ht="13.5" customHeight="1" spans="1:13">
      <c r="A31" s="16" t="s">
        <v>865</v>
      </c>
      <c r="B31" s="20" t="s">
        <v>853</v>
      </c>
      <c r="C31" s="20" t="s">
        <v>853</v>
      </c>
      <c r="D31" s="17">
        <v>0.325</v>
      </c>
      <c r="E31" s="20">
        <v>0.433</v>
      </c>
      <c r="F31" s="20" t="s">
        <v>853</v>
      </c>
      <c r="G31" s="20" t="s">
        <v>853</v>
      </c>
      <c r="H31" s="20" t="s">
        <v>853</v>
      </c>
      <c r="I31" s="20" t="s">
        <v>853</v>
      </c>
      <c r="J31" s="20" t="s">
        <v>853</v>
      </c>
      <c r="K31" s="20" t="s">
        <v>853</v>
      </c>
      <c r="L31" s="20" t="s">
        <v>853</v>
      </c>
      <c r="M31" s="20" t="s">
        <v>853</v>
      </c>
    </row>
    <row r="32" ht="13.5" customHeight="1" spans="1:13">
      <c r="A32" s="16" t="s">
        <v>866</v>
      </c>
      <c r="B32" s="20" t="s">
        <v>853</v>
      </c>
      <c r="C32" s="20" t="s">
        <v>853</v>
      </c>
      <c r="D32" s="17">
        <v>0.082</v>
      </c>
      <c r="E32" s="20" t="s">
        <v>853</v>
      </c>
      <c r="F32" s="20" t="s">
        <v>853</v>
      </c>
      <c r="G32" s="20" t="s">
        <v>853</v>
      </c>
      <c r="H32" s="20" t="s">
        <v>853</v>
      </c>
      <c r="I32" s="20" t="s">
        <v>853</v>
      </c>
      <c r="J32" s="20" t="s">
        <v>853</v>
      </c>
      <c r="K32" s="20" t="s">
        <v>853</v>
      </c>
      <c r="L32" s="20" t="s">
        <v>853</v>
      </c>
      <c r="M32" s="20" t="s">
        <v>853</v>
      </c>
    </row>
    <row r="33" ht="13.5" customHeight="1" spans="1:13">
      <c r="A33" s="16" t="s">
        <v>867</v>
      </c>
      <c r="B33" s="20" t="s">
        <v>853</v>
      </c>
      <c r="C33" s="20" t="s">
        <v>853</v>
      </c>
      <c r="D33" s="17">
        <v>0.081</v>
      </c>
      <c r="E33" s="20" t="s">
        <v>853</v>
      </c>
      <c r="F33" s="20" t="s">
        <v>853</v>
      </c>
      <c r="G33" s="20" t="s">
        <v>853</v>
      </c>
      <c r="H33" s="20" t="s">
        <v>853</v>
      </c>
      <c r="I33" s="20" t="s">
        <v>853</v>
      </c>
      <c r="J33" s="20" t="s">
        <v>853</v>
      </c>
      <c r="K33" s="20" t="s">
        <v>853</v>
      </c>
      <c r="L33" s="20" t="s">
        <v>853</v>
      </c>
      <c r="M33" s="20" t="s">
        <v>853</v>
      </c>
    </row>
    <row r="34" ht="13.5" customHeight="1"/>
    <row r="35" ht="13.5" customHeight="1" spans="2:4">
      <c r="B35" s="7"/>
      <c r="C35" s="7"/>
      <c r="D35" s="7"/>
    </row>
    <row r="36" ht="13.5" customHeight="1" spans="2:13">
      <c r="B36" s="4">
        <f t="shared" ref="B36:M36" si="2">SUM(B3,B6,B14,B18,B21,B23)</f>
        <v>1.6085</v>
      </c>
      <c r="C36" s="4">
        <f t="shared" si="2"/>
        <v>1.7143</v>
      </c>
      <c r="D36" s="4">
        <f t="shared" si="2"/>
        <v>1.8975</v>
      </c>
      <c r="E36" s="4">
        <f t="shared" si="2"/>
        <v>2.6853</v>
      </c>
      <c r="F36" s="4">
        <f t="shared" si="2"/>
        <v>3.835</v>
      </c>
      <c r="G36" s="4">
        <f t="shared" si="2"/>
        <v>7.9988</v>
      </c>
      <c r="H36" s="4">
        <f t="shared" si="2"/>
        <v>2.138</v>
      </c>
      <c r="I36" s="4">
        <f t="shared" si="2"/>
        <v>2.2348</v>
      </c>
      <c r="J36" s="4">
        <f t="shared" si="2"/>
        <v>2.466</v>
      </c>
      <c r="K36" s="4">
        <f t="shared" si="2"/>
        <v>3.3763</v>
      </c>
      <c r="L36" s="4">
        <f t="shared" si="2"/>
        <v>4.7516</v>
      </c>
      <c r="M36" s="4">
        <f t="shared" si="2"/>
        <v>8.7388</v>
      </c>
    </row>
    <row r="37" ht="13.5" customHeight="1"/>
    <row r="38" ht="13.5" customHeight="1"/>
    <row r="40" ht="13.5" customHeight="1"/>
    <row r="42" ht="22.2" spans="1:7">
      <c r="A42" s="23" t="s">
        <v>868</v>
      </c>
      <c r="B42" s="23"/>
      <c r="C42" s="23"/>
      <c r="D42" s="23"/>
      <c r="E42" s="23"/>
      <c r="F42" s="23"/>
      <c r="G42" s="23"/>
    </row>
    <row r="43" spans="1:7">
      <c r="A43" s="24" t="s">
        <v>869</v>
      </c>
      <c r="B43" s="24" t="s">
        <v>870</v>
      </c>
      <c r="C43" s="24" t="s">
        <v>871</v>
      </c>
      <c r="D43" s="24" t="s">
        <v>872</v>
      </c>
      <c r="E43" s="24" t="s">
        <v>873</v>
      </c>
      <c r="F43" s="24" t="s">
        <v>874</v>
      </c>
      <c r="G43" s="24" t="s">
        <v>875</v>
      </c>
    </row>
    <row r="44" spans="1:7">
      <c r="A44" s="25" t="s">
        <v>876</v>
      </c>
      <c r="B44" s="25">
        <v>0.285</v>
      </c>
      <c r="C44" s="25">
        <v>0.285</v>
      </c>
      <c r="D44" s="25">
        <v>0.285</v>
      </c>
      <c r="E44" s="25">
        <v>0.57</v>
      </c>
      <c r="F44" s="25">
        <v>1.04</v>
      </c>
      <c r="G44" s="25">
        <v>1.9</v>
      </c>
    </row>
    <row r="45" spans="1:7">
      <c r="A45" s="25" t="s">
        <v>877</v>
      </c>
      <c r="B45" s="25">
        <v>0.38</v>
      </c>
      <c r="C45" s="25">
        <v>0.38</v>
      </c>
      <c r="D45" s="25">
        <v>0.38</v>
      </c>
      <c r="E45" s="25">
        <v>0.57</v>
      </c>
      <c r="F45" s="25">
        <v>1.14</v>
      </c>
      <c r="G45" s="25">
        <v>1.9</v>
      </c>
    </row>
    <row r="46" spans="1:7">
      <c r="A46" s="25" t="s">
        <v>878</v>
      </c>
      <c r="B46" s="25">
        <v>0.4</v>
      </c>
      <c r="C46" s="25">
        <v>0.4</v>
      </c>
      <c r="D46" s="25">
        <v>0.5</v>
      </c>
      <c r="E46" s="25">
        <v>0.609</v>
      </c>
      <c r="F46" s="25">
        <v>0.875</v>
      </c>
      <c r="G46" s="25">
        <v>1.167</v>
      </c>
    </row>
    <row r="47" spans="1:7">
      <c r="A47" s="25" t="s">
        <v>879</v>
      </c>
      <c r="B47" s="25">
        <v>0.2</v>
      </c>
      <c r="C47" s="25">
        <v>0.241</v>
      </c>
      <c r="D47" s="25">
        <v>0.28</v>
      </c>
      <c r="E47" s="25">
        <v>0.4</v>
      </c>
      <c r="F47" s="25">
        <v>0.583</v>
      </c>
      <c r="G47" s="25">
        <v>1</v>
      </c>
    </row>
    <row r="48" spans="1:7">
      <c r="A48" s="25" t="s">
        <v>880</v>
      </c>
      <c r="B48" s="25">
        <v>0.906</v>
      </c>
      <c r="C48" s="25">
        <v>0.906</v>
      </c>
      <c r="D48" s="25">
        <v>0.906</v>
      </c>
      <c r="E48" s="25">
        <v>0.906</v>
      </c>
      <c r="F48" s="25">
        <v>2.071</v>
      </c>
      <c r="G48" s="25">
        <v>2.9</v>
      </c>
    </row>
    <row r="49" spans="1:7">
      <c r="A49" s="25" t="s">
        <v>881</v>
      </c>
      <c r="B49" s="25">
        <v>0.4</v>
      </c>
      <c r="C49" s="25">
        <v>0.4</v>
      </c>
      <c r="D49" s="25">
        <v>0.4</v>
      </c>
      <c r="E49" s="25">
        <v>0.56</v>
      </c>
      <c r="F49" s="25">
        <v>0.875</v>
      </c>
      <c r="G49" s="25">
        <v>1.273</v>
      </c>
    </row>
    <row r="50" spans="1:7">
      <c r="A50" s="25" t="s">
        <v>882</v>
      </c>
      <c r="B50" s="25">
        <v>0.088</v>
      </c>
      <c r="C50" s="25">
        <v>0.088</v>
      </c>
      <c r="D50" s="25">
        <v>0.088</v>
      </c>
      <c r="E50" s="25">
        <v>0.2</v>
      </c>
      <c r="F50" s="25">
        <v>0.28</v>
      </c>
      <c r="G50" s="25">
        <v>0.5</v>
      </c>
    </row>
    <row r="51" spans="1:7">
      <c r="A51" s="25" t="s">
        <v>883</v>
      </c>
      <c r="B51" s="25">
        <v>0.156</v>
      </c>
      <c r="C51" s="25">
        <v>0.156</v>
      </c>
      <c r="D51" s="25">
        <v>0.156</v>
      </c>
      <c r="E51" s="25">
        <v>0.28</v>
      </c>
      <c r="F51" s="25">
        <v>0.35</v>
      </c>
      <c r="G51" s="25">
        <v>0.933</v>
      </c>
    </row>
    <row r="52" spans="1:7">
      <c r="A52" s="25" t="s">
        <v>884</v>
      </c>
      <c r="B52" s="25">
        <v>0.394</v>
      </c>
      <c r="C52" s="25">
        <v>0.394</v>
      </c>
      <c r="D52" s="25">
        <v>0.394</v>
      </c>
      <c r="E52" s="25">
        <v>0.525</v>
      </c>
      <c r="F52" s="25">
        <v>0.63</v>
      </c>
      <c r="G52" s="25">
        <v>1</v>
      </c>
    </row>
    <row r="53" spans="1:7">
      <c r="A53" s="25" t="s">
        <v>885</v>
      </c>
      <c r="B53" s="25">
        <v>0.42</v>
      </c>
      <c r="C53" s="25">
        <v>0.42</v>
      </c>
      <c r="D53" s="25">
        <v>0.525</v>
      </c>
      <c r="E53" s="25">
        <v>1</v>
      </c>
      <c r="F53" s="25">
        <v>1.556</v>
      </c>
      <c r="G53" s="25">
        <v>2.333</v>
      </c>
    </row>
    <row r="54" spans="1:7">
      <c r="A54" s="25" t="s">
        <v>886</v>
      </c>
      <c r="B54" s="25">
        <v>0.458</v>
      </c>
      <c r="C54" s="25">
        <v>0.458</v>
      </c>
      <c r="D54" s="25">
        <v>0.56</v>
      </c>
      <c r="E54" s="25">
        <v>1.077</v>
      </c>
      <c r="F54" s="25">
        <v>1.556</v>
      </c>
      <c r="G54" s="25">
        <v>2.333</v>
      </c>
    </row>
    <row r="55" spans="1:7">
      <c r="A55" s="26" t="s">
        <v>887</v>
      </c>
      <c r="B55" s="26" t="s">
        <v>853</v>
      </c>
      <c r="C55" s="26">
        <v>0.725</v>
      </c>
      <c r="D55" s="26">
        <v>1.036</v>
      </c>
      <c r="E55" s="26">
        <v>1.381</v>
      </c>
      <c r="F55" s="26" t="s">
        <v>853</v>
      </c>
      <c r="G55" s="26" t="s">
        <v>853</v>
      </c>
    </row>
    <row r="56" spans="1:7">
      <c r="A56" s="26" t="s">
        <v>888</v>
      </c>
      <c r="B56" s="26" t="s">
        <v>853</v>
      </c>
      <c r="C56" s="26">
        <v>0.806</v>
      </c>
      <c r="D56" s="26">
        <v>1.115</v>
      </c>
      <c r="E56" s="26">
        <v>1.45</v>
      </c>
      <c r="F56" s="26" t="s">
        <v>853</v>
      </c>
      <c r="G56" s="26" t="s">
        <v>853</v>
      </c>
    </row>
    <row r="57" spans="1:7">
      <c r="A57" s="26" t="s">
        <v>889</v>
      </c>
      <c r="B57" s="26" t="s">
        <v>853</v>
      </c>
      <c r="C57" s="26">
        <v>1.16</v>
      </c>
      <c r="D57" s="26">
        <v>1.208</v>
      </c>
      <c r="E57" s="26">
        <v>1.813</v>
      </c>
      <c r="F57" s="26" t="s">
        <v>853</v>
      </c>
      <c r="G57" s="26" t="s">
        <v>853</v>
      </c>
    </row>
    <row r="58" spans="1:7">
      <c r="A58" s="26" t="s">
        <v>890</v>
      </c>
      <c r="B58" s="26" t="s">
        <v>853</v>
      </c>
      <c r="C58" s="26" t="s">
        <v>853</v>
      </c>
      <c r="D58" s="26">
        <v>2.071</v>
      </c>
      <c r="E58" s="26" t="s">
        <v>853</v>
      </c>
      <c r="F58" s="26" t="s">
        <v>853</v>
      </c>
      <c r="G58" s="26" t="s">
        <v>853</v>
      </c>
    </row>
    <row r="59" spans="1:7">
      <c r="A59" s="26" t="s">
        <v>891</v>
      </c>
      <c r="B59" s="26" t="s">
        <v>853</v>
      </c>
      <c r="C59" s="26" t="s">
        <v>853</v>
      </c>
      <c r="D59" s="26">
        <v>2.417</v>
      </c>
      <c r="E59" s="26" t="s">
        <v>853</v>
      </c>
      <c r="F59" s="26" t="s">
        <v>853</v>
      </c>
      <c r="G59" s="26" t="s">
        <v>853</v>
      </c>
    </row>
    <row r="60" spans="1:7">
      <c r="A60" s="26" t="s">
        <v>892</v>
      </c>
      <c r="B60" s="26" t="s">
        <v>853</v>
      </c>
      <c r="C60" s="26" t="s">
        <v>853</v>
      </c>
      <c r="D60" s="26">
        <v>2.071</v>
      </c>
      <c r="E60" s="26" t="s">
        <v>853</v>
      </c>
      <c r="F60" s="26" t="s">
        <v>853</v>
      </c>
      <c r="G60" s="26" t="s">
        <v>853</v>
      </c>
    </row>
    <row r="61" spans="1:7">
      <c r="A61" s="26" t="s">
        <v>893</v>
      </c>
      <c r="B61" s="26">
        <v>1</v>
      </c>
      <c r="C61" s="26" t="s">
        <v>853</v>
      </c>
      <c r="D61" s="26" t="s">
        <v>853</v>
      </c>
      <c r="E61" s="26">
        <v>1.556</v>
      </c>
      <c r="F61" s="26" t="s">
        <v>853</v>
      </c>
      <c r="G61" s="26" t="s">
        <v>853</v>
      </c>
    </row>
    <row r="62" spans="1:7">
      <c r="A62" s="26" t="s">
        <v>894</v>
      </c>
      <c r="B62" s="26">
        <v>0.14</v>
      </c>
      <c r="C62" s="26">
        <v>0.028</v>
      </c>
      <c r="D62" s="26">
        <v>0.028</v>
      </c>
      <c r="E62" s="26">
        <v>0.04</v>
      </c>
      <c r="F62" s="26">
        <v>0.04</v>
      </c>
      <c r="G62" s="26">
        <v>0.14</v>
      </c>
    </row>
    <row r="63" spans="1:7">
      <c r="A63" s="26" t="s">
        <v>95</v>
      </c>
      <c r="B63" s="26">
        <v>0.14</v>
      </c>
      <c r="C63" s="26"/>
      <c r="D63" s="26"/>
      <c r="E63" s="26"/>
      <c r="F63" s="26"/>
      <c r="G63" s="26"/>
    </row>
    <row r="64" spans="1:7">
      <c r="A64" s="25" t="s">
        <v>895</v>
      </c>
      <c r="B64" s="25">
        <v>2</v>
      </c>
      <c r="C64" s="25"/>
      <c r="D64" s="25"/>
      <c r="E64" s="25"/>
      <c r="F64" s="25"/>
      <c r="G64" s="25"/>
    </row>
    <row r="65" spans="1:7">
      <c r="A65" s="25" t="s">
        <v>896</v>
      </c>
      <c r="B65" s="25">
        <v>0.215</v>
      </c>
      <c r="C65" s="25"/>
      <c r="D65" s="25"/>
      <c r="E65" s="25"/>
      <c r="F65" s="25"/>
      <c r="G65" s="25"/>
    </row>
    <row r="66" spans="1:7">
      <c r="A66" s="25" t="s">
        <v>897</v>
      </c>
      <c r="B66" s="25">
        <v>0.311</v>
      </c>
      <c r="C66" s="25"/>
      <c r="D66" s="25"/>
      <c r="E66" s="25"/>
      <c r="F66" s="25"/>
      <c r="G66" s="25"/>
    </row>
    <row r="67" spans="1:7">
      <c r="A67" s="25" t="s">
        <v>898</v>
      </c>
      <c r="B67" s="25">
        <v>0.36</v>
      </c>
      <c r="C67" s="25"/>
      <c r="D67" s="25"/>
      <c r="E67" s="25"/>
      <c r="F67" s="25"/>
      <c r="G67" s="25"/>
    </row>
    <row r="68" spans="1:7">
      <c r="A68" s="26" t="s">
        <v>899</v>
      </c>
      <c r="B68" s="25">
        <v>0.378</v>
      </c>
      <c r="C68" s="25"/>
      <c r="D68" s="25"/>
      <c r="E68" s="25"/>
      <c r="F68" s="25"/>
      <c r="G68" s="25"/>
    </row>
    <row r="69" spans="1:7">
      <c r="A69" s="26" t="s">
        <v>900</v>
      </c>
      <c r="B69" s="25">
        <v>1</v>
      </c>
      <c r="C69" s="25"/>
      <c r="D69" s="25"/>
      <c r="E69" s="25"/>
      <c r="F69" s="25"/>
      <c r="G69" s="25"/>
    </row>
    <row r="70" spans="1:7">
      <c r="A70" s="26" t="s">
        <v>901</v>
      </c>
      <c r="B70" s="25">
        <v>1</v>
      </c>
      <c r="C70" s="25"/>
      <c r="D70" s="25"/>
      <c r="E70" s="25"/>
      <c r="F70" s="25"/>
      <c r="G70" s="25"/>
    </row>
    <row r="71" spans="1:7">
      <c r="A71" s="26" t="s">
        <v>902</v>
      </c>
      <c r="B71" s="25">
        <v>2</v>
      </c>
      <c r="C71" s="25"/>
      <c r="D71" s="25"/>
      <c r="E71" s="25"/>
      <c r="F71" s="25"/>
      <c r="G71" s="25"/>
    </row>
    <row r="72" spans="1:7">
      <c r="A72" s="26" t="s">
        <v>903</v>
      </c>
      <c r="B72" s="25">
        <v>2</v>
      </c>
      <c r="C72" s="25"/>
      <c r="D72" s="25"/>
      <c r="E72" s="25"/>
      <c r="F72" s="25"/>
      <c r="G72" s="25"/>
    </row>
    <row r="73" spans="1:7">
      <c r="A73" s="26" t="s">
        <v>904</v>
      </c>
      <c r="B73" s="26">
        <v>1.077</v>
      </c>
      <c r="C73" s="26"/>
      <c r="D73" s="26"/>
      <c r="E73" s="26"/>
      <c r="F73" s="26"/>
      <c r="G73" s="26"/>
    </row>
    <row r="74" spans="1:7">
      <c r="A74" s="26" t="s">
        <v>905</v>
      </c>
      <c r="B74" s="26">
        <v>0.9</v>
      </c>
      <c r="C74" s="26"/>
      <c r="D74" s="26"/>
      <c r="E74" s="26"/>
      <c r="F74" s="26"/>
      <c r="G74" s="26"/>
    </row>
    <row r="75" spans="1:7">
      <c r="A75" s="26" t="s">
        <v>906</v>
      </c>
      <c r="B75" s="26">
        <v>0.9</v>
      </c>
      <c r="C75" s="26"/>
      <c r="D75" s="26"/>
      <c r="E75" s="26"/>
      <c r="F75" s="26"/>
      <c r="G75" s="26"/>
    </row>
    <row r="76" spans="1:7">
      <c r="A76" s="26" t="s">
        <v>907</v>
      </c>
      <c r="B76" s="26">
        <v>0.9</v>
      </c>
      <c r="C76" s="26"/>
      <c r="D76" s="26"/>
      <c r="E76" s="26"/>
      <c r="F76" s="26"/>
      <c r="G76" s="26"/>
    </row>
    <row r="77" spans="1:7">
      <c r="A77" s="26" t="s">
        <v>908</v>
      </c>
      <c r="B77" s="26">
        <v>0.9</v>
      </c>
      <c r="C77" s="26"/>
      <c r="D77" s="26"/>
      <c r="E77" s="26"/>
      <c r="F77" s="26"/>
      <c r="G77" s="26"/>
    </row>
    <row r="78" spans="1:7">
      <c r="A78" s="26" t="s">
        <v>909</v>
      </c>
      <c r="B78" s="26">
        <v>0.9</v>
      </c>
      <c r="C78" s="26"/>
      <c r="D78" s="26"/>
      <c r="E78" s="26"/>
      <c r="F78" s="26"/>
      <c r="G78" s="26"/>
    </row>
    <row r="79" spans="1:7">
      <c r="A79" s="26" t="s">
        <v>910</v>
      </c>
      <c r="B79" s="26" t="s">
        <v>853</v>
      </c>
      <c r="C79" s="25">
        <v>0.311</v>
      </c>
      <c r="D79" s="26" t="s">
        <v>853</v>
      </c>
      <c r="E79" s="26" t="s">
        <v>853</v>
      </c>
      <c r="F79" s="26" t="s">
        <v>853</v>
      </c>
      <c r="G79" s="26" t="s">
        <v>853</v>
      </c>
    </row>
    <row r="80" spans="1:7">
      <c r="A80" s="26" t="s">
        <v>911</v>
      </c>
      <c r="B80" s="25">
        <v>1.381</v>
      </c>
      <c r="C80" s="25"/>
      <c r="D80" s="25"/>
      <c r="E80" s="25"/>
      <c r="F80" s="25"/>
      <c r="G80" s="25"/>
    </row>
    <row r="86" ht="17.4" spans="1:8">
      <c r="A86" s="27" t="s">
        <v>912</v>
      </c>
      <c r="B86" s="27"/>
      <c r="C86" s="27"/>
      <c r="D86" s="27"/>
      <c r="E86" s="27"/>
      <c r="F86" s="27"/>
      <c r="G86" s="27"/>
      <c r="H86" s="27"/>
    </row>
    <row r="87" ht="28.8" spans="1:8">
      <c r="A87" s="28" t="s">
        <v>913</v>
      </c>
      <c r="B87" s="29" t="s">
        <v>914</v>
      </c>
      <c r="C87" s="29" t="s">
        <v>915</v>
      </c>
      <c r="D87" s="29" t="s">
        <v>916</v>
      </c>
      <c r="E87" s="29" t="s">
        <v>917</v>
      </c>
      <c r="F87" s="29" t="s">
        <v>918</v>
      </c>
      <c r="G87" s="29" t="s">
        <v>919</v>
      </c>
      <c r="H87" s="29" t="s">
        <v>920</v>
      </c>
    </row>
    <row r="88" spans="1:8">
      <c r="A88" s="29" t="s">
        <v>921</v>
      </c>
      <c r="B88" s="29">
        <v>0.031</v>
      </c>
      <c r="C88" s="29">
        <v>0.046</v>
      </c>
      <c r="D88" s="29">
        <v>0.029</v>
      </c>
      <c r="E88" s="29" t="s">
        <v>853</v>
      </c>
      <c r="F88" s="29">
        <v>0.03</v>
      </c>
      <c r="G88" s="29">
        <v>0.03</v>
      </c>
      <c r="H88" s="29">
        <v>0.022</v>
      </c>
    </row>
    <row r="89" spans="1:8">
      <c r="A89" s="29" t="s">
        <v>922</v>
      </c>
      <c r="B89" s="29">
        <v>0.031</v>
      </c>
      <c r="C89" s="29">
        <v>0.046</v>
      </c>
      <c r="D89" s="29">
        <v>0.029</v>
      </c>
      <c r="E89" s="29" t="s">
        <v>853</v>
      </c>
      <c r="F89" s="29">
        <v>0.03</v>
      </c>
      <c r="G89" s="29">
        <v>0.03</v>
      </c>
      <c r="H89" s="29">
        <v>0.022</v>
      </c>
    </row>
    <row r="90" spans="1:8">
      <c r="A90" s="29" t="s">
        <v>923</v>
      </c>
      <c r="B90" s="29">
        <v>0.031</v>
      </c>
      <c r="C90" s="29">
        <v>0.046</v>
      </c>
      <c r="D90" s="29">
        <v>0.075</v>
      </c>
      <c r="E90" s="29" t="s">
        <v>853</v>
      </c>
      <c r="F90" s="29">
        <v>0.03</v>
      </c>
      <c r="G90" s="29">
        <v>0.03</v>
      </c>
      <c r="H90" s="29">
        <v>0.022</v>
      </c>
    </row>
    <row r="91" spans="1:8">
      <c r="A91" s="29" t="s">
        <v>924</v>
      </c>
      <c r="B91" s="29">
        <v>0.031</v>
      </c>
      <c r="C91" s="29">
        <v>0.046</v>
      </c>
      <c r="D91" s="29">
        <v>0.07</v>
      </c>
      <c r="E91" s="29" t="s">
        <v>853</v>
      </c>
      <c r="F91" s="29">
        <v>0.075</v>
      </c>
      <c r="G91" s="29">
        <v>0.04</v>
      </c>
      <c r="H91" s="29">
        <v>0.024</v>
      </c>
    </row>
    <row r="92" spans="1:8">
      <c r="A92" s="29" t="s">
        <v>925</v>
      </c>
      <c r="B92" s="29">
        <v>0.031</v>
      </c>
      <c r="C92" s="29">
        <v>0.06</v>
      </c>
      <c r="D92" s="29">
        <v>0.029</v>
      </c>
      <c r="E92" s="29" t="s">
        <v>853</v>
      </c>
      <c r="F92" s="29">
        <v>0.09</v>
      </c>
      <c r="G92" s="29">
        <v>0.04</v>
      </c>
      <c r="H92" s="29">
        <v>0.024</v>
      </c>
    </row>
    <row r="93" spans="1:9">
      <c r="A93" s="29" t="s">
        <v>926</v>
      </c>
      <c r="B93" s="29">
        <v>0.043</v>
      </c>
      <c r="C93" s="29">
        <v>0.046</v>
      </c>
      <c r="D93" s="29">
        <v>0.029</v>
      </c>
      <c r="E93" s="29">
        <v>0.025</v>
      </c>
      <c r="F93" s="29">
        <v>0.038</v>
      </c>
      <c r="G93" s="29">
        <v>0.03</v>
      </c>
      <c r="H93" s="29">
        <v>0.035</v>
      </c>
      <c r="I93" s="9">
        <f>SUM(B93:G93)+0.03</f>
        <v>0.241</v>
      </c>
    </row>
    <row r="94" spans="1:9">
      <c r="A94" s="29" t="s">
        <v>927</v>
      </c>
      <c r="B94" s="29">
        <v>0.043</v>
      </c>
      <c r="C94" s="29">
        <v>0.046</v>
      </c>
      <c r="D94" s="29">
        <v>0.029</v>
      </c>
      <c r="E94" s="29">
        <v>0.025</v>
      </c>
      <c r="F94" s="29">
        <v>0.038</v>
      </c>
      <c r="G94" s="29">
        <v>0.03</v>
      </c>
      <c r="H94" s="29">
        <v>0.035</v>
      </c>
      <c r="I94" s="9">
        <f t="shared" ref="I94:I102" si="3">SUM(B94:G94)+0.03</f>
        <v>0.241</v>
      </c>
    </row>
    <row r="95" spans="1:9">
      <c r="A95" s="29" t="s">
        <v>928</v>
      </c>
      <c r="B95" s="29">
        <v>0.043</v>
      </c>
      <c r="C95" s="29">
        <v>0.046</v>
      </c>
      <c r="D95" s="29">
        <v>0.075</v>
      </c>
      <c r="E95" s="29">
        <v>0.037</v>
      </c>
      <c r="F95" s="29">
        <v>0.043</v>
      </c>
      <c r="G95" s="29">
        <v>0.03</v>
      </c>
      <c r="H95" s="29">
        <v>0.035</v>
      </c>
      <c r="I95" s="9">
        <f t="shared" si="3"/>
        <v>0.304</v>
      </c>
    </row>
    <row r="96" spans="1:9">
      <c r="A96" s="29" t="s">
        <v>929</v>
      </c>
      <c r="B96" s="29">
        <v>0.043</v>
      </c>
      <c r="C96" s="29">
        <v>0.046</v>
      </c>
      <c r="D96" s="29">
        <v>0.07</v>
      </c>
      <c r="E96" s="29">
        <v>0.078</v>
      </c>
      <c r="F96" s="29">
        <v>0.095</v>
      </c>
      <c r="G96" s="29">
        <v>0.04</v>
      </c>
      <c r="H96" s="29">
        <v>0.04</v>
      </c>
      <c r="I96" s="9">
        <f t="shared" si="3"/>
        <v>0.402</v>
      </c>
    </row>
    <row r="97" spans="1:9">
      <c r="A97" s="29" t="s">
        <v>930</v>
      </c>
      <c r="B97" s="29">
        <v>0.043</v>
      </c>
      <c r="C97" s="29">
        <v>0.06</v>
      </c>
      <c r="D97" s="29">
        <v>0.029</v>
      </c>
      <c r="E97" s="29">
        <v>0.062</v>
      </c>
      <c r="F97" s="29">
        <v>0.09</v>
      </c>
      <c r="G97" s="29">
        <v>0.04</v>
      </c>
      <c r="H97" s="29">
        <v>0.042</v>
      </c>
      <c r="I97" s="9">
        <f t="shared" si="3"/>
        <v>0.354</v>
      </c>
    </row>
    <row r="98" spans="1:9">
      <c r="A98" s="29" t="s">
        <v>931</v>
      </c>
      <c r="B98" s="29">
        <v>0.091</v>
      </c>
      <c r="C98" s="29">
        <v>0.055</v>
      </c>
      <c r="D98" s="29">
        <v>0.08</v>
      </c>
      <c r="E98" s="29">
        <v>0.025</v>
      </c>
      <c r="F98" s="29">
        <v>0.038</v>
      </c>
      <c r="G98" s="29">
        <v>0.031</v>
      </c>
      <c r="H98" s="29">
        <v>0.035</v>
      </c>
      <c r="I98" s="9">
        <f t="shared" si="3"/>
        <v>0.35</v>
      </c>
    </row>
    <row r="99" spans="1:9">
      <c r="A99" s="29" t="s">
        <v>932</v>
      </c>
      <c r="B99" s="29">
        <v>0.091</v>
      </c>
      <c r="C99" s="29">
        <v>0.055</v>
      </c>
      <c r="D99" s="29">
        <v>0.08</v>
      </c>
      <c r="E99" s="29">
        <v>0.025</v>
      </c>
      <c r="F99" s="29">
        <v>0.038</v>
      </c>
      <c r="G99" s="29">
        <v>0.031</v>
      </c>
      <c r="H99" s="29">
        <v>0.035</v>
      </c>
      <c r="I99" s="9">
        <f t="shared" si="3"/>
        <v>0.35</v>
      </c>
    </row>
    <row r="100" spans="1:9">
      <c r="A100" s="29" t="s">
        <v>933</v>
      </c>
      <c r="B100" s="29">
        <v>0.091</v>
      </c>
      <c r="C100" s="29">
        <v>0.055</v>
      </c>
      <c r="D100" s="29">
        <v>0.11</v>
      </c>
      <c r="E100" s="29">
        <v>0.037</v>
      </c>
      <c r="F100" s="29">
        <v>0.043</v>
      </c>
      <c r="G100" s="29">
        <v>0.031</v>
      </c>
      <c r="H100" s="29">
        <v>0.035</v>
      </c>
      <c r="I100" s="9">
        <f t="shared" si="3"/>
        <v>0.397</v>
      </c>
    </row>
    <row r="101" spans="1:9">
      <c r="A101" s="29" t="s">
        <v>934</v>
      </c>
      <c r="B101" s="29">
        <v>0.091</v>
      </c>
      <c r="C101" s="29">
        <v>0.055</v>
      </c>
      <c r="D101" s="29">
        <v>0.14</v>
      </c>
      <c r="E101" s="29">
        <v>0.078</v>
      </c>
      <c r="F101" s="29">
        <v>0.077</v>
      </c>
      <c r="G101" s="29">
        <v>0.031</v>
      </c>
      <c r="H101" s="29">
        <v>0.04</v>
      </c>
      <c r="I101" s="9">
        <f t="shared" si="3"/>
        <v>0.502</v>
      </c>
    </row>
    <row r="102" spans="1:9">
      <c r="A102" s="29" t="s">
        <v>935</v>
      </c>
      <c r="B102" s="29">
        <v>0.114</v>
      </c>
      <c r="C102" s="29">
        <v>0.067</v>
      </c>
      <c r="D102" s="29">
        <v>0.08</v>
      </c>
      <c r="E102" s="29">
        <v>0.062</v>
      </c>
      <c r="F102" s="29">
        <v>0.1</v>
      </c>
      <c r="G102" s="29">
        <v>0.04</v>
      </c>
      <c r="H102" s="29">
        <v>0.042</v>
      </c>
      <c r="I102" s="9">
        <f t="shared" si="3"/>
        <v>0.493</v>
      </c>
    </row>
    <row r="103" spans="1:8">
      <c r="A103" s="29" t="s">
        <v>936</v>
      </c>
      <c r="B103" s="29">
        <v>0.049</v>
      </c>
      <c r="C103" s="29">
        <v>0.057</v>
      </c>
      <c r="D103" s="29">
        <v>0.048</v>
      </c>
      <c r="E103" s="29">
        <v>0.025</v>
      </c>
      <c r="F103" s="29">
        <v>0.041</v>
      </c>
      <c r="G103" s="29">
        <v>0.049</v>
      </c>
      <c r="H103" s="29">
        <v>0.04</v>
      </c>
    </row>
    <row r="104" spans="1:8">
      <c r="A104" s="29" t="s">
        <v>937</v>
      </c>
      <c r="B104" s="29">
        <v>0.043</v>
      </c>
      <c r="C104" s="29">
        <v>0.05</v>
      </c>
      <c r="D104" s="29">
        <v>0.038</v>
      </c>
      <c r="E104" s="29">
        <v>0.025</v>
      </c>
      <c r="F104" s="29">
        <v>0.038</v>
      </c>
      <c r="G104" s="29">
        <v>0.042</v>
      </c>
      <c r="H104" s="29">
        <v>0.04</v>
      </c>
    </row>
    <row r="105" spans="1:8">
      <c r="A105" s="29" t="s">
        <v>938</v>
      </c>
      <c r="B105" s="29" t="s">
        <v>853</v>
      </c>
      <c r="C105" s="29" t="s">
        <v>853</v>
      </c>
      <c r="D105" s="29" t="s">
        <v>853</v>
      </c>
      <c r="E105" s="29" t="s">
        <v>853</v>
      </c>
      <c r="F105" s="29" t="s">
        <v>853</v>
      </c>
      <c r="G105" s="29" t="s">
        <v>853</v>
      </c>
      <c r="H105" s="29">
        <v>0.032</v>
      </c>
    </row>
    <row r="106" spans="1:8">
      <c r="A106" s="30" t="s">
        <v>939</v>
      </c>
      <c r="B106" s="29" t="s">
        <v>853</v>
      </c>
      <c r="C106" s="29" t="s">
        <v>853</v>
      </c>
      <c r="D106" s="29" t="s">
        <v>853</v>
      </c>
      <c r="E106" s="29" t="s">
        <v>853</v>
      </c>
      <c r="F106" s="29" t="s">
        <v>853</v>
      </c>
      <c r="G106" s="29" t="s">
        <v>853</v>
      </c>
      <c r="H106" s="29">
        <v>0.045</v>
      </c>
    </row>
    <row r="107" spans="1:8">
      <c r="A107" s="30" t="s">
        <v>940</v>
      </c>
      <c r="B107" s="29" t="s">
        <v>853</v>
      </c>
      <c r="C107" s="29" t="s">
        <v>853</v>
      </c>
      <c r="D107" s="29" t="s">
        <v>853</v>
      </c>
      <c r="E107" s="29" t="s">
        <v>853</v>
      </c>
      <c r="F107" s="29" t="s">
        <v>853</v>
      </c>
      <c r="G107" s="29" t="s">
        <v>853</v>
      </c>
      <c r="H107" s="29">
        <v>0.06</v>
      </c>
    </row>
    <row r="108" spans="1:8">
      <c r="A108" s="29" t="s">
        <v>941</v>
      </c>
      <c r="B108" s="29" t="s">
        <v>853</v>
      </c>
      <c r="C108" s="29" t="s">
        <v>853</v>
      </c>
      <c r="D108" s="29" t="s">
        <v>853</v>
      </c>
      <c r="E108" s="29" t="s">
        <v>853</v>
      </c>
      <c r="F108" s="29" t="s">
        <v>853</v>
      </c>
      <c r="G108" s="29" t="s">
        <v>853</v>
      </c>
      <c r="H108" s="29">
        <v>0.03</v>
      </c>
    </row>
    <row r="109" spans="1:8">
      <c r="A109" s="29" t="s">
        <v>942</v>
      </c>
      <c r="B109" s="29" t="s">
        <v>853</v>
      </c>
      <c r="C109" s="29" t="s">
        <v>853</v>
      </c>
      <c r="D109" s="29" t="s">
        <v>853</v>
      </c>
      <c r="E109" s="29" t="s">
        <v>853</v>
      </c>
      <c r="F109" s="29" t="s">
        <v>853</v>
      </c>
      <c r="G109" s="29" t="s">
        <v>853</v>
      </c>
      <c r="H109" s="29">
        <v>0.01</v>
      </c>
    </row>
    <row r="110" spans="1:8">
      <c r="A110" s="29" t="s">
        <v>943</v>
      </c>
      <c r="B110" s="29" t="s">
        <v>853</v>
      </c>
      <c r="C110" s="29" t="s">
        <v>853</v>
      </c>
      <c r="D110" s="29" t="s">
        <v>853</v>
      </c>
      <c r="E110" s="29" t="s">
        <v>853</v>
      </c>
      <c r="F110" s="29" t="s">
        <v>853</v>
      </c>
      <c r="G110" s="29" t="s">
        <v>853</v>
      </c>
      <c r="H110" s="29">
        <v>0.03</v>
      </c>
    </row>
    <row r="111" spans="1:8">
      <c r="A111" s="29" t="s">
        <v>944</v>
      </c>
      <c r="B111" s="29" t="s">
        <v>853</v>
      </c>
      <c r="C111" s="29" t="s">
        <v>853</v>
      </c>
      <c r="D111" s="29" t="s">
        <v>853</v>
      </c>
      <c r="E111" s="29" t="s">
        <v>853</v>
      </c>
      <c r="F111" s="29" t="s">
        <v>853</v>
      </c>
      <c r="G111" s="29" t="s">
        <v>853</v>
      </c>
      <c r="H111" s="29">
        <v>0.006</v>
      </c>
    </row>
    <row r="112" spans="1:8">
      <c r="A112" s="29" t="s">
        <v>945</v>
      </c>
      <c r="B112" s="29" t="s">
        <v>853</v>
      </c>
      <c r="C112" s="29" t="s">
        <v>853</v>
      </c>
      <c r="D112" s="29" t="s">
        <v>853</v>
      </c>
      <c r="E112" s="29" t="s">
        <v>853</v>
      </c>
      <c r="F112" s="29" t="s">
        <v>853</v>
      </c>
      <c r="G112" s="29" t="s">
        <v>853</v>
      </c>
      <c r="H112" s="29">
        <v>0.025</v>
      </c>
    </row>
    <row r="113" spans="1:8">
      <c r="A113" s="29" t="s">
        <v>946</v>
      </c>
      <c r="B113" s="29" t="s">
        <v>853</v>
      </c>
      <c r="C113" s="29" t="s">
        <v>853</v>
      </c>
      <c r="D113" s="29" t="s">
        <v>853</v>
      </c>
      <c r="E113" s="29" t="s">
        <v>853</v>
      </c>
      <c r="F113" s="29" t="s">
        <v>853</v>
      </c>
      <c r="G113" s="29" t="s">
        <v>853</v>
      </c>
      <c r="H113" s="29">
        <v>0.15</v>
      </c>
    </row>
    <row r="114" spans="1:8">
      <c r="A114" s="29" t="s">
        <v>947</v>
      </c>
      <c r="B114" s="29" t="s">
        <v>853</v>
      </c>
      <c r="C114" s="29" t="s">
        <v>853</v>
      </c>
      <c r="D114" s="29" t="s">
        <v>853</v>
      </c>
      <c r="E114" s="29" t="s">
        <v>853</v>
      </c>
      <c r="F114" s="29" t="s">
        <v>853</v>
      </c>
      <c r="G114" s="29" t="s">
        <v>853</v>
      </c>
      <c r="H114" s="29">
        <v>0.05</v>
      </c>
    </row>
    <row r="115" spans="1:8">
      <c r="A115" s="29" t="s">
        <v>948</v>
      </c>
      <c r="B115" s="29" t="s">
        <v>853</v>
      </c>
      <c r="C115" s="29" t="s">
        <v>853</v>
      </c>
      <c r="D115" s="29" t="s">
        <v>853</v>
      </c>
      <c r="E115" s="29" t="s">
        <v>853</v>
      </c>
      <c r="F115" s="29" t="s">
        <v>853</v>
      </c>
      <c r="G115" s="29" t="s">
        <v>853</v>
      </c>
      <c r="H115" s="29">
        <v>0.25</v>
      </c>
    </row>
  </sheetData>
  <sheetProtection selectLockedCells="1"/>
  <autoFilter ref="A2:P33">
    <extLst/>
  </autoFilter>
  <mergeCells count="20">
    <mergeCell ref="A1:M1"/>
    <mergeCell ref="A42:G42"/>
    <mergeCell ref="B63:G63"/>
    <mergeCell ref="B64:G64"/>
    <mergeCell ref="B65:G65"/>
    <mergeCell ref="B66:G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80:G80"/>
    <mergeCell ref="A86:H86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8" sqref="M38"/>
    </sheetView>
  </sheetViews>
  <sheetFormatPr defaultColWidth="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xxxx成本价格-xxx</vt:lpstr>
      <vt:lpstr>微型加头-真实数据-吸塑</vt:lpstr>
      <vt:lpstr>微型加头-真实数据-简包</vt:lpstr>
      <vt:lpstr>微型加头-非真实-简包</vt:lpstr>
      <vt:lpstr>微型加头-非真实-吸塑</vt:lpstr>
      <vt:lpstr>材料价格</vt:lpstr>
      <vt:lpstr>人工</vt:lpstr>
      <vt:lpstr>BOM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2020-05-15T03:10:00Z</dcterms:created>
  <dcterms:modified xsi:type="dcterms:W3CDTF">2022-10-10T06:21:17Z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  <property fmtid="{D5CDD505-2E9C-101B-9397-08002B2CF9AE}" pid="3" name="KSOReadingLayout">
    <vt:bool>true</vt:bool>
  </property>
  <property fmtid="{D5CDD505-2E9C-101B-9397-08002B2CF9AE}" pid="4" name="ICV">
    <vt:lpwstr>AA62C9FE61554378BD7D97B7AD6F8452</vt:lpwstr>
  </property>
</Properties>
</file>