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licers/slicer1.xml" ContentType="application/vnd.ms-excel.slicer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A70DB55B-5E84-46CA-AAA6-DF19B80196AD}" xr6:coauthVersionLast="47" xr6:coauthVersionMax="47" xr10:uidLastSave="{00000000-0000-0000-0000-000000000000}"/>
  <bookViews>
    <workbookView xWindow="-120" yWindow="-120" windowWidth="20730" windowHeight="11040" xr2:uid="{99949B34-71DD-478B-817D-09DD1D8AC20E}"/>
  </bookViews>
  <sheets>
    <sheet name="Grafico da planilha Geral" sheetId="4" r:id="rId1"/>
    <sheet name="Geral" sheetId="1" r:id="rId2"/>
    <sheet name="Expedição" sheetId="2" r:id="rId3"/>
    <sheet name="Vendedores" sheetId="3" r:id="rId4"/>
  </sheets>
  <definedNames>
    <definedName name="Expedição">Expedição!$A$1:$H$17</definedName>
    <definedName name="Fornecedor">Geral!$S$6:$S$13</definedName>
    <definedName name="Geral1">Geral!$A$4:$O$20</definedName>
    <definedName name="Produtos">Geral!$A$23:$D$30</definedName>
    <definedName name="SegmentaçãodeDados_Categoria">#N/A</definedName>
    <definedName name="Vendedores">Vendedores!$A$1:$R$20</definedName>
  </definedNames>
  <calcPr calcId="181029"/>
  <pivotCaches>
    <pivotCache cacheId="4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I21" i="3"/>
  <c r="K21" i="3"/>
  <c r="J21" i="3"/>
  <c r="H21" i="3"/>
  <c r="K25" i="3"/>
  <c r="J25" i="3"/>
  <c r="I25" i="3"/>
  <c r="H25" i="3"/>
  <c r="K24" i="3"/>
  <c r="J24" i="3"/>
  <c r="I24" i="3"/>
  <c r="H24" i="3"/>
  <c r="G20" i="3"/>
  <c r="L20" i="3"/>
  <c r="M20" i="3" s="1"/>
  <c r="N20" i="3" s="1"/>
  <c r="O20" i="3"/>
  <c r="P20" i="3" s="1"/>
  <c r="G19" i="3"/>
  <c r="L19" i="3"/>
  <c r="M19" i="3" s="1"/>
  <c r="N19" i="3" s="1"/>
  <c r="O19" i="3"/>
  <c r="P19" i="3" s="1"/>
  <c r="A16" i="3"/>
  <c r="G17" i="2"/>
  <c r="J20" i="1"/>
  <c r="D24" i="1"/>
  <c r="L20" i="1"/>
  <c r="M20" i="1"/>
  <c r="N20" i="1" s="1"/>
  <c r="O20" i="1"/>
  <c r="A5" i="1"/>
  <c r="C24" i="1" s="1"/>
  <c r="J5" i="1"/>
  <c r="L5" i="1"/>
  <c r="M5" i="1"/>
  <c r="N5" i="1" s="1"/>
  <c r="O5" i="1"/>
  <c r="L6" i="3"/>
  <c r="L7" i="3"/>
  <c r="M7" i="3" s="1"/>
  <c r="N7" i="3" s="1"/>
  <c r="L8" i="3"/>
  <c r="M8" i="3" s="1"/>
  <c r="N8" i="3" s="1"/>
  <c r="L9" i="3"/>
  <c r="L10" i="3"/>
  <c r="M10" i="3" s="1"/>
  <c r="N10" i="3" s="1"/>
  <c r="L11" i="3"/>
  <c r="M11" i="3" s="1"/>
  <c r="N11" i="3" s="1"/>
  <c r="L12" i="3"/>
  <c r="M12" i="3" s="1"/>
  <c r="N12" i="3" s="1"/>
  <c r="L13" i="3"/>
  <c r="L14" i="3"/>
  <c r="M14" i="3" s="1"/>
  <c r="N14" i="3" s="1"/>
  <c r="L15" i="3"/>
  <c r="M15" i="3" s="1"/>
  <c r="N15" i="3" s="1"/>
  <c r="L16" i="3"/>
  <c r="M16" i="3" s="1"/>
  <c r="N16" i="3" s="1"/>
  <c r="L17" i="3"/>
  <c r="L18" i="3"/>
  <c r="M18" i="3" s="1"/>
  <c r="N18" i="3" s="1"/>
  <c r="O3" i="3"/>
  <c r="P3" i="3" s="1"/>
  <c r="O4" i="3"/>
  <c r="P4" i="3" s="1"/>
  <c r="O5" i="3"/>
  <c r="P5" i="3" s="1"/>
  <c r="O6" i="3"/>
  <c r="P6" i="3" s="1"/>
  <c r="O7" i="3"/>
  <c r="P7" i="3" s="1"/>
  <c r="O8" i="3"/>
  <c r="P8" i="3" s="1"/>
  <c r="O9" i="3"/>
  <c r="P9" i="3" s="1"/>
  <c r="O10" i="3"/>
  <c r="P10" i="3" s="1"/>
  <c r="O11" i="3"/>
  <c r="P11" i="3" s="1"/>
  <c r="O12" i="3"/>
  <c r="P12" i="3" s="1"/>
  <c r="O13" i="3"/>
  <c r="P13" i="3" s="1"/>
  <c r="O14" i="3"/>
  <c r="P14" i="3" s="1"/>
  <c r="O15" i="3"/>
  <c r="P15" i="3" s="1"/>
  <c r="O16" i="3"/>
  <c r="P16" i="3" s="1"/>
  <c r="O17" i="3"/>
  <c r="P17" i="3" s="1"/>
  <c r="O18" i="3"/>
  <c r="P18" i="3" s="1"/>
  <c r="O2" i="3"/>
  <c r="P2" i="3" s="1"/>
  <c r="L2" i="3"/>
  <c r="L3" i="3"/>
  <c r="M3" i="3" s="1"/>
  <c r="N3" i="3" s="1"/>
  <c r="L4" i="3"/>
  <c r="M4" i="3" s="1"/>
  <c r="N4" i="3" s="1"/>
  <c r="L5" i="3"/>
  <c r="M6" i="3"/>
  <c r="N6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7" i="3"/>
  <c r="A18" i="3"/>
  <c r="A2" i="3"/>
  <c r="U2" i="3" s="1"/>
  <c r="M6" i="1"/>
  <c r="N6" i="1" s="1"/>
  <c r="M7" i="1"/>
  <c r="N7" i="1" s="1"/>
  <c r="M8" i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A2" i="1"/>
  <c r="N8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H25" i="2" s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B30" i="1" l="1"/>
  <c r="D30" i="1" s="1"/>
  <c r="C30" i="1"/>
  <c r="O21" i="3"/>
  <c r="U4" i="3"/>
  <c r="U3" i="3"/>
  <c r="U5" i="3"/>
  <c r="Q20" i="3"/>
  <c r="L21" i="3"/>
  <c r="H24" i="2"/>
  <c r="H26" i="2"/>
  <c r="H22" i="2"/>
  <c r="H23" i="2"/>
  <c r="C26" i="1"/>
  <c r="Q19" i="3"/>
  <c r="C25" i="1"/>
  <c r="I20" i="1"/>
  <c r="I5" i="1"/>
  <c r="C28" i="1"/>
  <c r="C29" i="1"/>
  <c r="C27" i="1"/>
  <c r="B28" i="1"/>
  <c r="D28" i="1" s="1"/>
  <c r="B26" i="1"/>
  <c r="D26" i="1" s="1"/>
  <c r="B29" i="1"/>
  <c r="B27" i="1"/>
  <c r="D27" i="1" s="1"/>
  <c r="B25" i="1"/>
  <c r="D25" i="1" s="1"/>
  <c r="Q3" i="3"/>
  <c r="R3" i="3" s="1"/>
  <c r="Q16" i="3"/>
  <c r="R16" i="3" s="1"/>
  <c r="Q12" i="3"/>
  <c r="R12" i="3" s="1"/>
  <c r="Q8" i="3"/>
  <c r="R8" i="3" s="1"/>
  <c r="Q2" i="3"/>
  <c r="Q5" i="3"/>
  <c r="R5" i="3" s="1"/>
  <c r="Q18" i="3"/>
  <c r="U6" i="3" s="1"/>
  <c r="Q14" i="3"/>
  <c r="R14" i="3" s="1"/>
  <c r="Q10" i="3"/>
  <c r="R10" i="3" s="1"/>
  <c r="Q4" i="3"/>
  <c r="R4" i="3" s="1"/>
  <c r="M17" i="3"/>
  <c r="N17" i="3" s="1"/>
  <c r="M13" i="3"/>
  <c r="N13" i="3" s="1"/>
  <c r="M9" i="3"/>
  <c r="N9" i="3" s="1"/>
  <c r="M5" i="3"/>
  <c r="N5" i="3" s="1"/>
  <c r="Q17" i="3"/>
  <c r="R17" i="3" s="1"/>
  <c r="Q15" i="3"/>
  <c r="R15" i="3" s="1"/>
  <c r="Q13" i="3"/>
  <c r="R13" i="3" s="1"/>
  <c r="Q11" i="3"/>
  <c r="R11" i="3" s="1"/>
  <c r="Q9" i="3"/>
  <c r="R9" i="3" s="1"/>
  <c r="Q7" i="3"/>
  <c r="R7" i="3" s="1"/>
  <c r="Q6" i="3"/>
  <c r="R6" i="3" s="1"/>
  <c r="I19" i="1"/>
  <c r="I17" i="1"/>
  <c r="I15" i="1"/>
  <c r="I13" i="1"/>
  <c r="I11" i="1"/>
  <c r="I9" i="1"/>
  <c r="I7" i="1"/>
  <c r="I18" i="1"/>
  <c r="I16" i="1"/>
  <c r="I14" i="1"/>
  <c r="I12" i="1"/>
  <c r="I10" i="1"/>
  <c r="I8" i="1"/>
  <c r="I6" i="1"/>
  <c r="D29" i="1" l="1"/>
  <c r="D31" i="1" s="1"/>
  <c r="Q21" i="3"/>
  <c r="R20" i="3"/>
  <c r="R21" i="3"/>
  <c r="R19" i="3"/>
  <c r="R2" i="3"/>
  <c r="R18" i="3"/>
  <c r="M2" i="3"/>
  <c r="N2" i="3" s="1"/>
</calcChain>
</file>

<file path=xl/sharedStrings.xml><?xml version="1.0" encoding="utf-8"?>
<sst xmlns="http://schemas.openxmlformats.org/spreadsheetml/2006/main" count="222" uniqueCount="103">
  <si>
    <t>ID</t>
  </si>
  <si>
    <t>Nome do Produto</t>
  </si>
  <si>
    <t>Categoria</t>
  </si>
  <si>
    <t>Fornecedor</t>
  </si>
  <si>
    <t>Smartphone Apple</t>
  </si>
  <si>
    <t>Smartphone Xiomi</t>
  </si>
  <si>
    <t>Smartphone Poco</t>
  </si>
  <si>
    <t>Smartphone ASUS</t>
  </si>
  <si>
    <t>Caderno Espiral</t>
  </si>
  <si>
    <t>Caderno Brochura</t>
  </si>
  <si>
    <t>Agenda Anual</t>
  </si>
  <si>
    <t>Agenda Planner</t>
  </si>
  <si>
    <t>Camisa Masculina</t>
  </si>
  <si>
    <t>Calça Jeans</t>
  </si>
  <si>
    <t>Bermuda</t>
  </si>
  <si>
    <t>Regata Feminina</t>
  </si>
  <si>
    <t>Fogão</t>
  </si>
  <si>
    <t>Geladeira Eletrolux</t>
  </si>
  <si>
    <t>Ayrfrier</t>
  </si>
  <si>
    <t>Apple</t>
  </si>
  <si>
    <t>ASUS</t>
  </si>
  <si>
    <t>Eletrolux</t>
  </si>
  <si>
    <t>Xiaomi</t>
  </si>
  <si>
    <t>Tilibra</t>
  </si>
  <si>
    <t>Hering</t>
  </si>
  <si>
    <t>Eletronicos</t>
  </si>
  <si>
    <t>Papelaria</t>
  </si>
  <si>
    <t>Eletrodomésticos</t>
  </si>
  <si>
    <t>Vestuário</t>
  </si>
  <si>
    <t>PIX</t>
  </si>
  <si>
    <t>Estoque(Entrada)</t>
  </si>
  <si>
    <t>Estoque (final)</t>
  </si>
  <si>
    <t>saída produto</t>
  </si>
  <si>
    <t>Data de expedição</t>
  </si>
  <si>
    <t>Data de vencimento</t>
  </si>
  <si>
    <t>Data Atual</t>
  </si>
  <si>
    <t>Status</t>
  </si>
  <si>
    <t>Condição</t>
  </si>
  <si>
    <t>Dias Restantes</t>
  </si>
  <si>
    <t xml:space="preserve">Condição </t>
  </si>
  <si>
    <t>OK</t>
  </si>
  <si>
    <t>No</t>
  </si>
  <si>
    <t>Procura</t>
  </si>
  <si>
    <t xml:space="preserve">Nome do produto </t>
  </si>
  <si>
    <t>Recebimento</t>
  </si>
  <si>
    <t>Preço</t>
  </si>
  <si>
    <t>Resultado</t>
  </si>
  <si>
    <t>Valor  total</t>
  </si>
  <si>
    <t>Lucro</t>
  </si>
  <si>
    <t>Valor Produto</t>
  </si>
  <si>
    <t>Custo</t>
  </si>
  <si>
    <t>Nome funcionário</t>
  </si>
  <si>
    <t>Valor</t>
  </si>
  <si>
    <t>Meta vendedor</t>
  </si>
  <si>
    <t>Gráfico</t>
  </si>
  <si>
    <t>Meta</t>
  </si>
  <si>
    <t>Incompleta</t>
  </si>
  <si>
    <t>Isadora Carolina</t>
  </si>
  <si>
    <t xml:space="preserve">Juliana </t>
  </si>
  <si>
    <t>Ana Laura</t>
  </si>
  <si>
    <t>Rafael</t>
  </si>
  <si>
    <t>Jhonatan</t>
  </si>
  <si>
    <t>Miguel</t>
  </si>
  <si>
    <t xml:space="preserve">Bianca </t>
  </si>
  <si>
    <t>Edgard</t>
  </si>
  <si>
    <t>Angélica</t>
  </si>
  <si>
    <t>Giuliano</t>
  </si>
  <si>
    <t>Glenn</t>
  </si>
  <si>
    <t>Andréa</t>
  </si>
  <si>
    <t>Vanessa</t>
  </si>
  <si>
    <t>Gabriel</t>
  </si>
  <si>
    <t>Allan</t>
  </si>
  <si>
    <t>Karen</t>
  </si>
  <si>
    <t>Qtde atual</t>
  </si>
  <si>
    <t>Valor Atual</t>
  </si>
  <si>
    <t>Crédito</t>
  </si>
  <si>
    <t>Dinheiro</t>
  </si>
  <si>
    <t>Débito</t>
  </si>
  <si>
    <t>Valor Crédito</t>
  </si>
  <si>
    <t>Valor Dinheiro</t>
  </si>
  <si>
    <t>Valor Débito</t>
  </si>
  <si>
    <t>Valor PIX</t>
  </si>
  <si>
    <t>Porcentagem</t>
  </si>
  <si>
    <t>Ganho</t>
  </si>
  <si>
    <t>Extra</t>
  </si>
  <si>
    <t>Stefanny</t>
  </si>
  <si>
    <t xml:space="preserve">Nome </t>
  </si>
  <si>
    <t>Qtdade</t>
  </si>
  <si>
    <t>Nível</t>
  </si>
  <si>
    <t>soma do valores maiores que R$ 500,00</t>
  </si>
  <si>
    <t>Régua</t>
  </si>
  <si>
    <t>Pentel</t>
  </si>
  <si>
    <t>Produtos</t>
  </si>
  <si>
    <t>Liliane</t>
  </si>
  <si>
    <t>soma dos valores menores que R$ 100,00</t>
  </si>
  <si>
    <t>Marca</t>
  </si>
  <si>
    <t>Valores</t>
  </si>
  <si>
    <t>Marcos</t>
  </si>
  <si>
    <t>Rótulos de Linha</t>
  </si>
  <si>
    <t>Total Geral</t>
  </si>
  <si>
    <t>Soma de Lucro</t>
  </si>
  <si>
    <t>Soma de Valor Produto</t>
  </si>
  <si>
    <t>Soma de Valor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</si>
</sst>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Playbill"/>
      <family val="5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C393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227ACB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0" fontId="0" fillId="0" borderId="0" xfId="0" applyAlignment="1"/>
    <xf numFmtId="14" fontId="0" fillId="8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" fontId="0" fillId="0" borderId="0" xfId="2" applyNumberFormat="1" applyFont="1" applyAlignment="1">
      <alignment horizontal="center"/>
    </xf>
    <xf numFmtId="1" fontId="0" fillId="9" borderId="1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4" fontId="0" fillId="10" borderId="1" xfId="1" applyFont="1" applyFill="1" applyBorder="1" applyAlignment="1">
      <alignment horizontal="center"/>
    </xf>
    <xf numFmtId="44" fontId="0" fillId="0" borderId="0" xfId="1" applyFont="1"/>
    <xf numFmtId="0" fontId="0" fillId="1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Border="1"/>
    <xf numFmtId="44" fontId="0" fillId="0" borderId="1" xfId="1" applyFont="1" applyBorder="1"/>
    <xf numFmtId="0" fontId="0" fillId="9" borderId="0" xfId="0" applyFill="1" applyBorder="1" applyAlignment="1">
      <alignment horizontal="center"/>
    </xf>
    <xf numFmtId="14" fontId="0" fillId="9" borderId="0" xfId="0" applyNumberFormat="1" applyFill="1" applyBorder="1" applyAlignment="1">
      <alignment horizontal="center"/>
    </xf>
    <xf numFmtId="44" fontId="0" fillId="9" borderId="0" xfId="1" applyFont="1" applyFill="1" applyBorder="1" applyAlignment="1">
      <alignment horizontal="center"/>
    </xf>
    <xf numFmtId="0" fontId="0" fillId="9" borderId="0" xfId="0" applyFill="1"/>
    <xf numFmtId="0" fontId="0" fillId="0" borderId="4" xfId="0" applyBorder="1" applyAlignment="1">
      <alignment horizontal="center"/>
    </xf>
    <xf numFmtId="44" fontId="0" fillId="0" borderId="4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4" fontId="0" fillId="7" borderId="4" xfId="0" applyNumberFormat="1" applyFill="1" applyBorder="1" applyAlignment="1">
      <alignment horizontal="center"/>
    </xf>
    <xf numFmtId="44" fontId="0" fillId="10" borderId="4" xfId="1" applyFont="1" applyFill="1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0" fillId="9" borderId="0" xfId="0" applyFill="1" applyBorder="1"/>
    <xf numFmtId="9" fontId="0" fillId="0" borderId="1" xfId="3" applyFont="1" applyBorder="1" applyAlignment="1">
      <alignment horizontal="center"/>
    </xf>
    <xf numFmtId="9" fontId="0" fillId="0" borderId="0" xfId="3" applyFont="1" applyAlignment="1">
      <alignment horizontal="center"/>
    </xf>
    <xf numFmtId="0" fontId="3" fillId="0" borderId="1" xfId="0" applyFont="1" applyBorder="1"/>
    <xf numFmtId="44" fontId="0" fillId="5" borderId="1" xfId="1" applyFont="1" applyFill="1" applyBorder="1" applyAlignment="1">
      <alignment horizontal="center"/>
    </xf>
    <xf numFmtId="0" fontId="3" fillId="9" borderId="3" xfId="0" applyFont="1" applyFill="1" applyBorder="1"/>
    <xf numFmtId="9" fontId="0" fillId="13" borderId="1" xfId="3" applyFont="1" applyFill="1" applyBorder="1" applyAlignment="1">
      <alignment horizontal="center"/>
    </xf>
    <xf numFmtId="44" fontId="0" fillId="13" borderId="1" xfId="1" applyFont="1" applyFill="1" applyBorder="1"/>
    <xf numFmtId="44" fontId="0" fillId="14" borderId="1" xfId="0" applyNumberFormat="1" applyFill="1" applyBorder="1" applyAlignment="1">
      <alignment horizontal="center"/>
    </xf>
    <xf numFmtId="1" fontId="0" fillId="9" borderId="0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4" fontId="0" fillId="8" borderId="4" xfId="0" applyNumberFormat="1" applyFill="1" applyBorder="1" applyAlignment="1">
      <alignment horizontal="center"/>
    </xf>
    <xf numFmtId="1" fontId="0" fillId="9" borderId="4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8" xfId="0" applyBorder="1"/>
    <xf numFmtId="0" fontId="0" fillId="9" borderId="4" xfId="0" applyFill="1" applyBorder="1" applyAlignment="1">
      <alignment horizontal="center"/>
    </xf>
    <xf numFmtId="44" fontId="0" fillId="9" borderId="4" xfId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4" fontId="0" fillId="2" borderId="5" xfId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44" fontId="0" fillId="2" borderId="10" xfId="1" applyFont="1" applyFill="1" applyBorder="1" applyAlignment="1">
      <alignment horizontal="center"/>
    </xf>
    <xf numFmtId="44" fontId="2" fillId="2" borderId="11" xfId="1" applyFont="1" applyFill="1" applyBorder="1" applyAlignment="1">
      <alignment horizontal="center"/>
    </xf>
    <xf numFmtId="0" fontId="0" fillId="0" borderId="6" xfId="0" applyBorder="1"/>
    <xf numFmtId="0" fontId="0" fillId="2" borderId="7" xfId="0" applyFill="1" applyBorder="1"/>
    <xf numFmtId="0" fontId="0" fillId="0" borderId="8" xfId="0" applyFill="1" applyBorder="1"/>
    <xf numFmtId="0" fontId="0" fillId="9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4" fontId="0" fillId="3" borderId="9" xfId="1" applyFont="1" applyFill="1" applyBorder="1" applyAlignment="1">
      <alignment horizontal="center"/>
    </xf>
    <xf numFmtId="44" fontId="0" fillId="3" borderId="13" xfId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44" fontId="0" fillId="0" borderId="9" xfId="1" applyFont="1" applyBorder="1"/>
    <xf numFmtId="9" fontId="0" fillId="2" borderId="5" xfId="3" applyFont="1" applyFill="1" applyBorder="1" applyAlignment="1">
      <alignment horizontal="center"/>
    </xf>
    <xf numFmtId="44" fontId="0" fillId="2" borderId="11" xfId="1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9" fontId="0" fillId="0" borderId="4" xfId="3" applyFont="1" applyBorder="1" applyAlignment="1">
      <alignment horizontal="center"/>
    </xf>
    <xf numFmtId="0" fontId="3" fillId="0" borderId="4" xfId="0" applyFont="1" applyBorder="1"/>
    <xf numFmtId="44" fontId="0" fillId="0" borderId="4" xfId="1" applyFont="1" applyBorder="1"/>
    <xf numFmtId="44" fontId="0" fillId="0" borderId="13" xfId="1" applyFont="1" applyBorder="1"/>
    <xf numFmtId="44" fontId="0" fillId="9" borderId="0" xfId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4">
    <cellStyle name="Moeda" xfId="1" builtinId="4"/>
    <cellStyle name="Normal" xfId="0" builtinId="0"/>
    <cellStyle name="Porcentagem" xfId="3" builtinId="5"/>
    <cellStyle name="Vírgula" xfId="2" builtinId="3"/>
  </cellStyles>
  <dxfs count="90">
    <dxf>
      <numFmt numFmtId="19" formatCode="dd/mm/yyyy"/>
      <fill>
        <patternFill patternType="solid">
          <fgColor indexed="64"/>
          <bgColor rgb="FFDC393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rgb="FF92D050"/>
        </patternFill>
      </fill>
    </dxf>
    <dxf>
      <font>
        <color theme="1"/>
      </font>
      <numFmt numFmtId="0" formatCode="General"/>
      <fill>
        <patternFill>
          <fgColor theme="0"/>
          <bgColor rgb="FFFFC000"/>
        </patternFill>
      </fill>
    </dxf>
    <dxf>
      <font>
        <color rgb="FFFF0000"/>
      </font>
    </dxf>
    <dxf>
      <fill>
        <patternFill>
          <fgColor rgb="FF00B050"/>
        </patternFill>
      </fill>
    </dxf>
    <dxf>
      <font>
        <color theme="9"/>
      </font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Playbill"/>
        <family val="5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1" defaultTableStyle="TableStyleMedium2" defaultPivotStyle="PivotStyleLight16">
    <tableStyle name="Estilo de Tabela 1" pivot="0" count="0" xr9:uid="{406BB176-C265-4073-B79C-0D36869C879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[Pasta1(01).xlsx]Grafico da planilha Geral!Tabela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646539182602173"/>
          <c:y val="0.20463740374994563"/>
          <c:w val="0.63695943007124112"/>
          <c:h val="0.558315569669813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'Grafico da planilha Geral'!$B$1</c:f>
              <c:strCache>
                <c:ptCount val="1"/>
                <c:pt idx="0">
                  <c:v>Soma de Valor 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 da planilha Geral'!$A$2:$A$9</c:f>
              <c:strCache>
                <c:ptCount val="7"/>
                <c:pt idx="0">
                  <c:v>Apple</c:v>
                </c:pt>
                <c:pt idx="1">
                  <c:v>ASUS</c:v>
                </c:pt>
                <c:pt idx="2">
                  <c:v>Eletrolux</c:v>
                </c:pt>
                <c:pt idx="3">
                  <c:v>Hering</c:v>
                </c:pt>
                <c:pt idx="4">
                  <c:v>Pentel</c:v>
                </c:pt>
                <c:pt idx="5">
                  <c:v>Tilibra</c:v>
                </c:pt>
                <c:pt idx="6">
                  <c:v>Xiaomi</c:v>
                </c:pt>
              </c:strCache>
            </c:strRef>
          </c:cat>
          <c:val>
            <c:numRef>
              <c:f>'Grafico da planilha Geral'!$B$2:$B$9</c:f>
              <c:numCache>
                <c:formatCode>_("R$"* #,##0.00_);_("R$"* \(#,##0.00\);_("R$"* "-"??_);_(@_)</c:formatCode>
                <c:ptCount val="7"/>
                <c:pt idx="0">
                  <c:v>90000</c:v>
                </c:pt>
                <c:pt idx="1">
                  <c:v>9450</c:v>
                </c:pt>
                <c:pt idx="2">
                  <c:v>146100</c:v>
                </c:pt>
                <c:pt idx="3">
                  <c:v>1335</c:v>
                </c:pt>
                <c:pt idx="4">
                  <c:v>80</c:v>
                </c:pt>
                <c:pt idx="5">
                  <c:v>800</c:v>
                </c:pt>
                <c:pt idx="6">
                  <c:v>35250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9-457F-B197-3CC9A87DD93A}"/>
            </c:ext>
          </c:extLst>
        </c:ser>
        <c:ser>
          <c:idx val="1"/>
          <c:order val="1"/>
          <c:tx>
            <c:strRef>
              <c:f>'Grafico da planilha Geral'!$C$1</c:f>
              <c:strCache>
                <c:ptCount val="1"/>
                <c:pt idx="0">
                  <c:v>Soma de Lucro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'Grafico da planilha Geral'!$A$2:$A$9</c:f>
              <c:strCache>
                <c:ptCount val="7"/>
                <c:pt idx="0">
                  <c:v>Apple</c:v>
                </c:pt>
                <c:pt idx="1">
                  <c:v>ASUS</c:v>
                </c:pt>
                <c:pt idx="2">
                  <c:v>Eletrolux</c:v>
                </c:pt>
                <c:pt idx="3">
                  <c:v>Hering</c:v>
                </c:pt>
                <c:pt idx="4">
                  <c:v>Pentel</c:v>
                </c:pt>
                <c:pt idx="5">
                  <c:v>Tilibra</c:v>
                </c:pt>
                <c:pt idx="6">
                  <c:v>Xiaomi</c:v>
                </c:pt>
              </c:strCache>
            </c:strRef>
          </c:cat>
          <c:val>
            <c:numRef>
              <c:f>'Grafico da planilha Geral'!$C$2:$C$9</c:f>
              <c:numCache>
                <c:formatCode>_("R$"* #,##0.00_);_("R$"* \(#,##0.00\);_("R$"* "-"??_);_(@_)</c:formatCode>
                <c:ptCount val="7"/>
                <c:pt idx="0">
                  <c:v>45000</c:v>
                </c:pt>
                <c:pt idx="1">
                  <c:v>4725</c:v>
                </c:pt>
                <c:pt idx="2">
                  <c:v>73050</c:v>
                </c:pt>
                <c:pt idx="3">
                  <c:v>667.5</c:v>
                </c:pt>
                <c:pt idx="4">
                  <c:v>40</c:v>
                </c:pt>
                <c:pt idx="5">
                  <c:v>400</c:v>
                </c:pt>
                <c:pt idx="6">
                  <c:v>17625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A9-457F-B197-3CC9A87DD93A}"/>
            </c:ext>
          </c:extLst>
        </c:ser>
        <c:ser>
          <c:idx val="2"/>
          <c:order val="2"/>
          <c:tx>
            <c:strRef>
              <c:f>'Grafico da planilha Geral'!$D$1</c:f>
              <c:strCache>
                <c:ptCount val="1"/>
                <c:pt idx="0">
                  <c:v>Soma de Valor Produto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'Grafico da planilha Geral'!$A$2:$A$9</c:f>
              <c:strCache>
                <c:ptCount val="7"/>
                <c:pt idx="0">
                  <c:v>Apple</c:v>
                </c:pt>
                <c:pt idx="1">
                  <c:v>ASUS</c:v>
                </c:pt>
                <c:pt idx="2">
                  <c:v>Eletrolux</c:v>
                </c:pt>
                <c:pt idx="3">
                  <c:v>Hering</c:v>
                </c:pt>
                <c:pt idx="4">
                  <c:v>Pentel</c:v>
                </c:pt>
                <c:pt idx="5">
                  <c:v>Tilibra</c:v>
                </c:pt>
                <c:pt idx="6">
                  <c:v>Xiaomi</c:v>
                </c:pt>
              </c:strCache>
            </c:strRef>
          </c:cat>
          <c:val>
            <c:numRef>
              <c:f>'Grafico da planilha Geral'!$D$2:$D$9</c:f>
              <c:numCache>
                <c:formatCode>_("R$"* #,##0.00_);_("R$"* \(#,##0.00\);_("R$"* "-"??_);_(@_)</c:formatCode>
                <c:ptCount val="7"/>
                <c:pt idx="0">
                  <c:v>6750</c:v>
                </c:pt>
                <c:pt idx="1">
                  <c:v>2835</c:v>
                </c:pt>
                <c:pt idx="2">
                  <c:v>53325</c:v>
                </c:pt>
                <c:pt idx="3">
                  <c:v>210</c:v>
                </c:pt>
                <c:pt idx="4">
                  <c:v>15</c:v>
                </c:pt>
                <c:pt idx="5">
                  <c:v>74.25</c:v>
                </c:pt>
                <c:pt idx="6">
                  <c:v>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A9-457F-B197-3CC9A87DD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050064"/>
        <c:axId val="668047184"/>
      </c:barChart>
      <c:catAx>
        <c:axId val="66805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8047184"/>
        <c:crosses val="autoZero"/>
        <c:auto val="1"/>
        <c:lblAlgn val="ctr"/>
        <c:lblOffset val="100"/>
        <c:noMultiLvlLbl val="0"/>
      </c:catAx>
      <c:valAx>
        <c:axId val="6680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805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38100</xdr:rowOff>
    </xdr:from>
    <xdr:to>
      <xdr:col>12</xdr:col>
      <xdr:colOff>180975</xdr:colOff>
      <xdr:row>43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D12170-694E-F687-7CB0-34E46AB71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228600</xdr:colOff>
      <xdr:row>20</xdr:row>
      <xdr:rowOff>180975</xdr:rowOff>
    </xdr:from>
    <xdr:to>
      <xdr:col>5</xdr:col>
      <xdr:colOff>952500</xdr:colOff>
      <xdr:row>34</xdr:row>
      <xdr:rowOff>38100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Categoria">
              <a:extLst>
                <a:ext uri="{FF2B5EF4-FFF2-40B4-BE49-F238E27FC236}">
                  <a16:creationId xmlns:a16="http://schemas.microsoft.com/office/drawing/2014/main" id="{8D8FFC13-592E-F96E-6EED-80F71D3A17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4825" y="39909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58.543599189812" createdVersion="8" refreshedVersion="8" minRefreshableVersion="3" recordCount="16" xr:uid="{6615F7C2-2779-4EDB-A70B-FD898613350B}">
  <cacheSource type="worksheet">
    <worksheetSource name="Tabela3"/>
  </cacheSource>
  <cacheFields count="15">
    <cacheField name="ID" numFmtId="0">
      <sharedItems containsSemiMixedTypes="0" containsString="0" containsNumber="1" containsInteger="1" minValue="1" maxValue="16"/>
    </cacheField>
    <cacheField name="Nome do Produto" numFmtId="0">
      <sharedItems count="16">
        <s v="Smartphone Apple"/>
        <s v="Smartphone Xiomi"/>
        <s v="Smartphone Poco"/>
        <s v="Smartphone ASUS"/>
        <s v="Caderno Espiral"/>
        <s v="Caderno Brochura"/>
        <s v="Agenda Anual"/>
        <s v="Agenda Planner"/>
        <s v="Camisa Masculina"/>
        <s v="Regata Feminina"/>
        <s v="Calça Jeans"/>
        <s v="Bermuda"/>
        <s v="Fogão"/>
        <s v="Geladeira Eletrolux"/>
        <s v="Ayrfrier"/>
        <s v="Régua"/>
      </sharedItems>
    </cacheField>
    <cacheField name="Estoque(Entrada)" numFmtId="0">
      <sharedItems containsSemiMixedTypes="0" containsString="0" containsNumber="1" containsInteger="1" minValue="2" maxValue="50"/>
    </cacheField>
    <cacheField name="Fornecedor" numFmtId="0">
      <sharedItems count="7">
        <s v="Apple"/>
        <s v="Xiaomi"/>
        <s v="ASUS"/>
        <s v="Tilibra"/>
        <s v="Hering"/>
        <s v="Eletrolux"/>
        <s v="Pentel"/>
      </sharedItems>
    </cacheField>
    <cacheField name="Categoria" numFmtId="0">
      <sharedItems/>
    </cacheField>
    <cacheField name="Custo" numFmtId="44">
      <sharedItems containsSemiMixedTypes="0" containsString="0" containsNumber="1" minValue="4.5" maxValue="20000"/>
    </cacheField>
    <cacheField name="Data de expedição" numFmtId="14">
      <sharedItems containsSemiMixedTypes="0" containsNonDate="0" containsDate="1" containsString="0" minDate="2024-10-10T00:00:00" maxDate="2024-12-25T00:00:00"/>
    </cacheField>
    <cacheField name="Data de vencimento" numFmtId="14">
      <sharedItems containsSemiMixedTypes="0" containsNonDate="0" containsDate="1" containsString="0" minDate="2024-11-24T00:00:00" maxDate="2025-04-11T00:00:00"/>
    </cacheField>
    <cacheField name="Dias Restantes" numFmtId="1">
      <sharedItems containsSemiMixedTypes="0" containsString="0" containsNumber="1" containsInteger="1" minValue="-38" maxValue="99"/>
    </cacheField>
    <cacheField name="Status" numFmtId="1">
      <sharedItems/>
    </cacheField>
    <cacheField name="Condição" numFmtId="0">
      <sharedItems/>
    </cacheField>
    <cacheField name="Valor  total" numFmtId="44">
      <sharedItems containsSemiMixedTypes="0" containsString="0" containsNumber="1" containsInteger="1" minValue="80" maxValue="100000"/>
    </cacheField>
    <cacheField name="Valor Produto" numFmtId="44">
      <sharedItems containsSemiMixedTypes="0" containsString="0" containsNumber="1" minValue="6.75" maxValue="30000"/>
    </cacheField>
    <cacheField name="Lucro" numFmtId="44">
      <sharedItems containsSemiMixedTypes="0" containsString="0" containsNumber="1" minValue="40" maxValue="50000"/>
    </cacheField>
    <cacheField name="Estoque (final)" numFmtId="0">
      <sharedItems containsSemiMixedTypes="0" containsString="0" containsNumber="1" containsInteger="1" minValue="1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"/>
    <x v="0"/>
    <n v="20"/>
    <x v="0"/>
    <s v="Eletronicos"/>
    <n v="4500"/>
    <d v="2024-12-24T00:00:00"/>
    <d v="2025-01-23T00:00:00"/>
    <n v="22"/>
    <s v="Pago"/>
    <s v="OK"/>
    <n v="90000"/>
    <n v="6750"/>
    <n v="45000"/>
    <n v="15"/>
  </r>
  <r>
    <n v="2"/>
    <x v="1"/>
    <n v="10"/>
    <x v="1"/>
    <s v="Eletronicos"/>
    <n v="1200"/>
    <d v="2024-12-10T00:00:00"/>
    <d v="2025-02-08T00:00:00"/>
    <n v="38"/>
    <s v="A pagar"/>
    <s v="No"/>
    <n v="12000"/>
    <n v="1800"/>
    <n v="6000"/>
    <n v="4"/>
  </r>
  <r>
    <n v="3"/>
    <x v="2"/>
    <n v="15"/>
    <x v="1"/>
    <s v="Eletronicos"/>
    <n v="1550"/>
    <d v="2024-12-11T00:00:00"/>
    <d v="2025-02-09T00:00:00"/>
    <n v="39"/>
    <s v="A pagar"/>
    <s v="No"/>
    <n v="23250"/>
    <n v="2325"/>
    <n v="11625"/>
    <n v="10"/>
  </r>
  <r>
    <n v="4"/>
    <x v="3"/>
    <n v="5"/>
    <x v="2"/>
    <s v="Eletronicos"/>
    <n v="1890"/>
    <d v="2024-12-11T00:00:00"/>
    <d v="2025-04-10T00:00:00"/>
    <n v="99"/>
    <s v="A pagar"/>
    <s v="No"/>
    <n v="9450"/>
    <n v="2835"/>
    <n v="4725"/>
    <n v="2"/>
  </r>
  <r>
    <n v="5"/>
    <x v="4"/>
    <n v="40"/>
    <x v="3"/>
    <s v="Papelaria"/>
    <n v="5"/>
    <d v="2024-12-19T00:00:00"/>
    <d v="2025-02-02T00:00:00"/>
    <n v="32"/>
    <s v="A pagar"/>
    <s v="No"/>
    <n v="200"/>
    <n v="7.5"/>
    <n v="100"/>
    <n v="9"/>
  </r>
  <r>
    <n v="6"/>
    <x v="5"/>
    <n v="50"/>
    <x v="3"/>
    <s v="Papelaria"/>
    <n v="4.5"/>
    <d v="2024-10-10T00:00:00"/>
    <d v="2024-11-24T00:00:00"/>
    <n v="-38"/>
    <s v="Pago"/>
    <s v="OK"/>
    <n v="225"/>
    <n v="6.75"/>
    <n v="112.5"/>
    <n v="38"/>
  </r>
  <r>
    <n v="7"/>
    <x v="6"/>
    <n v="9"/>
    <x v="3"/>
    <s v="Papelaria"/>
    <n v="25"/>
    <d v="2024-10-10T00:00:00"/>
    <d v="2024-11-24T00:00:00"/>
    <n v="-38"/>
    <s v="Pago"/>
    <s v="OK"/>
    <n v="225"/>
    <n v="37.5"/>
    <n v="112.5"/>
    <n v="1"/>
  </r>
  <r>
    <n v="8"/>
    <x v="7"/>
    <n v="10"/>
    <x v="3"/>
    <s v="Papelaria"/>
    <n v="15"/>
    <d v="2024-10-10T00:00:00"/>
    <d v="2024-11-24T00:00:00"/>
    <n v="-38"/>
    <s v="Pago"/>
    <s v="OK"/>
    <n v="150"/>
    <n v="22.5"/>
    <n v="75"/>
    <n v="6"/>
  </r>
  <r>
    <n v="9"/>
    <x v="8"/>
    <n v="5"/>
    <x v="4"/>
    <s v="Vestuário"/>
    <n v="35"/>
    <d v="2024-12-23T00:00:00"/>
    <d v="2025-01-07T00:00:00"/>
    <n v="6"/>
    <s v="Pago"/>
    <s v="OK"/>
    <n v="175"/>
    <n v="52.5"/>
    <n v="87.5"/>
    <n v="3"/>
  </r>
  <r>
    <n v="10"/>
    <x v="9"/>
    <n v="20"/>
    <x v="4"/>
    <s v="Vestuário"/>
    <n v="30"/>
    <d v="2024-12-23T00:00:00"/>
    <d v="2025-01-07T00:00:00"/>
    <n v="6"/>
    <s v="Pago"/>
    <s v="OK"/>
    <n v="600"/>
    <n v="45"/>
    <n v="300"/>
    <n v="9"/>
  </r>
  <r>
    <n v="11"/>
    <x v="10"/>
    <n v="7"/>
    <x v="4"/>
    <s v="Vestuário"/>
    <n v="40"/>
    <d v="2024-12-23T00:00:00"/>
    <d v="2025-01-07T00:00:00"/>
    <n v="6"/>
    <s v="Pago"/>
    <s v="OK"/>
    <n v="280"/>
    <n v="60"/>
    <n v="140"/>
    <n v="2"/>
  </r>
  <r>
    <n v="12"/>
    <x v="11"/>
    <n v="8"/>
    <x v="4"/>
    <s v="Vestuário"/>
    <n v="35"/>
    <d v="2024-12-23T00:00:00"/>
    <d v="2025-01-07T00:00:00"/>
    <n v="6"/>
    <s v="Pago"/>
    <s v="OK"/>
    <n v="280"/>
    <n v="52.5"/>
    <n v="140"/>
    <n v="4"/>
  </r>
  <r>
    <n v="13"/>
    <x v="12"/>
    <n v="5"/>
    <x v="5"/>
    <s v="Eletrodomésticos"/>
    <n v="20000"/>
    <d v="2024-12-19T00:00:00"/>
    <d v="2025-03-19T00:00:00"/>
    <n v="77"/>
    <s v="A pagar"/>
    <s v="No"/>
    <n v="100000"/>
    <n v="30000"/>
    <n v="50000"/>
    <n v="4"/>
  </r>
  <r>
    <n v="14"/>
    <x v="13"/>
    <n v="3"/>
    <x v="5"/>
    <s v="Eletrodomésticos"/>
    <n v="15000"/>
    <d v="2024-12-19T00:00:00"/>
    <d v="2025-03-19T00:00:00"/>
    <n v="77"/>
    <s v="A pagar"/>
    <s v="No"/>
    <n v="45000"/>
    <n v="22500"/>
    <n v="22500"/>
    <n v="1"/>
  </r>
  <r>
    <n v="15"/>
    <x v="14"/>
    <n v="2"/>
    <x v="5"/>
    <s v="Eletrodomésticos"/>
    <n v="550"/>
    <d v="2024-12-19T00:00:00"/>
    <d v="2025-03-19T00:00:00"/>
    <n v="77"/>
    <s v="A pagar"/>
    <s v="No"/>
    <n v="1100"/>
    <n v="825"/>
    <n v="550"/>
    <n v="2"/>
  </r>
  <r>
    <n v="16"/>
    <x v="15"/>
    <n v="8"/>
    <x v="6"/>
    <s v="Papelaria"/>
    <n v="10"/>
    <d v="2024-12-18T00:00:00"/>
    <d v="2025-02-01T00:00:00"/>
    <n v="31"/>
    <s v="A pagar"/>
    <s v="No"/>
    <n v="80"/>
    <n v="15"/>
    <n v="4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A5655C-CD46-4020-AF25-FEB6AA5DBA14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D9" firstHeaderRow="0" firstDataRow="1" firstDataCol="1"/>
  <pivotFields count="15">
    <pivotField showAll="0"/>
    <pivotField showAll="0">
      <items count="17">
        <item x="6"/>
        <item x="7"/>
        <item x="14"/>
        <item x="11"/>
        <item x="5"/>
        <item x="4"/>
        <item x="10"/>
        <item x="8"/>
        <item x="12"/>
        <item x="13"/>
        <item x="9"/>
        <item x="15"/>
        <item x="0"/>
        <item x="3"/>
        <item x="2"/>
        <item x="1"/>
        <item t="default"/>
      </items>
    </pivotField>
    <pivotField showAll="0"/>
    <pivotField axis="axisRow" showAll="0">
      <items count="8">
        <item x="0"/>
        <item x="2"/>
        <item x="5"/>
        <item x="4"/>
        <item x="6"/>
        <item x="3"/>
        <item x="1"/>
        <item t="default"/>
      </items>
    </pivotField>
    <pivotField showAll="0"/>
    <pivotField numFmtId="44" showAll="0"/>
    <pivotField numFmtId="14" showAll="0"/>
    <pivotField numFmtId="14" showAll="0"/>
    <pivotField numFmtId="1" showAll="0"/>
    <pivotField showAll="0"/>
    <pivotField showAll="0"/>
    <pivotField dataField="1" numFmtId="44" showAll="0"/>
    <pivotField dataField="1" numFmtId="44" showAll="0"/>
    <pivotField dataField="1" numFmtId="44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Valor  total" fld="11" baseField="0" baseItem="0" numFmtId="44"/>
    <dataField name="Soma de Lucro" fld="13" baseField="0" baseItem="0" numFmtId="44"/>
    <dataField name="Soma de Valor Produto" fld="12" baseField="0" baseItem="0" numFmtId="44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11A3C3D8-5A4C-41DD-A454-0771F247F106}" sourceName="Categoria">
  <extLst>
    <x:ext xmlns:x15="http://schemas.microsoft.com/office/spreadsheetml/2010/11/main" uri="{2F2917AC-EB37-4324-AD4E-5DD8C200BD13}">
      <x15:tableSlicerCache tableId="3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305EFAA1-0CED-41B0-ADD3-2A081495C07E}" cache="SegmentaçãodeDados_Categoria" caption="Categoria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71FB41-11AF-4DD3-BE71-2556B3F4274F}" name="Tabela3" displayName="Tabela3" ref="A4:O20" totalsRowShown="0" headerRowBorderDxfId="88" tableBorderDxfId="89" totalsRowBorderDxfId="87">
  <autoFilter ref="A4:O20" xr:uid="{F871FB41-11AF-4DD3-BE71-2556B3F4274F}">
    <filterColumn colId="4">
      <filters>
        <filter val="Papelaria"/>
      </filters>
    </filterColumn>
  </autoFilter>
  <tableColumns count="15">
    <tableColumn id="1" xr3:uid="{14857A7A-5CD3-42B5-91A6-627C6BC88F93}" name="ID" dataDxfId="86">
      <calculatedColumnFormula>ROW(A5)-4</calculatedColumnFormula>
    </tableColumn>
    <tableColumn id="2" xr3:uid="{AFBB4688-A025-4AAD-B08F-46E47B05FFC8}" name="Nome do Produto" dataDxfId="85"/>
    <tableColumn id="3" xr3:uid="{C01B1885-CBAC-4855-9A78-6569B7471CC3}" name="Estoque(Entrada)" dataDxfId="84"/>
    <tableColumn id="4" xr3:uid="{66978F6E-8A57-4E20-A465-0C78D5D43137}" name="Fornecedor" dataDxfId="83"/>
    <tableColumn id="5" xr3:uid="{BD224E25-05ED-45BC-BBF7-FE18B92C7A6B}" name="Categoria" dataDxfId="82"/>
    <tableColumn id="6" xr3:uid="{EE9BC492-E43D-4E84-B27D-DAED576A46C6}" name="Custo" dataDxfId="81" dataCellStyle="Moeda"/>
    <tableColumn id="7" xr3:uid="{E1B497CC-02F0-40C9-B77C-C36F59902488}" name="Data de expedição" dataDxfId="80"/>
    <tableColumn id="8" xr3:uid="{8204A97A-F96A-4F58-8EEA-4F04BB8F0657}" name="Data de vencimento" dataDxfId="0">
      <calculatedColumnFormula>IF(D5="apple",G5+30,IF(D5="xiaomi",G5+60,IF(D5="ASUS",G5+120,IF(E5="papelaria",G5+45,IF(D5="Hering",G5+15,IF(D5="Eletrolux",G5+90))))))</calculatedColumnFormula>
    </tableColumn>
    <tableColumn id="9" xr3:uid="{E0731295-0BD1-4A18-9D82-C1F646EB816C}" name="Dias Restantes" dataDxfId="79">
      <calculatedColumnFormula>H5-$A$2</calculatedColumnFormula>
    </tableColumn>
    <tableColumn id="10" xr3:uid="{11C4B07C-9D0A-40C1-A3FB-00FE36881256}" name="Status" dataDxfId="78">
      <calculatedColumnFormula>IF(K5="ok","Pago",IF(K5="No","A pagar"))</calculatedColumnFormula>
    </tableColumn>
    <tableColumn id="11" xr3:uid="{3BFDF9D5-D0E3-4019-9923-332BAF49F101}" name="Condição" dataDxfId="77"/>
    <tableColumn id="12" xr3:uid="{1B463F40-6062-4156-8C87-6DE3802E96AA}" name="Valor  total" dataDxfId="76" dataCellStyle="Moeda">
      <calculatedColumnFormula>F5*C5</calculatedColumnFormula>
    </tableColumn>
    <tableColumn id="13" xr3:uid="{4A62A012-205C-4C76-A241-9C65314C9E3E}" name="Valor Produto" dataDxfId="75" dataCellStyle="Moeda">
      <calculatedColumnFormula>F5+(F5*50%)</calculatedColumnFormula>
    </tableColumn>
    <tableColumn id="14" xr3:uid="{2C8B0C79-9EE3-4DCA-8255-4B9C9ADA3F37}" name="Lucro" dataDxfId="74" dataCellStyle="Moeda">
      <calculatedColumnFormula>(M5-F5)*C5</calculatedColumnFormula>
    </tableColumn>
    <tableColumn id="15" xr3:uid="{6EFD8D87-66F7-4874-954B-826C7F37C146}" name="Estoque (final)" dataDxfId="73">
      <calculatedColumnFormula>C5-Expedição!H2</calculatedColumnFormula>
    </tableColumn>
  </tableColumns>
  <tableStyleInfo name="Estilo de Tabe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25E40E-3C55-43DE-94B9-698E24BF5C3F}" name="Tabela4" displayName="Tabela4" ref="S6:S13" totalsRowShown="0" headerRowDxfId="72" headerRowBorderDxfId="70" tableBorderDxfId="71" totalsRowBorderDxfId="69">
  <autoFilter ref="S6:S13" xr:uid="{D825E40E-3C55-43DE-94B9-698E24BF5C3F}"/>
  <tableColumns count="1">
    <tableColumn id="1" xr3:uid="{AF0601BA-DE93-483F-A3CE-A779C7855207}" name="Fornecedor" dataDxfId="68"/>
  </tableColumns>
  <tableStyleInfo name="Estilo de Tabe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E038F15-1E0A-4895-B57A-640AF2F69731}" name="Tabela9" displayName="Tabela9" ref="A23:D30" totalsRowShown="0" headerRowDxfId="26" headerRowBorderDxfId="32" tableBorderDxfId="33" totalsRowBorderDxfId="31">
  <autoFilter ref="A23:D30" xr:uid="{FE038F15-1E0A-4895-B57A-640AF2F69731}"/>
  <tableColumns count="4">
    <tableColumn id="1" xr3:uid="{6102D242-7CBA-40C2-9455-9229CC6AD7F4}" name="ID" dataDxfId="30"/>
    <tableColumn id="2" xr3:uid="{971B95F7-00F6-415E-8FC3-1890DFF80436}" name="Marca" dataDxfId="29">
      <calculatedColumnFormula>VLOOKUP(A24,$A$4:G22,4,FALSE)</calculatedColumnFormula>
    </tableColumn>
    <tableColumn id="3" xr3:uid="{E12C2802-02FF-498B-BC69-3377F94F0684}" name="Categoria" dataDxfId="28"/>
    <tableColumn id="4" xr3:uid="{5FC44FD4-8C9D-4208-8453-62D41764C8E7}" name="Valores" dataDxfId="27" dataCellStyle="Moeda">
      <calculatedColumnFormula>IF(B24="Apple",SUMIF($D$5:$D$20,"Apple",$F$5:$F$20),IF(B24="xiaomi",SUMIF($D$5:$D$20,"xiaomi",$F$5:$F$20),IF(B24="asus",SUMIF($D$5:$D$20,$D$8,$F$5:$F$20),IF(B24=$D$9,SUMIF($D$5:$D$20,$D$9,$F$5:$F$20),IF(B24=$D$14,SUMIF($D$5:$D$20,$D$14,$F$5:$F$20),IF(B24=$D$17,SUMIF($D$5:$D$25,$D$17,$F$5:$F$20)))))))</calculatedColumnFormula>
    </tableColumn>
  </tableColumns>
  <tableStyleInfo name="Estilo de Tabela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B320373-9D45-4577-B803-ACD1BC324974}" name="Tabela7" displayName="Tabela7" ref="A1:H17" totalsRowShown="0" headerRowDxfId="56" headerRowBorderDxfId="66" tableBorderDxfId="67" totalsRowBorderDxfId="65">
  <autoFilter ref="A1:H17" xr:uid="{0B320373-9D45-4577-B803-ACD1BC324974}"/>
  <tableColumns count="8">
    <tableColumn id="1" xr3:uid="{40FF66C7-AADE-4D0F-B8B0-B9C05B1D37DC}" name="ID" dataDxfId="64">
      <calculatedColumnFormula>ROW(A2)-1</calculatedColumnFormula>
    </tableColumn>
    <tableColumn id="2" xr3:uid="{56A7ACC8-F935-467A-92E0-6AC67FE77376}" name="Nome do Produto" dataDxfId="63"/>
    <tableColumn id="3" xr3:uid="{F9C8E8A0-4D90-492C-B7D4-670A165864EB}" name="Estoque(Entrada)" dataDxfId="62"/>
    <tableColumn id="4" xr3:uid="{A5832DF6-0F87-42B1-A871-386A6FD34344}" name="Fornecedor" dataDxfId="61"/>
    <tableColumn id="5" xr3:uid="{7214CC6D-83F2-4F8F-9794-D4A1AD6C9117}" name="Categoria" dataDxfId="60"/>
    <tableColumn id="6" xr3:uid="{53097FA2-A5E5-4259-A400-C2792223063D}" name="Recebimento" dataDxfId="59"/>
    <tableColumn id="7" xr3:uid="{2A8DC8F5-931F-4D5F-ABCA-EE876744DAA3}" name="Valor Produto" dataDxfId="58" dataCellStyle="Moeda">
      <calculatedColumnFormula>Geral!F5+(Geral!F5*50%)</calculatedColumnFormula>
    </tableColumn>
    <tableColumn id="8" xr3:uid="{CC60D15B-F20B-45AD-9DFB-0332D8D36C9D}" name="saída produto" dataDxfId="57"/>
  </tableColumns>
  <tableStyleInfo name="Estilo de Tabela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E132E62-347E-4CDD-AECE-D043CCD39E98}" name="Tabela8" displayName="Tabela8" ref="A1:R20" totalsRowShown="0" headerRowDxfId="55" headerRowBorderDxfId="53" tableBorderDxfId="54" totalsRowBorderDxfId="52" headerRowCellStyle="Moeda">
  <autoFilter ref="A1:R20" xr:uid="{3E132E62-347E-4CDD-AECE-D043CCD39E98}"/>
  <tableColumns count="18">
    <tableColumn id="1" xr3:uid="{5691C020-73C6-469D-A6C4-41CF3474EE68}" name="ID" dataDxfId="51">
      <calculatedColumnFormula>ROW()-1</calculatedColumnFormula>
    </tableColumn>
    <tableColumn id="2" xr3:uid="{2029ECC6-6455-4374-8A53-BCB42C552905}" name="Nome funcionário" dataDxfId="50"/>
    <tableColumn id="3" xr3:uid="{900072EB-8E63-435B-A6AE-451765A151DD}" name="Crédito" dataDxfId="49"/>
    <tableColumn id="4" xr3:uid="{41CF5067-8334-4E4E-ADE9-3E1D1FB24A51}" name="Dinheiro" dataDxfId="48"/>
    <tableColumn id="5" xr3:uid="{8CF92F7A-679D-4115-90AA-D385C19BFC14}" name="Débito" dataDxfId="47"/>
    <tableColumn id="6" xr3:uid="{FD2B752C-9FE5-4861-8D2A-A911C8995EE1}" name="PIX" dataDxfId="46"/>
    <tableColumn id="7" xr3:uid="{85339AD7-06B4-44A4-A227-ED582B107D94}" name="Qtde atual" dataDxfId="45">
      <calculatedColumnFormula>SUM(C2:F2)</calculatedColumnFormula>
    </tableColumn>
    <tableColumn id="8" xr3:uid="{6BFCD356-94DF-4FF9-8A03-EB78D59CF955}" name="Valor Crédito" dataDxfId="44" dataCellStyle="Moeda"/>
    <tableColumn id="9" xr3:uid="{0800962F-97D0-4FCB-B582-7F0B18348D21}" name="Valor Dinheiro" dataDxfId="43" dataCellStyle="Moeda"/>
    <tableColumn id="10" xr3:uid="{6C9B3729-C436-45C1-825E-A26460BBD195}" name="Valor Débito" dataDxfId="42" dataCellStyle="Moeda"/>
    <tableColumn id="11" xr3:uid="{DD1E09C7-6830-4C88-BF63-A17BF7580907}" name="Valor PIX" dataDxfId="41" dataCellStyle="Moeda"/>
    <tableColumn id="12" xr3:uid="{6D3C06CC-BC66-4477-9B98-06D56AA5531D}" name="Valor Atual" dataDxfId="40" dataCellStyle="Moeda">
      <calculatedColumnFormula>SUM(H2:K2)</calculatedColumnFormula>
    </tableColumn>
    <tableColumn id="13" xr3:uid="{FB73F3C0-C35B-4C92-AC77-B7BD63DA9FD3}" name="Meta vendedor" dataDxfId="39">
      <calculatedColumnFormula>IF(L2&gt;=1000,"OK","Incompleta")</calculatedColumnFormula>
    </tableColumn>
    <tableColumn id="14" xr3:uid="{30374EAB-FB02-4D57-9FBF-F0C6B4809D87}" name="Status" dataDxfId="38">
      <calculatedColumnFormula>IF(M2="OK","Atingiu",IF(M2="Incompleta","Não Atingiu"))</calculatedColumnFormula>
    </tableColumn>
    <tableColumn id="15" xr3:uid="{ADA69E57-7CEC-405A-9ADE-1090C55EEECA}" name="Nível" dataDxfId="37" dataCellStyle="Porcentagem">
      <calculatedColumnFormula>(SUM(H2:K2)/$X$6)*1</calculatedColumnFormula>
    </tableColumn>
    <tableColumn id="16" xr3:uid="{284E597D-9BE9-45E8-AAB3-9E6CBB23CDAD}" name="Gráfico" dataDxfId="36">
      <calculatedColumnFormula>REPT("|",O2*100)</calculatedColumnFormula>
    </tableColumn>
    <tableColumn id="17" xr3:uid="{4D7699C3-F5F7-42F5-9D6B-BB490C4E0769}" name="Ganho" dataDxfId="35" dataCellStyle="Moeda">
      <calculatedColumnFormula>IF(L2&gt;=1000,G2*20)</calculatedColumnFormula>
    </tableColumn>
    <tableColumn id="18" xr3:uid="{6FFAABC7-3A11-44B1-B4A0-C91FBC09637D}" name="Extra" dataDxfId="34" dataCellStyle="Moeda">
      <calculatedColumnFormula>IF(L2&gt;=2000,Q2+(Q2*$W$8),IF(L2&gt;=1500,Q2+(Q2*$W$7),IF(L2&gt;=1000,Q2+(Q2*$W$6),Q2)))</calculatedColumnFormula>
    </tableColumn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5" Type="http://schemas.microsoft.com/office/2007/relationships/slicer" Target="../slicers/slicer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B9477-05AE-4CCF-A44E-FA8E4CB98FE5}">
  <dimension ref="A1:D9"/>
  <sheetViews>
    <sheetView tabSelected="1" workbookViewId="0"/>
  </sheetViews>
  <sheetFormatPr defaultRowHeight="15" x14ac:dyDescent="0.25"/>
  <cols>
    <col min="1" max="1" width="18" bestFit="1" customWidth="1"/>
    <col min="2" max="2" width="19" bestFit="1" customWidth="1"/>
    <col min="3" max="3" width="14.28515625" bestFit="1" customWidth="1"/>
    <col min="4" max="4" width="21.7109375" bestFit="1" customWidth="1"/>
  </cols>
  <sheetData>
    <row r="1" spans="1:4" x14ac:dyDescent="0.25">
      <c r="A1" s="87" t="s">
        <v>98</v>
      </c>
      <c r="B1" t="s">
        <v>102</v>
      </c>
      <c r="C1" t="s">
        <v>100</v>
      </c>
      <c r="D1" t="s">
        <v>101</v>
      </c>
    </row>
    <row r="2" spans="1:4" x14ac:dyDescent="0.25">
      <c r="A2" s="88" t="s">
        <v>19</v>
      </c>
      <c r="B2" s="89">
        <v>90000</v>
      </c>
      <c r="C2" s="89">
        <v>45000</v>
      </c>
      <c r="D2" s="89">
        <v>6750</v>
      </c>
    </row>
    <row r="3" spans="1:4" x14ac:dyDescent="0.25">
      <c r="A3" s="88" t="s">
        <v>20</v>
      </c>
      <c r="B3" s="89">
        <v>9450</v>
      </c>
      <c r="C3" s="89">
        <v>4725</v>
      </c>
      <c r="D3" s="89">
        <v>2835</v>
      </c>
    </row>
    <row r="4" spans="1:4" x14ac:dyDescent="0.25">
      <c r="A4" s="88" t="s">
        <v>21</v>
      </c>
      <c r="B4" s="89">
        <v>146100</v>
      </c>
      <c r="C4" s="89">
        <v>73050</v>
      </c>
      <c r="D4" s="89">
        <v>53325</v>
      </c>
    </row>
    <row r="5" spans="1:4" x14ac:dyDescent="0.25">
      <c r="A5" s="88" t="s">
        <v>24</v>
      </c>
      <c r="B5" s="89">
        <v>1335</v>
      </c>
      <c r="C5" s="89">
        <v>667.5</v>
      </c>
      <c r="D5" s="89">
        <v>210</v>
      </c>
    </row>
    <row r="6" spans="1:4" x14ac:dyDescent="0.25">
      <c r="A6" s="88" t="s">
        <v>91</v>
      </c>
      <c r="B6" s="89">
        <v>80</v>
      </c>
      <c r="C6" s="89">
        <v>40</v>
      </c>
      <c r="D6" s="89">
        <v>15</v>
      </c>
    </row>
    <row r="7" spans="1:4" x14ac:dyDescent="0.25">
      <c r="A7" s="88" t="s">
        <v>23</v>
      </c>
      <c r="B7" s="89">
        <v>800</v>
      </c>
      <c r="C7" s="89">
        <v>400</v>
      </c>
      <c r="D7" s="89">
        <v>74.25</v>
      </c>
    </row>
    <row r="8" spans="1:4" x14ac:dyDescent="0.25">
      <c r="A8" s="88" t="s">
        <v>22</v>
      </c>
      <c r="B8" s="89">
        <v>35250</v>
      </c>
      <c r="C8" s="89">
        <v>17625</v>
      </c>
      <c r="D8" s="89">
        <v>4125</v>
      </c>
    </row>
    <row r="9" spans="1:4" x14ac:dyDescent="0.25">
      <c r="A9" s="88" t="s">
        <v>99</v>
      </c>
      <c r="B9" s="89">
        <v>283015</v>
      </c>
      <c r="C9" s="89">
        <v>141507.5</v>
      </c>
      <c r="D9" s="89">
        <v>67334.25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AF63-1DD1-46EC-A331-EFAE49D60718}">
  <sheetPr codeName="Planilha1"/>
  <dimension ref="A1:T31"/>
  <sheetViews>
    <sheetView topLeftCell="A4" workbookViewId="0">
      <selection activeCell="A4" sqref="A4:O20"/>
    </sheetView>
  </sheetViews>
  <sheetFormatPr defaultRowHeight="15" outlineLevelRow="1" x14ac:dyDescent="0.25"/>
  <cols>
    <col min="1" max="1" width="10.7109375" style="1" bestFit="1" customWidth="1"/>
    <col min="2" max="2" width="18.85546875" style="1" customWidth="1"/>
    <col min="3" max="3" width="18.42578125" style="1" customWidth="1"/>
    <col min="4" max="4" width="13.28515625" style="1" bestFit="1" customWidth="1"/>
    <col min="5" max="5" width="16.5703125" style="1" bestFit="1" customWidth="1"/>
    <col min="6" max="6" width="15.140625" style="2" bestFit="1" customWidth="1"/>
    <col min="7" max="7" width="19.42578125" style="1" customWidth="1"/>
    <col min="8" max="8" width="20.85546875" style="1" customWidth="1"/>
    <col min="9" max="9" width="16" style="16" customWidth="1"/>
    <col min="10" max="10" width="8.5703125" style="16" customWidth="1"/>
    <col min="11" max="11" width="11.28515625" style="1" customWidth="1"/>
    <col min="12" max="12" width="16.85546875" style="2" bestFit="1" customWidth="1"/>
    <col min="13" max="14" width="16.85546875" style="2" customWidth="1"/>
    <col min="15" max="15" width="17.5703125" style="1" customWidth="1"/>
    <col min="19" max="19" width="13.28515625" customWidth="1"/>
  </cols>
  <sheetData>
    <row r="1" spans="1:20" x14ac:dyDescent="0.25">
      <c r="A1" s="7" t="s">
        <v>35</v>
      </c>
    </row>
    <row r="2" spans="1:20" x14ac:dyDescent="0.25">
      <c r="A2" s="13">
        <f ca="1">TODAY()</f>
        <v>45658</v>
      </c>
    </row>
    <row r="4" spans="1:20" x14ac:dyDescent="0.25">
      <c r="A4" s="50" t="s">
        <v>0</v>
      </c>
      <c r="B4" s="58" t="s">
        <v>1</v>
      </c>
      <c r="C4" s="58" t="s">
        <v>30</v>
      </c>
      <c r="D4" s="58" t="s">
        <v>3</v>
      </c>
      <c r="E4" s="58" t="s">
        <v>2</v>
      </c>
      <c r="F4" s="59" t="s">
        <v>50</v>
      </c>
      <c r="G4" s="58" t="s">
        <v>33</v>
      </c>
      <c r="H4" s="58" t="s">
        <v>34</v>
      </c>
      <c r="I4" s="60" t="s">
        <v>38</v>
      </c>
      <c r="J4" s="60" t="s">
        <v>36</v>
      </c>
      <c r="K4" s="58" t="s">
        <v>37</v>
      </c>
      <c r="L4" s="59" t="s">
        <v>47</v>
      </c>
      <c r="M4" s="61" t="s">
        <v>49</v>
      </c>
      <c r="N4" s="61" t="s">
        <v>48</v>
      </c>
      <c r="O4" s="62" t="s">
        <v>31</v>
      </c>
    </row>
    <row r="5" spans="1:20" outlineLevel="1" x14ac:dyDescent="0.25">
      <c r="A5" s="48">
        <f>ROW(A5)-4</f>
        <v>1</v>
      </c>
      <c r="B5" s="8" t="s">
        <v>4</v>
      </c>
      <c r="C5" s="9">
        <v>20</v>
      </c>
      <c r="D5" s="3" t="s">
        <v>19</v>
      </c>
      <c r="E5" s="3" t="s">
        <v>25</v>
      </c>
      <c r="F5" s="4">
        <v>4500</v>
      </c>
      <c r="G5" s="10">
        <v>45650</v>
      </c>
      <c r="H5" s="12">
        <f t="shared" ref="H5:H20" si="0">IF(D5="apple",G5+30,IF(D5="xiaomi",G5+60,IF(D5="ASUS",G5+120,IF(E5="papelaria",G5+45,IF(D5="Hering",G5+15,IF(D5="Eletrolux",G5+90))))))</f>
        <v>45680</v>
      </c>
      <c r="I5" s="15">
        <f ca="1">H5-$A$2</f>
        <v>22</v>
      </c>
      <c r="J5" s="15" t="str">
        <f>IF(K5="ok","Pago",IF(K5="No","A pagar"))</f>
        <v>Pago</v>
      </c>
      <c r="K5" s="3" t="s">
        <v>40</v>
      </c>
      <c r="L5" s="4">
        <f>F5*C5</f>
        <v>90000</v>
      </c>
      <c r="M5" s="4">
        <f>F5+(F5*50%)</f>
        <v>6750</v>
      </c>
      <c r="N5" s="18">
        <f>(M5-F5)*C5</f>
        <v>45000</v>
      </c>
      <c r="O5" s="49">
        <f>C5-Expedição!H2</f>
        <v>15</v>
      </c>
    </row>
    <row r="6" spans="1:20" outlineLevel="1" x14ac:dyDescent="0.25">
      <c r="A6" s="48">
        <f t="shared" ref="A6:A19" si="1">ROW(A6)-4</f>
        <v>2</v>
      </c>
      <c r="B6" s="8" t="s">
        <v>5</v>
      </c>
      <c r="C6" s="9">
        <v>10</v>
      </c>
      <c r="D6" s="3" t="s">
        <v>22</v>
      </c>
      <c r="E6" s="3" t="s">
        <v>25</v>
      </c>
      <c r="F6" s="4">
        <v>1200</v>
      </c>
      <c r="G6" s="10">
        <v>45636</v>
      </c>
      <c r="H6" s="12">
        <f t="shared" si="0"/>
        <v>45696</v>
      </c>
      <c r="I6" s="15">
        <f ca="1">H6-$A$2</f>
        <v>38</v>
      </c>
      <c r="J6" s="15" t="str">
        <f t="shared" ref="J6:J20" si="2">IF(K6="ok","Pago",IF(K6="No","A pagar"))</f>
        <v>A pagar</v>
      </c>
      <c r="K6" s="3" t="s">
        <v>41</v>
      </c>
      <c r="L6" s="4">
        <f t="shared" ref="L6:L19" si="3">F6*C6</f>
        <v>12000</v>
      </c>
      <c r="M6" s="4">
        <f t="shared" ref="M6:M19" si="4">F6+(F6*50%)</f>
        <v>1800</v>
      </c>
      <c r="N6" s="18">
        <f t="shared" ref="N6:N19" si="5">(M6-F6)*C6</f>
        <v>6000</v>
      </c>
      <c r="O6" s="49">
        <f>C6-Expedição!H3</f>
        <v>4</v>
      </c>
      <c r="S6" s="64" t="s">
        <v>3</v>
      </c>
      <c r="T6" s="6" t="s">
        <v>39</v>
      </c>
    </row>
    <row r="7" spans="1:20" outlineLevel="1" x14ac:dyDescent="0.25">
      <c r="A7" s="48">
        <f t="shared" si="1"/>
        <v>3</v>
      </c>
      <c r="B7" s="8" t="s">
        <v>6</v>
      </c>
      <c r="C7" s="9">
        <v>15</v>
      </c>
      <c r="D7" s="3" t="s">
        <v>22</v>
      </c>
      <c r="E7" s="3" t="s">
        <v>25</v>
      </c>
      <c r="F7" s="4">
        <v>1550</v>
      </c>
      <c r="G7" s="10">
        <v>45637</v>
      </c>
      <c r="H7" s="12">
        <f t="shared" si="0"/>
        <v>45697</v>
      </c>
      <c r="I7" s="15">
        <f ca="1">H7-$A$2</f>
        <v>39</v>
      </c>
      <c r="J7" s="15" t="str">
        <f t="shared" si="2"/>
        <v>A pagar</v>
      </c>
      <c r="K7" s="3" t="s">
        <v>41</v>
      </c>
      <c r="L7" s="4">
        <f t="shared" si="3"/>
        <v>23250</v>
      </c>
      <c r="M7" s="4">
        <f t="shared" si="4"/>
        <v>2325</v>
      </c>
      <c r="N7" s="18">
        <f t="shared" si="5"/>
        <v>11625</v>
      </c>
      <c r="O7" s="49">
        <f>C7-Expedição!H4</f>
        <v>10</v>
      </c>
      <c r="S7" s="63" t="s">
        <v>19</v>
      </c>
      <c r="T7" s="5" t="s">
        <v>40</v>
      </c>
    </row>
    <row r="8" spans="1:20" outlineLevel="1" x14ac:dyDescent="0.25">
      <c r="A8" s="48">
        <f t="shared" si="1"/>
        <v>4</v>
      </c>
      <c r="B8" s="8" t="s">
        <v>7</v>
      </c>
      <c r="C8" s="9">
        <v>5</v>
      </c>
      <c r="D8" s="3" t="s">
        <v>20</v>
      </c>
      <c r="E8" s="3" t="s">
        <v>25</v>
      </c>
      <c r="F8" s="4">
        <v>1890</v>
      </c>
      <c r="G8" s="10">
        <v>45637</v>
      </c>
      <c r="H8" s="12">
        <f t="shared" si="0"/>
        <v>45757</v>
      </c>
      <c r="I8" s="15">
        <f ca="1">H8-$A$2</f>
        <v>99</v>
      </c>
      <c r="J8" s="15" t="str">
        <f t="shared" si="2"/>
        <v>A pagar</v>
      </c>
      <c r="K8" s="3" t="s">
        <v>41</v>
      </c>
      <c r="L8" s="4">
        <f t="shared" si="3"/>
        <v>9450</v>
      </c>
      <c r="M8" s="4">
        <f t="shared" si="4"/>
        <v>2835</v>
      </c>
      <c r="N8" s="18">
        <f t="shared" si="5"/>
        <v>4725</v>
      </c>
      <c r="O8" s="49">
        <f>C8-Expedição!H5</f>
        <v>2</v>
      </c>
      <c r="S8" s="63" t="s">
        <v>22</v>
      </c>
      <c r="T8" s="5" t="s">
        <v>41</v>
      </c>
    </row>
    <row r="9" spans="1:20" outlineLevel="1" x14ac:dyDescent="0.25">
      <c r="A9" s="48">
        <f t="shared" si="1"/>
        <v>5</v>
      </c>
      <c r="B9" s="8" t="s">
        <v>8</v>
      </c>
      <c r="C9" s="9">
        <v>40</v>
      </c>
      <c r="D9" s="3" t="s">
        <v>23</v>
      </c>
      <c r="E9" s="3" t="s">
        <v>26</v>
      </c>
      <c r="F9" s="4">
        <v>5</v>
      </c>
      <c r="G9" s="10">
        <v>45645</v>
      </c>
      <c r="H9" s="12">
        <f t="shared" si="0"/>
        <v>45690</v>
      </c>
      <c r="I9" s="15">
        <f ca="1">H9-$A$2</f>
        <v>32</v>
      </c>
      <c r="J9" s="15" t="str">
        <f t="shared" si="2"/>
        <v>A pagar</v>
      </c>
      <c r="K9" s="3" t="s">
        <v>41</v>
      </c>
      <c r="L9" s="4">
        <f t="shared" si="3"/>
        <v>200</v>
      </c>
      <c r="M9" s="4">
        <f t="shared" si="4"/>
        <v>7.5</v>
      </c>
      <c r="N9" s="18">
        <f t="shared" si="5"/>
        <v>100</v>
      </c>
      <c r="O9" s="49">
        <f>C9-Expedição!H6</f>
        <v>9</v>
      </c>
      <c r="S9" s="63" t="s">
        <v>23</v>
      </c>
    </row>
    <row r="10" spans="1:20" outlineLevel="1" x14ac:dyDescent="0.25">
      <c r="A10" s="48">
        <f t="shared" si="1"/>
        <v>6</v>
      </c>
      <c r="B10" s="8" t="s">
        <v>9</v>
      </c>
      <c r="C10" s="9">
        <v>50</v>
      </c>
      <c r="D10" s="3" t="s">
        <v>23</v>
      </c>
      <c r="E10" s="3" t="s">
        <v>26</v>
      </c>
      <c r="F10" s="4">
        <v>4.5</v>
      </c>
      <c r="G10" s="10">
        <v>45575</v>
      </c>
      <c r="H10" s="12">
        <f t="shared" si="0"/>
        <v>45620</v>
      </c>
      <c r="I10" s="15">
        <f ca="1">H10-$A$2</f>
        <v>-38</v>
      </c>
      <c r="J10" s="15" t="str">
        <f t="shared" si="2"/>
        <v>Pago</v>
      </c>
      <c r="K10" s="3" t="s">
        <v>40</v>
      </c>
      <c r="L10" s="4">
        <f t="shared" si="3"/>
        <v>225</v>
      </c>
      <c r="M10" s="4">
        <f t="shared" si="4"/>
        <v>6.75</v>
      </c>
      <c r="N10" s="18">
        <f t="shared" si="5"/>
        <v>112.5</v>
      </c>
      <c r="O10" s="49">
        <f>C10-Expedição!H7</f>
        <v>38</v>
      </c>
      <c r="S10" s="63" t="s">
        <v>24</v>
      </c>
    </row>
    <row r="11" spans="1:20" outlineLevel="1" x14ac:dyDescent="0.25">
      <c r="A11" s="48">
        <f t="shared" si="1"/>
        <v>7</v>
      </c>
      <c r="B11" s="8" t="s">
        <v>10</v>
      </c>
      <c r="C11" s="9">
        <v>9</v>
      </c>
      <c r="D11" s="3" t="s">
        <v>23</v>
      </c>
      <c r="E11" s="3" t="s">
        <v>26</v>
      </c>
      <c r="F11" s="4">
        <v>25</v>
      </c>
      <c r="G11" s="10">
        <v>45575</v>
      </c>
      <c r="H11" s="12">
        <f t="shared" si="0"/>
        <v>45620</v>
      </c>
      <c r="I11" s="15">
        <f ca="1">H11-$A$2</f>
        <v>-38</v>
      </c>
      <c r="J11" s="15" t="str">
        <f t="shared" si="2"/>
        <v>Pago</v>
      </c>
      <c r="K11" s="3" t="s">
        <v>40</v>
      </c>
      <c r="L11" s="4">
        <f t="shared" si="3"/>
        <v>225</v>
      </c>
      <c r="M11" s="4">
        <f t="shared" si="4"/>
        <v>37.5</v>
      </c>
      <c r="N11" s="18">
        <f t="shared" si="5"/>
        <v>112.5</v>
      </c>
      <c r="O11" s="49">
        <f>C11-Expedição!H8</f>
        <v>1</v>
      </c>
      <c r="S11" s="63" t="s">
        <v>21</v>
      </c>
    </row>
    <row r="12" spans="1:20" outlineLevel="1" x14ac:dyDescent="0.25">
      <c r="A12" s="48">
        <f t="shared" si="1"/>
        <v>8</v>
      </c>
      <c r="B12" s="8" t="s">
        <v>11</v>
      </c>
      <c r="C12" s="9">
        <v>10</v>
      </c>
      <c r="D12" s="3" t="s">
        <v>23</v>
      </c>
      <c r="E12" s="3" t="s">
        <v>26</v>
      </c>
      <c r="F12" s="4">
        <v>15</v>
      </c>
      <c r="G12" s="10">
        <v>45575</v>
      </c>
      <c r="H12" s="12">
        <f t="shared" si="0"/>
        <v>45620</v>
      </c>
      <c r="I12" s="15">
        <f ca="1">H12-$A$2</f>
        <v>-38</v>
      </c>
      <c r="J12" s="15" t="str">
        <f t="shared" si="2"/>
        <v>Pago</v>
      </c>
      <c r="K12" s="3" t="s">
        <v>40</v>
      </c>
      <c r="L12" s="4">
        <f t="shared" si="3"/>
        <v>150</v>
      </c>
      <c r="M12" s="4">
        <f t="shared" si="4"/>
        <v>22.5</v>
      </c>
      <c r="N12" s="18">
        <f t="shared" si="5"/>
        <v>75</v>
      </c>
      <c r="O12" s="49">
        <f>C12-Expedição!H9</f>
        <v>6</v>
      </c>
      <c r="S12" s="65" t="s">
        <v>20</v>
      </c>
    </row>
    <row r="13" spans="1:20" outlineLevel="1" x14ac:dyDescent="0.25">
      <c r="A13" s="48">
        <f t="shared" si="1"/>
        <v>9</v>
      </c>
      <c r="B13" s="8" t="s">
        <v>12</v>
      </c>
      <c r="C13" s="9">
        <v>5</v>
      </c>
      <c r="D13" s="3" t="s">
        <v>24</v>
      </c>
      <c r="E13" s="3" t="s">
        <v>28</v>
      </c>
      <c r="F13" s="4">
        <v>35</v>
      </c>
      <c r="G13" s="10">
        <v>45649</v>
      </c>
      <c r="H13" s="12">
        <f t="shared" si="0"/>
        <v>45664</v>
      </c>
      <c r="I13" s="15">
        <f ca="1">H13-$A$2</f>
        <v>6</v>
      </c>
      <c r="J13" s="15" t="str">
        <f t="shared" si="2"/>
        <v>Pago</v>
      </c>
      <c r="K13" s="3" t="s">
        <v>40</v>
      </c>
      <c r="L13" s="4">
        <f t="shared" si="3"/>
        <v>175</v>
      </c>
      <c r="M13" s="4">
        <f t="shared" si="4"/>
        <v>52.5</v>
      </c>
      <c r="N13" s="18">
        <f t="shared" si="5"/>
        <v>87.5</v>
      </c>
      <c r="O13" s="49">
        <f>C13-Expedição!H10</f>
        <v>3</v>
      </c>
      <c r="S13" s="55" t="s">
        <v>91</v>
      </c>
    </row>
    <row r="14" spans="1:20" outlineLevel="1" x14ac:dyDescent="0.25">
      <c r="A14" s="48">
        <f t="shared" si="1"/>
        <v>10</v>
      </c>
      <c r="B14" s="8" t="s">
        <v>15</v>
      </c>
      <c r="C14" s="9">
        <v>20</v>
      </c>
      <c r="D14" s="3" t="s">
        <v>24</v>
      </c>
      <c r="E14" s="3" t="s">
        <v>28</v>
      </c>
      <c r="F14" s="4">
        <v>30</v>
      </c>
      <c r="G14" s="10">
        <v>45649</v>
      </c>
      <c r="H14" s="12">
        <f t="shared" si="0"/>
        <v>45664</v>
      </c>
      <c r="I14" s="15">
        <f ca="1">H14-$A$2</f>
        <v>6</v>
      </c>
      <c r="J14" s="15" t="str">
        <f t="shared" si="2"/>
        <v>Pago</v>
      </c>
      <c r="K14" s="3" t="s">
        <v>40</v>
      </c>
      <c r="L14" s="4">
        <f t="shared" si="3"/>
        <v>600</v>
      </c>
      <c r="M14" s="4">
        <f t="shared" si="4"/>
        <v>45</v>
      </c>
      <c r="N14" s="18">
        <f t="shared" si="5"/>
        <v>300</v>
      </c>
      <c r="O14" s="49">
        <f>C14-Expedição!H11</f>
        <v>9</v>
      </c>
    </row>
    <row r="15" spans="1:20" outlineLevel="1" x14ac:dyDescent="0.25">
      <c r="A15" s="48">
        <f t="shared" si="1"/>
        <v>11</v>
      </c>
      <c r="B15" s="8" t="s">
        <v>13</v>
      </c>
      <c r="C15" s="9">
        <v>7</v>
      </c>
      <c r="D15" s="3" t="s">
        <v>24</v>
      </c>
      <c r="E15" s="3" t="s">
        <v>28</v>
      </c>
      <c r="F15" s="4">
        <v>40</v>
      </c>
      <c r="G15" s="10">
        <v>45649</v>
      </c>
      <c r="H15" s="12">
        <f t="shared" si="0"/>
        <v>45664</v>
      </c>
      <c r="I15" s="15">
        <f ca="1">H15-$A$2</f>
        <v>6</v>
      </c>
      <c r="J15" s="15" t="str">
        <f t="shared" si="2"/>
        <v>Pago</v>
      </c>
      <c r="K15" s="3" t="s">
        <v>40</v>
      </c>
      <c r="L15" s="4">
        <f t="shared" si="3"/>
        <v>280</v>
      </c>
      <c r="M15" s="4">
        <f t="shared" si="4"/>
        <v>60</v>
      </c>
      <c r="N15" s="18">
        <f t="shared" si="5"/>
        <v>140</v>
      </c>
      <c r="O15" s="49">
        <f>C15-Expedição!H12</f>
        <v>2</v>
      </c>
    </row>
    <row r="16" spans="1:20" outlineLevel="1" x14ac:dyDescent="0.25">
      <c r="A16" s="48">
        <f t="shared" si="1"/>
        <v>12</v>
      </c>
      <c r="B16" s="8" t="s">
        <v>14</v>
      </c>
      <c r="C16" s="9">
        <v>8</v>
      </c>
      <c r="D16" s="3" t="s">
        <v>24</v>
      </c>
      <c r="E16" s="3" t="s">
        <v>28</v>
      </c>
      <c r="F16" s="4">
        <v>35</v>
      </c>
      <c r="G16" s="10">
        <v>45649</v>
      </c>
      <c r="H16" s="12">
        <f t="shared" si="0"/>
        <v>45664</v>
      </c>
      <c r="I16" s="15">
        <f ca="1">H16-$A$2</f>
        <v>6</v>
      </c>
      <c r="J16" s="15" t="str">
        <f t="shared" si="2"/>
        <v>Pago</v>
      </c>
      <c r="K16" s="3" t="s">
        <v>40</v>
      </c>
      <c r="L16" s="4">
        <f t="shared" si="3"/>
        <v>280</v>
      </c>
      <c r="M16" s="4">
        <f t="shared" si="4"/>
        <v>52.5</v>
      </c>
      <c r="N16" s="18">
        <f t="shared" si="5"/>
        <v>140</v>
      </c>
      <c r="O16" s="49">
        <f>C16-Expedição!H13</f>
        <v>4</v>
      </c>
    </row>
    <row r="17" spans="1:16" outlineLevel="1" x14ac:dyDescent="0.25">
      <c r="A17" s="48">
        <f t="shared" si="1"/>
        <v>13</v>
      </c>
      <c r="B17" s="8" t="s">
        <v>16</v>
      </c>
      <c r="C17" s="9">
        <v>5</v>
      </c>
      <c r="D17" s="3" t="s">
        <v>21</v>
      </c>
      <c r="E17" s="3" t="s">
        <v>27</v>
      </c>
      <c r="F17" s="4">
        <v>20000</v>
      </c>
      <c r="G17" s="10">
        <v>45645</v>
      </c>
      <c r="H17" s="12">
        <f t="shared" si="0"/>
        <v>45735</v>
      </c>
      <c r="I17" s="15">
        <f ca="1">H17-$A$2</f>
        <v>77</v>
      </c>
      <c r="J17" s="15" t="str">
        <f t="shared" si="2"/>
        <v>A pagar</v>
      </c>
      <c r="K17" s="3" t="s">
        <v>41</v>
      </c>
      <c r="L17" s="4">
        <f t="shared" si="3"/>
        <v>100000</v>
      </c>
      <c r="M17" s="4">
        <f t="shared" si="4"/>
        <v>30000</v>
      </c>
      <c r="N17" s="18">
        <f t="shared" si="5"/>
        <v>50000</v>
      </c>
      <c r="O17" s="49">
        <f>C17-Expedição!H14</f>
        <v>4</v>
      </c>
    </row>
    <row r="18" spans="1:16" outlineLevel="1" x14ac:dyDescent="0.25">
      <c r="A18" s="48">
        <f t="shared" si="1"/>
        <v>14</v>
      </c>
      <c r="B18" s="8" t="s">
        <v>17</v>
      </c>
      <c r="C18" s="9">
        <v>3</v>
      </c>
      <c r="D18" s="3" t="s">
        <v>21</v>
      </c>
      <c r="E18" s="3" t="s">
        <v>27</v>
      </c>
      <c r="F18" s="4">
        <v>15000</v>
      </c>
      <c r="G18" s="10">
        <v>45645</v>
      </c>
      <c r="H18" s="12">
        <f t="shared" si="0"/>
        <v>45735</v>
      </c>
      <c r="I18" s="15">
        <f ca="1">H18-$A$2</f>
        <v>77</v>
      </c>
      <c r="J18" s="15" t="str">
        <f t="shared" si="2"/>
        <v>A pagar</v>
      </c>
      <c r="K18" s="3" t="s">
        <v>41</v>
      </c>
      <c r="L18" s="4">
        <f t="shared" si="3"/>
        <v>45000</v>
      </c>
      <c r="M18" s="4">
        <f t="shared" si="4"/>
        <v>22500</v>
      </c>
      <c r="N18" s="18">
        <f t="shared" si="5"/>
        <v>22500</v>
      </c>
      <c r="O18" s="49">
        <f>C18-Expedição!H15</f>
        <v>1</v>
      </c>
    </row>
    <row r="19" spans="1:16" outlineLevel="1" x14ac:dyDescent="0.25">
      <c r="A19" s="51">
        <f t="shared" si="1"/>
        <v>15</v>
      </c>
      <c r="B19" s="33" t="s">
        <v>18</v>
      </c>
      <c r="C19" s="34">
        <v>2</v>
      </c>
      <c r="D19" s="29" t="s">
        <v>21</v>
      </c>
      <c r="E19" s="29" t="s">
        <v>27</v>
      </c>
      <c r="F19" s="30">
        <v>550</v>
      </c>
      <c r="G19" s="35">
        <v>45645</v>
      </c>
      <c r="H19" s="52">
        <f t="shared" si="0"/>
        <v>45735</v>
      </c>
      <c r="I19" s="53">
        <f ca="1">H19-$A$2</f>
        <v>77</v>
      </c>
      <c r="J19" s="53" t="str">
        <f t="shared" si="2"/>
        <v>A pagar</v>
      </c>
      <c r="K19" s="29" t="s">
        <v>41</v>
      </c>
      <c r="L19" s="30">
        <f t="shared" si="3"/>
        <v>1100</v>
      </c>
      <c r="M19" s="30">
        <f t="shared" si="4"/>
        <v>825</v>
      </c>
      <c r="N19" s="36">
        <f t="shared" si="5"/>
        <v>550</v>
      </c>
      <c r="O19" s="54">
        <f>C19-Expedição!H16</f>
        <v>2</v>
      </c>
    </row>
    <row r="20" spans="1:16" s="28" customFormat="1" outlineLevel="1" x14ac:dyDescent="0.25">
      <c r="A20" s="51">
        <v>16</v>
      </c>
      <c r="B20" s="33" t="s">
        <v>90</v>
      </c>
      <c r="C20" s="34">
        <v>8</v>
      </c>
      <c r="D20" s="56" t="s">
        <v>91</v>
      </c>
      <c r="E20" s="56" t="s">
        <v>26</v>
      </c>
      <c r="F20" s="57">
        <v>10</v>
      </c>
      <c r="G20" s="35">
        <v>45644</v>
      </c>
      <c r="H20" s="52">
        <f t="shared" si="0"/>
        <v>45689</v>
      </c>
      <c r="I20" s="53">
        <f ca="1">H20-$A$2</f>
        <v>31</v>
      </c>
      <c r="J20" s="53" t="str">
        <f t="shared" si="2"/>
        <v>A pagar</v>
      </c>
      <c r="K20" s="56" t="s">
        <v>41</v>
      </c>
      <c r="L20" s="57">
        <f>F20*C20</f>
        <v>80</v>
      </c>
      <c r="M20" s="57">
        <f>F20+(F20*50%)</f>
        <v>15</v>
      </c>
      <c r="N20" s="36">
        <f>(M20-F20)*C20</f>
        <v>40</v>
      </c>
      <c r="O20" s="54">
        <f>C20-Expedição!H17</f>
        <v>2</v>
      </c>
    </row>
    <row r="21" spans="1:16" s="28" customFormat="1" x14ac:dyDescent="0.25">
      <c r="A21" s="25"/>
      <c r="B21" s="25"/>
      <c r="C21" s="25"/>
      <c r="D21" s="25"/>
      <c r="E21" s="25"/>
      <c r="F21" s="27"/>
      <c r="G21" s="26"/>
      <c r="H21" s="26"/>
      <c r="I21" s="47"/>
      <c r="J21" s="47"/>
      <c r="K21" s="25"/>
      <c r="L21" s="27"/>
      <c r="M21" s="27"/>
      <c r="N21" s="27"/>
      <c r="O21" s="25"/>
    </row>
    <row r="22" spans="1:16" x14ac:dyDescent="0.25">
      <c r="A22" s="67" t="s">
        <v>92</v>
      </c>
      <c r="B22" s="68"/>
      <c r="C22" s="68"/>
      <c r="D22" s="69"/>
    </row>
    <row r="23" spans="1:16" x14ac:dyDescent="0.25">
      <c r="A23" s="50" t="s">
        <v>0</v>
      </c>
      <c r="B23" s="58" t="s">
        <v>95</v>
      </c>
      <c r="C23" s="58" t="s">
        <v>2</v>
      </c>
      <c r="D23" s="73" t="s">
        <v>96</v>
      </c>
    </row>
    <row r="24" spans="1:16" x14ac:dyDescent="0.25">
      <c r="A24" s="48">
        <v>1</v>
      </c>
      <c r="B24" s="3" t="s">
        <v>19</v>
      </c>
      <c r="C24" s="3" t="str">
        <f>VLOOKUP(A24,$A$4:G20,5,FALSE)</f>
        <v>Eletronicos</v>
      </c>
      <c r="D24" s="70">
        <f>IF(B24="Apple",SUMIF($D$5:$D$20,"Apple",$F$5:$F$20),IF(B24="xiaomi",SUMIF($D$5:$D$20,"xiaomi",$F$5:$F$20),IF(B24="asus",SUMIF($D$5:$D$20,$D$8,$F$5:$F$20),IF(B24=$D$9,SUMIF($D$5:$D$20,$D$9,$F$5:$F$20),IF(B24=$D$14,SUMIF($D$5:$D$20,$D$14,$F$5:$F$20),IF(B24=$D$17,SUMIF($D$5:$D$25,$D$17,$F$5:$F$20)))))))</f>
        <v>4500</v>
      </c>
      <c r="E24" s="14"/>
    </row>
    <row r="25" spans="1:16" x14ac:dyDescent="0.25">
      <c r="A25" s="48">
        <v>5</v>
      </c>
      <c r="B25" s="3" t="str">
        <f>VLOOKUP(A25,$A$4:G22,4,FALSE)</f>
        <v>Tilibra</v>
      </c>
      <c r="C25" s="3" t="str">
        <f>VLOOKUP(A25,A4:G20,5,FALSE)</f>
        <v>Papelaria</v>
      </c>
      <c r="D25" s="70">
        <f>IF(B25="Apple",SUMIF($D$5:$D$20,"Apple",$F$5:$F$20),IF(B25="xiaomi",SUMIF($D$5:$D$20,"xiaomi",$F$5:$F$20),IF(B25="asus",SUMIF($D$5:$D$20,$D$8,$F$5:$F$20),IF(B25=$D$9,SUMIF($D$5:$D$20,$D$9,$F$5:$F$20),IF(B25=$D$14,SUMIF($D$5:$D$20,$D$14,$F$5:$F$20),IF(B25=$D$17,SUMIF($D$5:$D$25,$D$17,$F$5:$F$20)))))))</f>
        <v>49.5</v>
      </c>
      <c r="G25" s="2"/>
      <c r="I25" s="1"/>
      <c r="K25" s="16"/>
      <c r="L25" s="1"/>
      <c r="O25" s="2"/>
      <c r="P25" s="1"/>
    </row>
    <row r="26" spans="1:16" x14ac:dyDescent="0.25">
      <c r="A26" s="48">
        <v>2</v>
      </c>
      <c r="B26" s="3" t="str">
        <f>VLOOKUP(A26,$A$4:G24,4,FALSE)</f>
        <v>Xiaomi</v>
      </c>
      <c r="C26" s="3" t="str">
        <f>VLOOKUP(A26,A5:G22,5,FALSE)</f>
        <v>Eletronicos</v>
      </c>
      <c r="D26" s="70">
        <f>IF(B26="Apple",SUMIF($D$5:$D$20,"Apple",$F$5:$F$20),IF(B26="xiaomi",SUMIF($D$5:$D$20,"xiaomi",$F$5:$F$20),IF(B26="asus",SUMIF($D$5:$D$20,$D$8,$F$5:$F$20),IF(B26=$D$9,SUMIF($D$5:$D$20,$D$9,$F$5:$F$20),IF(B26=$D$14,SUMIF($D$5:$D$20,$D$14,$F$5:$F$20),IF(B26=$D$17,SUMIF($D$5:$D$25,$D$17,$F$5:$F$20)))))))</f>
        <v>2750</v>
      </c>
      <c r="G26" s="2"/>
      <c r="I26" s="1"/>
      <c r="K26" s="16"/>
      <c r="L26" s="1"/>
      <c r="O26" s="2"/>
      <c r="P26" s="1"/>
    </row>
    <row r="27" spans="1:16" x14ac:dyDescent="0.25">
      <c r="A27" s="48">
        <v>4</v>
      </c>
      <c r="B27" s="3" t="str">
        <f>VLOOKUP(A27,$A$4:G25,4,FALSE)</f>
        <v>ASUS</v>
      </c>
      <c r="C27" s="3" t="str">
        <f>VLOOKUP(A27,A6:G24,5,FALSE)</f>
        <v>Eletronicos</v>
      </c>
      <c r="D27" s="70">
        <f>IF(B27="Apple",SUMIF($D$5:$D$20,"Apple",$F$5:$F$20),IF(B27="xiaomi",SUMIF($D$5:$D$20,"xiaomi",$F$5:$F$20),IF(B27="asus",SUMIF($D$5:$D$20,$D$8,$F$5:$F$20),IF(B27=$D$9,SUMIF($D$5:$D$20,$D$9,$F$5:$F$20),IF(B27=$D$14,SUMIF($D$5:$D$20,$D$14,$F$5:$F$20),IF(B27=$D$17,SUMIF($D$5:$D$25,$D$17,$F$5:$F$20)))))))</f>
        <v>1890</v>
      </c>
      <c r="G27" s="2"/>
      <c r="I27" s="1"/>
      <c r="K27" s="16"/>
      <c r="L27" s="1"/>
      <c r="O27" s="2"/>
      <c r="P27" s="1"/>
    </row>
    <row r="28" spans="1:16" x14ac:dyDescent="0.25">
      <c r="A28" s="48">
        <v>10</v>
      </c>
      <c r="B28" s="3" t="str">
        <f>VLOOKUP(A28,$A$4:G26,4,FALSE)</f>
        <v>Hering</v>
      </c>
      <c r="C28" s="3" t="str">
        <f>VLOOKUP(A28,A7:G25,5,FALSE)</f>
        <v>Vestuário</v>
      </c>
      <c r="D28" s="70">
        <f>IF(B28="Apple",SUMIF($D$5:$D$20,"Apple",$F$5:$F$20),IF(B28="xiaomi",SUMIF($D$5:$D$20,"xiaomi",$F$5:$F$20),IF(B28="asus",SUMIF($D$5:$D$20,$D$8,$F$5:$F$20),IF(B28=$D$9,SUMIF($D$5:$D$20,$D$9,$F$5:$F$20),IF(B28=$D$14,SUMIF($D$5:$D$20,$D$14,$F$5:$F$20),IF(B28=$D$17,SUMIF($D$5:$D$25,$D$17,$F$5:$F$20)))))))</f>
        <v>140</v>
      </c>
      <c r="G28" s="2"/>
      <c r="I28" s="1"/>
      <c r="K28" s="16"/>
      <c r="L28" s="1"/>
      <c r="O28" s="2"/>
      <c r="P28" s="1"/>
    </row>
    <row r="29" spans="1:16" x14ac:dyDescent="0.25">
      <c r="A29" s="51">
        <v>15</v>
      </c>
      <c r="B29" s="29" t="str">
        <f>VLOOKUP(A29,$A$4:G27,4,FALSE)</f>
        <v>Eletrolux</v>
      </c>
      <c r="C29" s="29" t="str">
        <f>VLOOKUP(A29,A8:G26,5,FALSE)</f>
        <v>Eletrodomésticos</v>
      </c>
      <c r="D29" s="71">
        <f ca="1">IF(B29="Apple",SUMIF($D$5:$D$20,"Apple",$F$5:$F$20),IF(B29="xiaomi",SUMIF($D$5:$D$20,"xiaomi",$F$5:$F$20),IF(B29="asus",SUMIF($D$5:$D$20,$D$8,$F$5:$F$20),IF(B29=$D$9,SUMIF($D$5:$D$20,$D$9,$F$5:$F$20),IF(B29=$D$14,SUMIF($D$5:$D$20,$D$14,$F$5:$F$20),IF(B29=$D$17,SUMIF($D$5:$D$25,$D$17,$F$5:$F$20),IF(B29="pentel",SUMIF(D5:D20,"pentel",F5:F29))))))))</f>
        <v>35550</v>
      </c>
      <c r="G29" s="2"/>
      <c r="I29" s="1"/>
      <c r="K29" s="16"/>
      <c r="L29" s="1"/>
      <c r="O29" s="2"/>
      <c r="P29" s="1"/>
    </row>
    <row r="30" spans="1:16" x14ac:dyDescent="0.25">
      <c r="A30" s="51">
        <v>16</v>
      </c>
      <c r="B30" s="29" t="str">
        <f>VLOOKUP(A30,$A$4:G28,4,FALSE)</f>
        <v>Pentel</v>
      </c>
      <c r="C30" s="29" t="str">
        <f>VLOOKUP(A30,A9:G27,5,FALSE)</f>
        <v>Papelaria</v>
      </c>
      <c r="D30" s="71">
        <f>IF(B30="Apple",SUMIF($D$5:$D$20,"Apple",$F$5:$F$20),IF(B30="xiaomi",SUMIF($D$5:$D$20,"xiaomi",$F$5:$F$20),IF(B30="asus",SUMIF($D$5:$D$20,$D$8,$F$5:$F$20),IF(B30=$D$9,SUMIF($D$5:$D$20,$D$9,$F$5:$F$20),IF(B30=$D$14,SUMIF($D$5:$D$20,$D$14,$F$5:$F$20),IF(B30=$D$17,SUMIF($D$5:$D$25,$D$17,$F$5:$F$20),IF(B30="pentel",SUMIF(D6:D21,"pentel",F6:F30))))))))</f>
        <v>10</v>
      </c>
      <c r="G30" s="2"/>
      <c r="I30" s="1"/>
      <c r="K30" s="16"/>
      <c r="L30" s="1"/>
      <c r="O30" s="2"/>
      <c r="P30" s="1"/>
    </row>
    <row r="31" spans="1:16" x14ac:dyDescent="0.25">
      <c r="D31" s="46">
        <f ca="1">SUM(D24:D30)</f>
        <v>44889.5</v>
      </c>
      <c r="G31" s="2"/>
      <c r="I31" s="1"/>
      <c r="K31" s="16"/>
      <c r="L31" s="1"/>
      <c r="O31" s="2"/>
      <c r="P31" s="1"/>
    </row>
  </sheetData>
  <mergeCells count="1">
    <mergeCell ref="A22:D22"/>
  </mergeCells>
  <conditionalFormatting sqref="I5:J5 J6:J21">
    <cfRule type="cellIs" dxfId="25" priority="10" operator="greaterThan">
      <formula>27</formula>
    </cfRule>
    <cfRule type="cellIs" dxfId="24" priority="11" operator="greaterThan">
      <formula>27</formula>
    </cfRule>
  </conditionalFormatting>
  <conditionalFormatting sqref="T7">
    <cfRule type="containsText" dxfId="23" priority="9" operator="containsText" text="OK">
      <formula>NOT(ISERROR(SEARCH("OK",T7)))</formula>
    </cfRule>
  </conditionalFormatting>
  <conditionalFormatting sqref="T8">
    <cfRule type="containsText" dxfId="22" priority="8" operator="containsText" text="No">
      <formula>NOT(ISERROR(SEARCH("No",T8)))</formula>
    </cfRule>
  </conditionalFormatting>
  <conditionalFormatting sqref="K5:K21">
    <cfRule type="containsText" dxfId="21" priority="3" operator="containsText" text="No">
      <formula>NOT(ISERROR(SEARCH("No",K5)))</formula>
    </cfRule>
  </conditionalFormatting>
  <conditionalFormatting sqref="K5:K21">
    <cfRule type="containsText" dxfId="20" priority="2" operator="containsText" text="OK">
      <formula>NOT(ISERROR(SEARCH("OK",K5)))</formula>
    </cfRule>
  </conditionalFormatting>
  <conditionalFormatting sqref="J5:J21">
    <cfRule type="containsText" dxfId="19" priority="1" operator="containsText" text="Pago">
      <formula>NOT(ISERROR(SEARCH("Pago",J5)))</formula>
    </cfRule>
  </conditionalFormatting>
  <dataValidations count="3">
    <dataValidation type="list" allowBlank="1" showInputMessage="1" showErrorMessage="1" sqref="D5" xr:uid="{0239370A-568C-4C2D-B08B-6D3CF9D9EF82}">
      <formula1>$S$7:$S$11</formula1>
    </dataValidation>
    <dataValidation type="list" allowBlank="1" showInputMessage="1" showErrorMessage="1" sqref="K5:K21" xr:uid="{FC819892-0BE0-4052-95FB-D1F2196BC30A}">
      <formula1>$T$7:$T$8</formula1>
    </dataValidation>
    <dataValidation type="list" allowBlank="1" showInputMessage="1" showErrorMessage="1" sqref="D6:D21 B24:B30" xr:uid="{8B9D7887-39F5-40C4-84E1-90054DB34B88}">
      <formula1>$S$7:$S$13</formula1>
    </dataValidation>
  </dataValidations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B5849-2226-47EC-9CFF-8F903421CB80}">
  <dimension ref="A1:L27"/>
  <sheetViews>
    <sheetView workbookViewId="0">
      <selection activeCell="J13" sqref="J13"/>
    </sheetView>
  </sheetViews>
  <sheetFormatPr defaultRowHeight="15" outlineLevelRow="1" x14ac:dyDescent="0.25"/>
  <cols>
    <col min="1" max="1" width="5" customWidth="1"/>
    <col min="2" max="2" width="18.85546875" customWidth="1"/>
    <col min="3" max="3" width="18.42578125" customWidth="1"/>
    <col min="4" max="4" width="13.28515625" customWidth="1"/>
    <col min="5" max="5" width="16.5703125" bestFit="1" customWidth="1"/>
    <col min="6" max="6" width="16.5703125" style="2" customWidth="1"/>
    <col min="7" max="7" width="16.85546875" customWidth="1"/>
    <col min="8" max="8" width="15.140625" style="1" customWidth="1"/>
    <col min="10" max="10" width="17.42578125" style="1" bestFit="1" customWidth="1"/>
    <col min="11" max="11" width="17.85546875" bestFit="1" customWidth="1"/>
  </cols>
  <sheetData>
    <row r="1" spans="1:12" x14ac:dyDescent="0.25">
      <c r="A1" s="50" t="s">
        <v>0</v>
      </c>
      <c r="B1" s="58" t="s">
        <v>1</v>
      </c>
      <c r="C1" s="58" t="s">
        <v>30</v>
      </c>
      <c r="D1" s="58" t="s">
        <v>3</v>
      </c>
      <c r="E1" s="58" t="s">
        <v>2</v>
      </c>
      <c r="F1" s="58" t="s">
        <v>44</v>
      </c>
      <c r="G1" s="61" t="s">
        <v>49</v>
      </c>
      <c r="H1" s="73" t="s">
        <v>32</v>
      </c>
      <c r="I1" s="28"/>
      <c r="J1" s="66"/>
      <c r="K1" s="28"/>
      <c r="L1" s="28"/>
    </row>
    <row r="2" spans="1:12" outlineLevel="1" x14ac:dyDescent="0.25">
      <c r="A2" s="48">
        <f>ROW(A2)-1</f>
        <v>1</v>
      </c>
      <c r="B2" s="8" t="s">
        <v>4</v>
      </c>
      <c r="C2" s="9">
        <v>20</v>
      </c>
      <c r="D2" s="3" t="s">
        <v>19</v>
      </c>
      <c r="E2" s="3" t="s">
        <v>25</v>
      </c>
      <c r="F2" s="10">
        <v>45650</v>
      </c>
      <c r="G2" s="18">
        <f>Geral!F5+(Geral!F5*50%)</f>
        <v>6750</v>
      </c>
      <c r="H2" s="72">
        <v>5</v>
      </c>
      <c r="I2" s="28"/>
      <c r="J2" s="66"/>
      <c r="K2" s="28"/>
      <c r="L2" s="28"/>
    </row>
    <row r="3" spans="1:12" outlineLevel="1" x14ac:dyDescent="0.25">
      <c r="A3" s="48">
        <f t="shared" ref="A3:A16" si="0">ROW(A3)-1</f>
        <v>2</v>
      </c>
      <c r="B3" s="8" t="s">
        <v>5</v>
      </c>
      <c r="C3" s="9">
        <v>10</v>
      </c>
      <c r="D3" s="3" t="s">
        <v>22</v>
      </c>
      <c r="E3" s="3" t="s">
        <v>25</v>
      </c>
      <c r="F3" s="10">
        <v>45636</v>
      </c>
      <c r="G3" s="18">
        <f>Geral!F6+(Geral!F6*50%)</f>
        <v>1800</v>
      </c>
      <c r="H3" s="72">
        <v>6</v>
      </c>
      <c r="I3" s="28"/>
      <c r="J3" s="66"/>
      <c r="K3" s="28"/>
      <c r="L3" s="28"/>
    </row>
    <row r="4" spans="1:12" outlineLevel="1" x14ac:dyDescent="0.25">
      <c r="A4" s="48">
        <f t="shared" si="0"/>
        <v>3</v>
      </c>
      <c r="B4" s="8" t="s">
        <v>6</v>
      </c>
      <c r="C4" s="9">
        <v>15</v>
      </c>
      <c r="D4" s="3" t="s">
        <v>22</v>
      </c>
      <c r="E4" s="3" t="s">
        <v>25</v>
      </c>
      <c r="F4" s="10">
        <v>45637</v>
      </c>
      <c r="G4" s="18">
        <f>Geral!F7+(Geral!F7*50%)</f>
        <v>2325</v>
      </c>
      <c r="H4" s="72">
        <v>5</v>
      </c>
      <c r="I4" s="28"/>
      <c r="J4" s="66"/>
      <c r="K4" s="28"/>
      <c r="L4" s="28"/>
    </row>
    <row r="5" spans="1:12" outlineLevel="1" x14ac:dyDescent="0.25">
      <c r="A5" s="48">
        <f t="shared" si="0"/>
        <v>4</v>
      </c>
      <c r="B5" s="8" t="s">
        <v>7</v>
      </c>
      <c r="C5" s="9">
        <v>5</v>
      </c>
      <c r="D5" s="3" t="s">
        <v>20</v>
      </c>
      <c r="E5" s="3" t="s">
        <v>25</v>
      </c>
      <c r="F5" s="10">
        <v>45637</v>
      </c>
      <c r="G5" s="18">
        <f>Geral!F8+(Geral!F8*50%)</f>
        <v>2835</v>
      </c>
      <c r="H5" s="72">
        <v>3</v>
      </c>
      <c r="I5" s="28"/>
      <c r="J5" s="66"/>
      <c r="K5" s="28"/>
      <c r="L5" s="28"/>
    </row>
    <row r="6" spans="1:12" outlineLevel="1" x14ac:dyDescent="0.25">
      <c r="A6" s="48">
        <f t="shared" si="0"/>
        <v>5</v>
      </c>
      <c r="B6" s="8" t="s">
        <v>8</v>
      </c>
      <c r="C6" s="9">
        <v>40</v>
      </c>
      <c r="D6" s="3" t="s">
        <v>23</v>
      </c>
      <c r="E6" s="3" t="s">
        <v>26</v>
      </c>
      <c r="F6" s="10">
        <v>45645</v>
      </c>
      <c r="G6" s="18">
        <f>Geral!F9+(Geral!F9*50%)</f>
        <v>7.5</v>
      </c>
      <c r="H6" s="72">
        <v>31</v>
      </c>
      <c r="I6" s="28"/>
      <c r="J6" s="66"/>
      <c r="K6" s="28"/>
      <c r="L6" s="28"/>
    </row>
    <row r="7" spans="1:12" outlineLevel="1" x14ac:dyDescent="0.25">
      <c r="A7" s="48">
        <f t="shared" si="0"/>
        <v>6</v>
      </c>
      <c r="B7" s="8" t="s">
        <v>9</v>
      </c>
      <c r="C7" s="9">
        <v>50</v>
      </c>
      <c r="D7" s="3" t="s">
        <v>23</v>
      </c>
      <c r="E7" s="3" t="s">
        <v>26</v>
      </c>
      <c r="F7" s="10">
        <v>45575</v>
      </c>
      <c r="G7" s="18">
        <f>Geral!F10+(Geral!F10*50%)</f>
        <v>6.75</v>
      </c>
      <c r="H7" s="72">
        <v>12</v>
      </c>
      <c r="I7" s="28"/>
      <c r="J7" s="66"/>
      <c r="K7" s="28"/>
      <c r="L7" s="28"/>
    </row>
    <row r="8" spans="1:12" outlineLevel="1" x14ac:dyDescent="0.25">
      <c r="A8" s="48">
        <f t="shared" si="0"/>
        <v>7</v>
      </c>
      <c r="B8" s="8" t="s">
        <v>10</v>
      </c>
      <c r="C8" s="9">
        <v>9</v>
      </c>
      <c r="D8" s="3" t="s">
        <v>23</v>
      </c>
      <c r="E8" s="3" t="s">
        <v>26</v>
      </c>
      <c r="F8" s="10">
        <v>45575</v>
      </c>
      <c r="G8" s="18">
        <f>Geral!F11+(Geral!F11*50%)</f>
        <v>37.5</v>
      </c>
      <c r="H8" s="72">
        <v>8</v>
      </c>
      <c r="I8" s="28"/>
      <c r="J8" s="25"/>
      <c r="K8" s="38"/>
      <c r="L8" s="28"/>
    </row>
    <row r="9" spans="1:12" outlineLevel="1" x14ac:dyDescent="0.25">
      <c r="A9" s="48">
        <f t="shared" si="0"/>
        <v>8</v>
      </c>
      <c r="B9" s="8" t="s">
        <v>11</v>
      </c>
      <c r="C9" s="9">
        <v>10</v>
      </c>
      <c r="D9" s="3" t="s">
        <v>23</v>
      </c>
      <c r="E9" s="3" t="s">
        <v>26</v>
      </c>
      <c r="F9" s="10">
        <v>45575</v>
      </c>
      <c r="G9" s="18">
        <f>Geral!F12+(Geral!F12*50%)</f>
        <v>22.5</v>
      </c>
      <c r="H9" s="72">
        <v>4</v>
      </c>
      <c r="I9" s="28"/>
      <c r="J9" s="25"/>
      <c r="K9" s="25"/>
      <c r="L9" s="28"/>
    </row>
    <row r="10" spans="1:12" outlineLevel="1" x14ac:dyDescent="0.25">
      <c r="A10" s="48">
        <f t="shared" si="0"/>
        <v>9</v>
      </c>
      <c r="B10" s="8" t="s">
        <v>12</v>
      </c>
      <c r="C10" s="9">
        <v>5</v>
      </c>
      <c r="D10" s="3" t="s">
        <v>24</v>
      </c>
      <c r="E10" s="3" t="s">
        <v>28</v>
      </c>
      <c r="F10" s="10">
        <v>45649</v>
      </c>
      <c r="G10" s="18">
        <f>Geral!F13+(Geral!F13*50%)</f>
        <v>52.5</v>
      </c>
      <c r="H10" s="72">
        <v>2</v>
      </c>
      <c r="I10" s="28"/>
      <c r="J10" s="25"/>
      <c r="K10" s="25"/>
      <c r="L10" s="28"/>
    </row>
    <row r="11" spans="1:12" outlineLevel="1" x14ac:dyDescent="0.25">
      <c r="A11" s="48">
        <f t="shared" si="0"/>
        <v>10</v>
      </c>
      <c r="B11" s="8" t="s">
        <v>15</v>
      </c>
      <c r="C11" s="9">
        <v>20</v>
      </c>
      <c r="D11" s="3" t="s">
        <v>24</v>
      </c>
      <c r="E11" s="3" t="s">
        <v>28</v>
      </c>
      <c r="F11" s="10">
        <v>45649</v>
      </c>
      <c r="G11" s="18">
        <f>Geral!F14+(Geral!F14*50%)</f>
        <v>45</v>
      </c>
      <c r="H11" s="72">
        <v>11</v>
      </c>
      <c r="I11" s="28"/>
      <c r="J11" s="25"/>
      <c r="K11" s="25"/>
      <c r="L11" s="28"/>
    </row>
    <row r="12" spans="1:12" outlineLevel="1" x14ac:dyDescent="0.25">
      <c r="A12" s="48">
        <f t="shared" si="0"/>
        <v>11</v>
      </c>
      <c r="B12" s="8" t="s">
        <v>13</v>
      </c>
      <c r="C12" s="9">
        <v>7</v>
      </c>
      <c r="D12" s="3" t="s">
        <v>24</v>
      </c>
      <c r="E12" s="3" t="s">
        <v>28</v>
      </c>
      <c r="F12" s="10">
        <v>45649</v>
      </c>
      <c r="G12" s="18">
        <f>Geral!F15+(Geral!F15*50%)</f>
        <v>60</v>
      </c>
      <c r="H12" s="72">
        <v>5</v>
      </c>
      <c r="I12" s="28"/>
      <c r="J12" s="25"/>
      <c r="K12" s="26"/>
      <c r="L12" s="28"/>
    </row>
    <row r="13" spans="1:12" outlineLevel="1" x14ac:dyDescent="0.25">
      <c r="A13" s="48">
        <f t="shared" si="0"/>
        <v>12</v>
      </c>
      <c r="B13" s="8" t="s">
        <v>14</v>
      </c>
      <c r="C13" s="9">
        <v>8</v>
      </c>
      <c r="D13" s="3" t="s">
        <v>24</v>
      </c>
      <c r="E13" s="3" t="s">
        <v>28</v>
      </c>
      <c r="F13" s="10">
        <v>45649</v>
      </c>
      <c r="G13" s="18">
        <f>Geral!F16+(Geral!F16*50%)</f>
        <v>52.5</v>
      </c>
      <c r="H13" s="72">
        <v>4</v>
      </c>
      <c r="I13" s="28"/>
      <c r="J13" s="25"/>
      <c r="K13" s="25"/>
      <c r="L13" s="28"/>
    </row>
    <row r="14" spans="1:12" outlineLevel="1" x14ac:dyDescent="0.25">
      <c r="A14" s="48">
        <f t="shared" si="0"/>
        <v>13</v>
      </c>
      <c r="B14" s="8" t="s">
        <v>16</v>
      </c>
      <c r="C14" s="9">
        <v>5</v>
      </c>
      <c r="D14" s="3" t="s">
        <v>21</v>
      </c>
      <c r="E14" s="3" t="s">
        <v>27</v>
      </c>
      <c r="F14" s="10">
        <v>45645</v>
      </c>
      <c r="G14" s="18">
        <f>Geral!F17+(Geral!F17*50%)</f>
        <v>30000</v>
      </c>
      <c r="H14" s="72">
        <v>1</v>
      </c>
      <c r="I14" s="28"/>
      <c r="J14" s="25"/>
      <c r="K14" s="25"/>
      <c r="L14" s="28"/>
    </row>
    <row r="15" spans="1:12" outlineLevel="1" x14ac:dyDescent="0.25">
      <c r="A15" s="48">
        <f t="shared" si="0"/>
        <v>14</v>
      </c>
      <c r="B15" s="8" t="s">
        <v>17</v>
      </c>
      <c r="C15" s="9">
        <v>3</v>
      </c>
      <c r="D15" s="3" t="s">
        <v>21</v>
      </c>
      <c r="E15" s="3" t="s">
        <v>27</v>
      </c>
      <c r="F15" s="10">
        <v>45645</v>
      </c>
      <c r="G15" s="18">
        <f>Geral!F18+(Geral!F18*50%)</f>
        <v>22500</v>
      </c>
      <c r="H15" s="72">
        <v>2</v>
      </c>
      <c r="I15" s="28"/>
      <c r="J15" s="25"/>
      <c r="K15" s="27"/>
      <c r="L15" s="28"/>
    </row>
    <row r="16" spans="1:12" outlineLevel="1" x14ac:dyDescent="0.25">
      <c r="A16" s="51">
        <f t="shared" si="0"/>
        <v>15</v>
      </c>
      <c r="B16" s="33" t="s">
        <v>18</v>
      </c>
      <c r="C16" s="34">
        <v>2</v>
      </c>
      <c r="D16" s="29" t="s">
        <v>21</v>
      </c>
      <c r="E16" s="29" t="s">
        <v>27</v>
      </c>
      <c r="F16" s="35">
        <v>45645</v>
      </c>
      <c r="G16" s="36">
        <f>Geral!F19+(Geral!F19*50%)</f>
        <v>825</v>
      </c>
      <c r="H16" s="74">
        <v>0</v>
      </c>
      <c r="I16" s="28"/>
      <c r="J16" s="31"/>
      <c r="K16" s="23"/>
      <c r="L16" s="28"/>
    </row>
    <row r="17" spans="1:12" outlineLevel="1" x14ac:dyDescent="0.25">
      <c r="A17" s="51">
        <v>16</v>
      </c>
      <c r="B17" s="33" t="s">
        <v>90</v>
      </c>
      <c r="C17" s="34">
        <v>8</v>
      </c>
      <c r="D17" s="56" t="s">
        <v>23</v>
      </c>
      <c r="E17" s="56" t="s">
        <v>26</v>
      </c>
      <c r="F17" s="35">
        <v>45644</v>
      </c>
      <c r="G17" s="36">
        <f>Geral!F20+(Geral!F20*50%)</f>
        <v>15</v>
      </c>
      <c r="H17" s="75">
        <v>6</v>
      </c>
      <c r="I17" s="38"/>
      <c r="J17" s="25"/>
      <c r="K17" s="38"/>
      <c r="L17" s="38"/>
    </row>
    <row r="18" spans="1:12" x14ac:dyDescent="0.25">
      <c r="A18" s="38"/>
      <c r="B18" s="38"/>
      <c r="C18" s="38"/>
      <c r="D18" s="38"/>
      <c r="E18" s="38"/>
      <c r="F18" s="38"/>
      <c r="G18" s="38"/>
      <c r="H18" s="25"/>
      <c r="I18" s="38"/>
      <c r="J18" s="25"/>
      <c r="K18" s="38"/>
      <c r="L18" s="38"/>
    </row>
    <row r="19" spans="1:12" x14ac:dyDescent="0.25">
      <c r="A19" s="38"/>
      <c r="B19" s="38"/>
      <c r="C19" s="38"/>
      <c r="D19" s="38"/>
      <c r="E19" s="38"/>
      <c r="F19" s="38"/>
      <c r="G19" s="38"/>
      <c r="H19" s="25"/>
      <c r="I19" s="38"/>
      <c r="J19" s="25"/>
      <c r="K19" s="38"/>
      <c r="L19" s="38"/>
    </row>
    <row r="20" spans="1:12" x14ac:dyDescent="0.25">
      <c r="A20" s="28"/>
      <c r="B20" s="28"/>
      <c r="C20" s="38"/>
      <c r="D20" s="38"/>
      <c r="E20" s="38"/>
      <c r="F20" s="38"/>
      <c r="G20" s="7" t="s">
        <v>42</v>
      </c>
      <c r="H20" s="7" t="s">
        <v>46</v>
      </c>
      <c r="I20" s="38"/>
      <c r="J20" s="25"/>
      <c r="K20" s="38"/>
      <c r="L20" s="38"/>
    </row>
    <row r="21" spans="1:12" x14ac:dyDescent="0.25">
      <c r="A21" s="28"/>
      <c r="B21" s="28"/>
      <c r="C21" s="38"/>
      <c r="D21" s="38"/>
      <c r="E21" s="38"/>
      <c r="F21" s="38"/>
      <c r="G21" s="3" t="s">
        <v>0</v>
      </c>
      <c r="H21" s="3">
        <v>15</v>
      </c>
      <c r="I21" s="38"/>
      <c r="J21" s="25"/>
      <c r="K21" s="38"/>
      <c r="L21" s="38"/>
    </row>
    <row r="22" spans="1:12" x14ac:dyDescent="0.25">
      <c r="A22" s="28"/>
      <c r="B22" s="28"/>
      <c r="C22" s="38"/>
      <c r="D22" s="38"/>
      <c r="E22" s="38"/>
      <c r="F22" s="38"/>
      <c r="G22" s="3" t="s">
        <v>43</v>
      </c>
      <c r="H22" s="3" t="str">
        <f>VLOOKUP(H21,A1:H17,2,FALSE)</f>
        <v>Ayrfrier</v>
      </c>
      <c r="I22" s="38"/>
      <c r="J22" s="25"/>
      <c r="K22" s="38"/>
      <c r="L22" s="38"/>
    </row>
    <row r="23" spans="1:12" x14ac:dyDescent="0.25">
      <c r="A23" s="28"/>
      <c r="B23" s="28"/>
      <c r="C23" s="38"/>
      <c r="D23" s="38"/>
      <c r="E23" s="38"/>
      <c r="F23" s="27"/>
      <c r="G23" s="3" t="s">
        <v>44</v>
      </c>
      <c r="H23" s="17">
        <f>VLOOKUP(H21,A1:H17,6,FALSE)</f>
        <v>45645</v>
      </c>
      <c r="I23" s="38"/>
      <c r="J23" s="25"/>
      <c r="K23" s="38"/>
      <c r="L23" s="38"/>
    </row>
    <row r="24" spans="1:12" x14ac:dyDescent="0.25">
      <c r="A24" s="28"/>
      <c r="B24" s="28"/>
      <c r="C24" s="38"/>
      <c r="D24" s="38"/>
      <c r="E24" s="38"/>
      <c r="F24" s="27"/>
      <c r="G24" s="3" t="s">
        <v>3</v>
      </c>
      <c r="H24" s="3" t="str">
        <f>VLOOKUP(H21,A1:H17,4,FALSE)</f>
        <v>Eletrolux</v>
      </c>
      <c r="I24" s="38"/>
      <c r="J24" s="25"/>
      <c r="K24" s="38"/>
      <c r="L24" s="38"/>
    </row>
    <row r="25" spans="1:12" x14ac:dyDescent="0.25">
      <c r="A25" s="28"/>
      <c r="B25" s="28"/>
      <c r="C25" s="38"/>
      <c r="D25" s="38"/>
      <c r="E25" s="38"/>
      <c r="F25" s="27"/>
      <c r="G25" s="3" t="s">
        <v>2</v>
      </c>
      <c r="H25" s="3" t="str">
        <f>VLOOKUP(H21,A1:H17,5,FALSE)</f>
        <v>Eletrodomésticos</v>
      </c>
      <c r="I25" s="38"/>
      <c r="J25" s="25"/>
      <c r="K25" s="38"/>
      <c r="L25" s="38"/>
    </row>
    <row r="26" spans="1:12" x14ac:dyDescent="0.25">
      <c r="A26" s="28"/>
      <c r="B26" s="28"/>
      <c r="C26" s="38"/>
      <c r="D26" s="38"/>
      <c r="E26" s="38"/>
      <c r="F26" s="27"/>
      <c r="G26" s="3" t="s">
        <v>45</v>
      </c>
      <c r="H26" s="4">
        <f>VLOOKUP(H21,A1:H17,7,FALSE)</f>
        <v>825</v>
      </c>
      <c r="I26" s="38"/>
      <c r="J26" s="25"/>
      <c r="K26" s="38"/>
      <c r="L26" s="38"/>
    </row>
    <row r="27" spans="1:12" x14ac:dyDescent="0.25">
      <c r="A27" s="28"/>
      <c r="B27" s="28"/>
      <c r="C27" s="28"/>
      <c r="D27" s="28"/>
      <c r="E27" s="28"/>
      <c r="F27" s="86"/>
      <c r="G27" s="28"/>
      <c r="H27" s="66"/>
      <c r="I27" s="28"/>
      <c r="J27" s="66"/>
      <c r="K27" s="28"/>
      <c r="L27" s="28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6D173-FBD7-4FE2-A538-D67746CA3288}">
  <dimension ref="A1:X25"/>
  <sheetViews>
    <sheetView topLeftCell="L1" workbookViewId="0">
      <selection activeCell="U6" sqref="U6"/>
    </sheetView>
  </sheetViews>
  <sheetFormatPr defaultRowHeight="15" outlineLevelRow="1" x14ac:dyDescent="0.25"/>
  <cols>
    <col min="1" max="1" width="5" style="1" customWidth="1"/>
    <col min="2" max="2" width="19.140625" style="1" customWidth="1"/>
    <col min="3" max="3" width="9.7109375" style="1" customWidth="1"/>
    <col min="4" max="4" width="10.85546875" style="1" customWidth="1"/>
    <col min="5" max="5" width="9.140625" style="1" customWidth="1"/>
    <col min="6" max="6" width="6" style="1" customWidth="1"/>
    <col min="7" max="7" width="13.140625" style="1" customWidth="1"/>
    <col min="8" max="8" width="16.28515625" style="2" customWidth="1"/>
    <col min="9" max="9" width="17.42578125" style="2" customWidth="1"/>
    <col min="10" max="10" width="15.7109375" style="2" customWidth="1"/>
    <col min="11" max="11" width="13.140625" style="2" customWidth="1"/>
    <col min="12" max="12" width="14.42578125" style="2" customWidth="1"/>
    <col min="13" max="13" width="16.7109375" style="1" customWidth="1"/>
    <col min="14" max="14" width="11.42578125" style="1" bestFit="1" customWidth="1"/>
    <col min="15" max="15" width="10.5703125" style="40" bestFit="1" customWidth="1"/>
    <col min="16" max="16" width="18" bestFit="1" customWidth="1"/>
    <col min="17" max="17" width="12.140625" style="19" bestFit="1" customWidth="1"/>
    <col min="18" max="18" width="12.140625" style="19" customWidth="1"/>
    <col min="20" max="20" width="9.140625" style="1"/>
    <col min="21" max="21" width="15.28515625" style="1" bestFit="1" customWidth="1"/>
    <col min="23" max="23" width="12.7109375" style="1" bestFit="1" customWidth="1"/>
    <col min="24" max="24" width="12.140625" style="19" bestFit="1" customWidth="1"/>
  </cols>
  <sheetData>
    <row r="1" spans="1:24" x14ac:dyDescent="0.25">
      <c r="A1" s="50" t="s">
        <v>0</v>
      </c>
      <c r="B1" s="58" t="s">
        <v>51</v>
      </c>
      <c r="C1" s="58" t="s">
        <v>75</v>
      </c>
      <c r="D1" s="58" t="s">
        <v>76</v>
      </c>
      <c r="E1" s="58" t="s">
        <v>77</v>
      </c>
      <c r="F1" s="58" t="s">
        <v>29</v>
      </c>
      <c r="G1" s="58" t="s">
        <v>73</v>
      </c>
      <c r="H1" s="59" t="s">
        <v>78</v>
      </c>
      <c r="I1" s="59" t="s">
        <v>79</v>
      </c>
      <c r="J1" s="59" t="s">
        <v>80</v>
      </c>
      <c r="K1" s="59" t="s">
        <v>81</v>
      </c>
      <c r="L1" s="59" t="s">
        <v>74</v>
      </c>
      <c r="M1" s="58" t="s">
        <v>53</v>
      </c>
      <c r="N1" s="58" t="s">
        <v>36</v>
      </c>
      <c r="O1" s="78" t="s">
        <v>88</v>
      </c>
      <c r="P1" s="58" t="s">
        <v>54</v>
      </c>
      <c r="Q1" s="59" t="s">
        <v>83</v>
      </c>
      <c r="R1" s="79" t="s">
        <v>84</v>
      </c>
      <c r="T1" s="7" t="s">
        <v>0</v>
      </c>
      <c r="U1" s="3">
        <v>17</v>
      </c>
      <c r="W1" s="7" t="s">
        <v>55</v>
      </c>
    </row>
    <row r="2" spans="1:24" outlineLevel="1" x14ac:dyDescent="0.25">
      <c r="A2" s="76">
        <f>ROW()-1</f>
        <v>1</v>
      </c>
      <c r="B2" s="20" t="s">
        <v>57</v>
      </c>
      <c r="C2" s="21">
        <v>6</v>
      </c>
      <c r="D2" s="21">
        <v>5</v>
      </c>
      <c r="E2" s="21">
        <v>1</v>
      </c>
      <c r="F2" s="21">
        <v>7</v>
      </c>
      <c r="G2" s="3">
        <f>SUM(C2:F2)</f>
        <v>19</v>
      </c>
      <c r="H2" s="4">
        <v>150</v>
      </c>
      <c r="I2" s="4">
        <v>45</v>
      </c>
      <c r="J2" s="4">
        <v>7</v>
      </c>
      <c r="K2" s="4">
        <v>510</v>
      </c>
      <c r="L2" s="4">
        <f>SUM(H2:K2)</f>
        <v>712</v>
      </c>
      <c r="M2" s="3" t="str">
        <f>IF(L2&gt;=1000,"OK","Incompleta")</f>
        <v>Incompleta</v>
      </c>
      <c r="N2" s="3" t="str">
        <f>IF(M2="OK","Atingiu",IF(M2="Incompleta","Não Atingiu"))</f>
        <v>Não Atingiu</v>
      </c>
      <c r="O2" s="39">
        <f>(SUM(H2:K2)/$X$6)*1</f>
        <v>0.71199999999999997</v>
      </c>
      <c r="P2" s="41" t="str">
        <f>REPT("|",O2*100)</f>
        <v>|||||||||||||||||||||||||||||||||||||||||||||||||||||||||||||||||||||||</v>
      </c>
      <c r="Q2" s="24" t="b">
        <f>IF(L2&gt;=1000,G2*20)</f>
        <v>0</v>
      </c>
      <c r="R2" s="77" t="b">
        <f>IF(L2&gt;=2000,Q2+(Q2*$W$8),IF(L2&gt;=1500,Q2+(Q2*$W$7),IF(L2&gt;=1000,Q2+(Q2*$W$6),Q2)))</f>
        <v>0</v>
      </c>
      <c r="T2" s="7" t="s">
        <v>86</v>
      </c>
      <c r="U2" s="3" t="str">
        <f>VLOOKUP(U1,A1:R20,2,FALSE)</f>
        <v>Karen</v>
      </c>
      <c r="W2" s="3" t="s">
        <v>40</v>
      </c>
    </row>
    <row r="3" spans="1:24" outlineLevel="1" x14ac:dyDescent="0.25">
      <c r="A3" s="76">
        <f t="shared" ref="A3:A18" si="0">ROW()-1</f>
        <v>2</v>
      </c>
      <c r="B3" s="20" t="s">
        <v>58</v>
      </c>
      <c r="C3" s="21">
        <v>5</v>
      </c>
      <c r="D3" s="21">
        <v>10</v>
      </c>
      <c r="E3" s="21">
        <v>5</v>
      </c>
      <c r="F3" s="21"/>
      <c r="G3" s="3">
        <f t="shared" ref="G3:G18" si="1">SUM(C3:F3)</f>
        <v>20</v>
      </c>
      <c r="H3" s="4">
        <v>160</v>
      </c>
      <c r="I3" s="4">
        <v>50</v>
      </c>
      <c r="J3" s="4">
        <v>50</v>
      </c>
      <c r="K3" s="4"/>
      <c r="L3" s="4">
        <f t="shared" ref="L3:L18" si="2">SUM(H3:K3)</f>
        <v>260</v>
      </c>
      <c r="M3" s="3" t="str">
        <f t="shared" ref="M3:M18" si="3">IF(L3&gt;=1000,"OK","Incompleta")</f>
        <v>Incompleta</v>
      </c>
      <c r="N3" s="3" t="str">
        <f t="shared" ref="N3:N18" si="4">IF(M3="OK","Atingiu",IF(M3="Incompleta","Não Atingiu"))</f>
        <v>Não Atingiu</v>
      </c>
      <c r="O3" s="39">
        <f t="shared" ref="O3:O18" si="5">(SUM(H3:K3)/$X$6)*1</f>
        <v>0.26</v>
      </c>
      <c r="P3" s="41" t="str">
        <f t="shared" ref="P3:P18" si="6">REPT("|",O3*100)</f>
        <v>||||||||||||||||||||||||||</v>
      </c>
      <c r="Q3" s="24" t="b">
        <f t="shared" ref="Q3:Q5" si="7">IF(L3&gt;=1000,G3*20)</f>
        <v>0</v>
      </c>
      <c r="R3" s="77" t="b">
        <f t="shared" ref="R3:R21" si="8">IF(L3&gt;=2000,Q3+(Q3*$W$8),IF(L3&gt;=1500,Q3+(Q3*$W$7),IF(L3&gt;=1000,Q3+(Q3*$W$6),Q3)))</f>
        <v>0</v>
      </c>
      <c r="T3" s="7" t="s">
        <v>87</v>
      </c>
      <c r="U3" s="3">
        <f>VLOOKUP(U1,A1:R20,7,FALSE)</f>
        <v>29</v>
      </c>
      <c r="W3" s="3" t="s">
        <v>56</v>
      </c>
    </row>
    <row r="4" spans="1:24" outlineLevel="1" x14ac:dyDescent="0.25">
      <c r="A4" s="76">
        <f t="shared" si="0"/>
        <v>3</v>
      </c>
      <c r="B4" s="20" t="s">
        <v>59</v>
      </c>
      <c r="C4" s="21">
        <v>1</v>
      </c>
      <c r="D4" s="21">
        <v>9</v>
      </c>
      <c r="E4" s="21">
        <v>5</v>
      </c>
      <c r="F4" s="21">
        <v>6</v>
      </c>
      <c r="G4" s="3">
        <f t="shared" si="1"/>
        <v>21</v>
      </c>
      <c r="H4" s="4">
        <v>540</v>
      </c>
      <c r="I4" s="4">
        <v>150</v>
      </c>
      <c r="J4" s="4">
        <v>7</v>
      </c>
      <c r="K4" s="4">
        <v>310</v>
      </c>
      <c r="L4" s="4">
        <f t="shared" si="2"/>
        <v>1007</v>
      </c>
      <c r="M4" s="3" t="str">
        <f t="shared" si="3"/>
        <v>OK</v>
      </c>
      <c r="N4" s="3" t="str">
        <f t="shared" si="4"/>
        <v>Atingiu</v>
      </c>
      <c r="O4" s="39">
        <f t="shared" si="5"/>
        <v>1.0069999999999999</v>
      </c>
      <c r="P4" s="41" t="str">
        <f t="shared" si="6"/>
        <v>||||||||||||||||||||||||||||||||||||||||||||||||||||||||||||||||||||||||||||||||||||||||||||||||||||</v>
      </c>
      <c r="Q4" s="24">
        <f t="shared" si="7"/>
        <v>420</v>
      </c>
      <c r="R4" s="77">
        <f t="shared" si="8"/>
        <v>441</v>
      </c>
      <c r="T4" s="7" t="s">
        <v>52</v>
      </c>
      <c r="U4" s="4">
        <f>VLOOKUP(U1,A1:R20,12,FALSE)</f>
        <v>1024</v>
      </c>
    </row>
    <row r="5" spans="1:24" outlineLevel="1" x14ac:dyDescent="0.25">
      <c r="A5" s="76">
        <f t="shared" si="0"/>
        <v>4</v>
      </c>
      <c r="B5" s="20" t="s">
        <v>60</v>
      </c>
      <c r="C5" s="21">
        <v>20</v>
      </c>
      <c r="D5" s="21"/>
      <c r="E5" s="21">
        <v>5</v>
      </c>
      <c r="F5" s="21">
        <v>11</v>
      </c>
      <c r="G5" s="3">
        <f t="shared" si="1"/>
        <v>36</v>
      </c>
      <c r="H5" s="4">
        <v>491</v>
      </c>
      <c r="I5" s="4"/>
      <c r="J5" s="4">
        <v>200</v>
      </c>
      <c r="K5" s="4"/>
      <c r="L5" s="4">
        <f t="shared" si="2"/>
        <v>691</v>
      </c>
      <c r="M5" s="3" t="str">
        <f t="shared" si="3"/>
        <v>Incompleta</v>
      </c>
      <c r="N5" s="3" t="str">
        <f t="shared" si="4"/>
        <v>Não Atingiu</v>
      </c>
      <c r="O5" s="39">
        <f t="shared" si="5"/>
        <v>0.69099999999999995</v>
      </c>
      <c r="P5" s="41" t="str">
        <f t="shared" si="6"/>
        <v>|||||||||||||||||||||||||||||||||||||||||||||||||||||||||||||||||||||</v>
      </c>
      <c r="Q5" s="24" t="b">
        <f t="shared" si="7"/>
        <v>0</v>
      </c>
      <c r="R5" s="77" t="b">
        <f t="shared" si="8"/>
        <v>0</v>
      </c>
      <c r="T5" s="7" t="s">
        <v>55</v>
      </c>
      <c r="U5" s="3" t="str">
        <f>VLOOKUP(U1,A1:R20,13,FALSE)</f>
        <v>OK</v>
      </c>
      <c r="W5" s="32" t="s">
        <v>82</v>
      </c>
    </row>
    <row r="6" spans="1:24" outlineLevel="1" x14ac:dyDescent="0.25">
      <c r="A6" s="76">
        <f t="shared" si="0"/>
        <v>5</v>
      </c>
      <c r="B6" s="20" t="s">
        <v>61</v>
      </c>
      <c r="C6" s="21">
        <v>19</v>
      </c>
      <c r="D6" s="21">
        <v>7</v>
      </c>
      <c r="E6" s="21">
        <v>1</v>
      </c>
      <c r="F6" s="21">
        <v>5</v>
      </c>
      <c r="G6" s="3">
        <f t="shared" si="1"/>
        <v>32</v>
      </c>
      <c r="H6" s="4">
        <v>210</v>
      </c>
      <c r="I6" s="4">
        <v>210</v>
      </c>
      <c r="J6" s="4">
        <v>150</v>
      </c>
      <c r="K6" s="4">
        <v>481</v>
      </c>
      <c r="L6" s="4">
        <f t="shared" si="2"/>
        <v>1051</v>
      </c>
      <c r="M6" s="3" t="str">
        <f t="shared" si="3"/>
        <v>OK</v>
      </c>
      <c r="N6" s="3" t="str">
        <f t="shared" si="4"/>
        <v>Atingiu</v>
      </c>
      <c r="O6" s="39">
        <f t="shared" si="5"/>
        <v>1.0509999999999999</v>
      </c>
      <c r="P6" s="41" t="str">
        <f t="shared" si="6"/>
        <v>|||||||||||||||||||||||||||||||||||||||||||||||||||||||||||||||||||||||||||||||||||||||||||||||||||||||||</v>
      </c>
      <c r="Q6" s="24">
        <f>IF(L6&gt;=1000,G6*20)</f>
        <v>640</v>
      </c>
      <c r="R6" s="77">
        <f t="shared" si="8"/>
        <v>672</v>
      </c>
      <c r="T6" s="7" t="s">
        <v>84</v>
      </c>
      <c r="U6" s="4">
        <f>VLOOKUP(U1,A1:R20,17,FALSE)</f>
        <v>580</v>
      </c>
      <c r="W6" s="22">
        <v>0.05</v>
      </c>
      <c r="X6" s="24">
        <v>1000</v>
      </c>
    </row>
    <row r="7" spans="1:24" outlineLevel="1" x14ac:dyDescent="0.25">
      <c r="A7" s="76">
        <f t="shared" si="0"/>
        <v>6</v>
      </c>
      <c r="B7" s="20" t="s">
        <v>62</v>
      </c>
      <c r="C7" s="21">
        <v>5</v>
      </c>
      <c r="D7" s="21">
        <v>6</v>
      </c>
      <c r="E7" s="21">
        <v>6</v>
      </c>
      <c r="F7" s="21">
        <v>7</v>
      </c>
      <c r="G7" s="3">
        <f t="shared" si="1"/>
        <v>24</v>
      </c>
      <c r="H7" s="4">
        <v>15</v>
      </c>
      <c r="I7" s="4">
        <v>51</v>
      </c>
      <c r="J7" s="4">
        <v>300</v>
      </c>
      <c r="K7" s="4">
        <v>164</v>
      </c>
      <c r="L7" s="4">
        <f t="shared" si="2"/>
        <v>530</v>
      </c>
      <c r="M7" s="3" t="str">
        <f t="shared" si="3"/>
        <v>Incompleta</v>
      </c>
      <c r="N7" s="3" t="str">
        <f t="shared" si="4"/>
        <v>Não Atingiu</v>
      </c>
      <c r="O7" s="39">
        <f t="shared" si="5"/>
        <v>0.53</v>
      </c>
      <c r="P7" s="41" t="str">
        <f t="shared" si="6"/>
        <v>|||||||||||||||||||||||||||||||||||||||||||||||||||||</v>
      </c>
      <c r="Q7" s="24" t="b">
        <f>IF(L7&gt;=1000,G7*20)</f>
        <v>0</v>
      </c>
      <c r="R7" s="77" t="b">
        <f t="shared" si="8"/>
        <v>0</v>
      </c>
      <c r="W7" s="22">
        <v>0.1</v>
      </c>
      <c r="X7" s="24">
        <v>1500</v>
      </c>
    </row>
    <row r="8" spans="1:24" outlineLevel="1" x14ac:dyDescent="0.25">
      <c r="A8" s="76">
        <f t="shared" si="0"/>
        <v>7</v>
      </c>
      <c r="B8" s="20" t="s">
        <v>63</v>
      </c>
      <c r="C8" s="21">
        <v>5</v>
      </c>
      <c r="D8" s="21"/>
      <c r="E8" s="21">
        <v>2</v>
      </c>
      <c r="F8" s="21">
        <v>5</v>
      </c>
      <c r="G8" s="3">
        <f t="shared" si="1"/>
        <v>12</v>
      </c>
      <c r="H8" s="4">
        <v>54</v>
      </c>
      <c r="I8" s="4"/>
      <c r="J8" s="4">
        <v>500</v>
      </c>
      <c r="K8" s="4">
        <v>134</v>
      </c>
      <c r="L8" s="4">
        <f t="shared" si="2"/>
        <v>688</v>
      </c>
      <c r="M8" s="3" t="str">
        <f t="shared" si="3"/>
        <v>Incompleta</v>
      </c>
      <c r="N8" s="3" t="str">
        <f t="shared" si="4"/>
        <v>Não Atingiu</v>
      </c>
      <c r="O8" s="39">
        <f t="shared" si="5"/>
        <v>0.68799999999999994</v>
      </c>
      <c r="P8" s="41" t="str">
        <f t="shared" si="6"/>
        <v>||||||||||||||||||||||||||||||||||||||||||||||||||||||||||||||||||||</v>
      </c>
      <c r="Q8" s="24" t="b">
        <f>IF(L8&gt;=1000,G8*20)</f>
        <v>0</v>
      </c>
      <c r="R8" s="77" t="b">
        <f t="shared" si="8"/>
        <v>0</v>
      </c>
      <c r="W8" s="22">
        <v>0.15</v>
      </c>
      <c r="X8" s="24">
        <v>2000</v>
      </c>
    </row>
    <row r="9" spans="1:24" outlineLevel="1" x14ac:dyDescent="0.25">
      <c r="A9" s="76">
        <f t="shared" si="0"/>
        <v>8</v>
      </c>
      <c r="B9" s="20" t="s">
        <v>64</v>
      </c>
      <c r="C9" s="21">
        <v>14</v>
      </c>
      <c r="D9" s="21">
        <v>1</v>
      </c>
      <c r="E9" s="21">
        <v>5</v>
      </c>
      <c r="F9" s="21">
        <v>3</v>
      </c>
      <c r="G9" s="3">
        <f t="shared" si="1"/>
        <v>23</v>
      </c>
      <c r="H9" s="4">
        <v>50</v>
      </c>
      <c r="I9" s="4">
        <v>47</v>
      </c>
      <c r="J9" s="4">
        <v>310</v>
      </c>
      <c r="K9" s="4">
        <v>540</v>
      </c>
      <c r="L9" s="4">
        <f t="shared" si="2"/>
        <v>947</v>
      </c>
      <c r="M9" s="3" t="str">
        <f t="shared" si="3"/>
        <v>Incompleta</v>
      </c>
      <c r="N9" s="3" t="str">
        <f t="shared" si="4"/>
        <v>Não Atingiu</v>
      </c>
      <c r="O9" s="39">
        <f t="shared" si="5"/>
        <v>0.94699999999999995</v>
      </c>
      <c r="P9" s="41" t="str">
        <f t="shared" si="6"/>
        <v>||||||||||||||||||||||||||||||||||||||||||||||||||||||||||||||||||||||||||||||||||||||||||||||</v>
      </c>
      <c r="Q9" s="24" t="b">
        <f>IF(L9&gt;=1000,G9*20)</f>
        <v>0</v>
      </c>
      <c r="R9" s="77" t="b">
        <f t="shared" si="8"/>
        <v>0</v>
      </c>
    </row>
    <row r="10" spans="1:24" outlineLevel="1" x14ac:dyDescent="0.25">
      <c r="A10" s="76">
        <f t="shared" si="0"/>
        <v>9</v>
      </c>
      <c r="B10" s="20" t="s">
        <v>65</v>
      </c>
      <c r="C10" s="21">
        <v>17</v>
      </c>
      <c r="D10" s="21">
        <v>5</v>
      </c>
      <c r="E10" s="21">
        <v>11</v>
      </c>
      <c r="F10" s="21">
        <v>5</v>
      </c>
      <c r="G10" s="3">
        <f t="shared" si="1"/>
        <v>38</v>
      </c>
      <c r="H10" s="4">
        <v>500</v>
      </c>
      <c r="I10" s="4">
        <v>150</v>
      </c>
      <c r="J10" s="4">
        <v>157</v>
      </c>
      <c r="K10" s="4">
        <v>154</v>
      </c>
      <c r="L10" s="4">
        <f t="shared" si="2"/>
        <v>961</v>
      </c>
      <c r="M10" s="3" t="str">
        <f t="shared" si="3"/>
        <v>Incompleta</v>
      </c>
      <c r="N10" s="3" t="str">
        <f t="shared" si="4"/>
        <v>Não Atingiu</v>
      </c>
      <c r="O10" s="39">
        <f t="shared" si="5"/>
        <v>0.96099999999999997</v>
      </c>
      <c r="P10" s="41" t="str">
        <f t="shared" si="6"/>
        <v>||||||||||||||||||||||||||||||||||||||||||||||||||||||||||||||||||||||||||||||||||||||||||||||||</v>
      </c>
      <c r="Q10" s="24" t="b">
        <f>IF(L10&gt;=1000,G10*20)</f>
        <v>0</v>
      </c>
      <c r="R10" s="77" t="b">
        <f t="shared" si="8"/>
        <v>0</v>
      </c>
    </row>
    <row r="11" spans="1:24" outlineLevel="1" x14ac:dyDescent="0.25">
      <c r="A11" s="76">
        <f t="shared" si="0"/>
        <v>10</v>
      </c>
      <c r="B11" s="20" t="s">
        <v>66</v>
      </c>
      <c r="C11" s="21">
        <v>16</v>
      </c>
      <c r="D11" s="21">
        <v>7</v>
      </c>
      <c r="E11" s="21">
        <v>14</v>
      </c>
      <c r="F11" s="21">
        <v>12</v>
      </c>
      <c r="G11" s="3">
        <f t="shared" si="1"/>
        <v>49</v>
      </c>
      <c r="H11" s="4">
        <v>250</v>
      </c>
      <c r="I11" s="4">
        <v>190</v>
      </c>
      <c r="J11" s="4">
        <v>109</v>
      </c>
      <c r="K11" s="4">
        <v>541</v>
      </c>
      <c r="L11" s="4">
        <f t="shared" si="2"/>
        <v>1090</v>
      </c>
      <c r="M11" s="3" t="str">
        <f t="shared" si="3"/>
        <v>OK</v>
      </c>
      <c r="N11" s="3" t="str">
        <f t="shared" si="4"/>
        <v>Atingiu</v>
      </c>
      <c r="O11" s="39">
        <f t="shared" si="5"/>
        <v>1.0900000000000001</v>
      </c>
      <c r="P11" s="41" t="str">
        <f t="shared" si="6"/>
        <v>|||||||||||||||||||||||||||||||||||||||||||||||||||||||||||||||||||||||||||||||||||||||||||||||||||||||||||||</v>
      </c>
      <c r="Q11" s="24">
        <f>IF(L11&gt;=1000,G11*20)</f>
        <v>980</v>
      </c>
      <c r="R11" s="77">
        <f t="shared" si="8"/>
        <v>1029</v>
      </c>
    </row>
    <row r="12" spans="1:24" outlineLevel="1" x14ac:dyDescent="0.25">
      <c r="A12" s="76">
        <f t="shared" si="0"/>
        <v>11</v>
      </c>
      <c r="B12" s="20" t="s">
        <v>67</v>
      </c>
      <c r="C12" s="21">
        <v>15</v>
      </c>
      <c r="D12" s="21">
        <v>6</v>
      </c>
      <c r="E12" s="21">
        <v>15</v>
      </c>
      <c r="F12" s="21">
        <v>13</v>
      </c>
      <c r="G12" s="3">
        <f t="shared" si="1"/>
        <v>49</v>
      </c>
      <c r="H12" s="4">
        <v>140</v>
      </c>
      <c r="I12" s="4">
        <v>150</v>
      </c>
      <c r="J12" s="4">
        <v>154</v>
      </c>
      <c r="K12" s="4">
        <v>580</v>
      </c>
      <c r="L12" s="4">
        <f t="shared" si="2"/>
        <v>1024</v>
      </c>
      <c r="M12" s="3" t="str">
        <f t="shared" si="3"/>
        <v>OK</v>
      </c>
      <c r="N12" s="3" t="str">
        <f t="shared" si="4"/>
        <v>Atingiu</v>
      </c>
      <c r="O12" s="39">
        <f t="shared" si="5"/>
        <v>1.024</v>
      </c>
      <c r="P12" s="41" t="str">
        <f t="shared" si="6"/>
        <v>||||||||||||||||||||||||||||||||||||||||||||||||||||||||||||||||||||||||||||||||||||||||||||||||||||||</v>
      </c>
      <c r="Q12" s="24">
        <f>IF(L12&gt;=1000,G12*20)</f>
        <v>980</v>
      </c>
      <c r="R12" s="77">
        <f t="shared" si="8"/>
        <v>1029</v>
      </c>
    </row>
    <row r="13" spans="1:24" outlineLevel="1" x14ac:dyDescent="0.25">
      <c r="A13" s="76">
        <f t="shared" si="0"/>
        <v>12</v>
      </c>
      <c r="B13" s="20" t="s">
        <v>85</v>
      </c>
      <c r="C13" s="21">
        <v>10</v>
      </c>
      <c r="D13" s="21">
        <v>5</v>
      </c>
      <c r="E13" s="21">
        <v>19</v>
      </c>
      <c r="F13" s="21"/>
      <c r="G13" s="3">
        <f t="shared" si="1"/>
        <v>34</v>
      </c>
      <c r="H13" s="4">
        <v>150</v>
      </c>
      <c r="I13" s="4">
        <v>120</v>
      </c>
      <c r="J13" s="4">
        <v>210</v>
      </c>
      <c r="K13" s="4"/>
      <c r="L13" s="4">
        <f t="shared" si="2"/>
        <v>480</v>
      </c>
      <c r="M13" s="3" t="str">
        <f t="shared" si="3"/>
        <v>Incompleta</v>
      </c>
      <c r="N13" s="3" t="str">
        <f t="shared" si="4"/>
        <v>Não Atingiu</v>
      </c>
      <c r="O13" s="39">
        <f t="shared" si="5"/>
        <v>0.48</v>
      </c>
      <c r="P13" s="41" t="str">
        <f t="shared" si="6"/>
        <v>||||||||||||||||||||||||||||||||||||||||||||||||</v>
      </c>
      <c r="Q13" s="24" t="b">
        <f>IF(L13&gt;=1000,G13*20)</f>
        <v>0</v>
      </c>
      <c r="R13" s="77" t="b">
        <f t="shared" si="8"/>
        <v>0</v>
      </c>
    </row>
    <row r="14" spans="1:24" outlineLevel="1" x14ac:dyDescent="0.25">
      <c r="A14" s="76">
        <f t="shared" si="0"/>
        <v>13</v>
      </c>
      <c r="B14" s="20" t="s">
        <v>68</v>
      </c>
      <c r="C14" s="21">
        <v>11</v>
      </c>
      <c r="D14" s="21">
        <v>10</v>
      </c>
      <c r="E14" s="21">
        <v>5</v>
      </c>
      <c r="F14" s="21">
        <v>5</v>
      </c>
      <c r="G14" s="3">
        <f t="shared" si="1"/>
        <v>31</v>
      </c>
      <c r="H14" s="4">
        <v>110</v>
      </c>
      <c r="I14" s="4">
        <v>54</v>
      </c>
      <c r="J14" s="4">
        <v>230</v>
      </c>
      <c r="K14" s="4">
        <v>157</v>
      </c>
      <c r="L14" s="4">
        <f t="shared" si="2"/>
        <v>551</v>
      </c>
      <c r="M14" s="3" t="str">
        <f t="shared" si="3"/>
        <v>Incompleta</v>
      </c>
      <c r="N14" s="3" t="str">
        <f t="shared" si="4"/>
        <v>Não Atingiu</v>
      </c>
      <c r="O14" s="39">
        <f t="shared" si="5"/>
        <v>0.55100000000000005</v>
      </c>
      <c r="P14" s="41" t="str">
        <f t="shared" si="6"/>
        <v>|||||||||||||||||||||||||||||||||||||||||||||||||||||||</v>
      </c>
      <c r="Q14" s="24" t="b">
        <f>IF(L14&gt;=1000,G14*20)</f>
        <v>0</v>
      </c>
      <c r="R14" s="77" t="b">
        <f t="shared" si="8"/>
        <v>0</v>
      </c>
    </row>
    <row r="15" spans="1:24" outlineLevel="1" x14ac:dyDescent="0.25">
      <c r="A15" s="76">
        <f t="shared" si="0"/>
        <v>14</v>
      </c>
      <c r="B15" s="20" t="s">
        <v>69</v>
      </c>
      <c r="C15" s="21">
        <v>12</v>
      </c>
      <c r="D15" s="21">
        <v>3</v>
      </c>
      <c r="E15" s="21">
        <v>17</v>
      </c>
      <c r="F15" s="21"/>
      <c r="G15" s="3">
        <f t="shared" si="1"/>
        <v>32</v>
      </c>
      <c r="H15" s="4">
        <v>490</v>
      </c>
      <c r="I15" s="4">
        <v>200</v>
      </c>
      <c r="J15" s="4">
        <v>178</v>
      </c>
      <c r="K15" s="4"/>
      <c r="L15" s="4">
        <f t="shared" si="2"/>
        <v>868</v>
      </c>
      <c r="M15" s="3" t="str">
        <f t="shared" si="3"/>
        <v>Incompleta</v>
      </c>
      <c r="N15" s="3" t="str">
        <f t="shared" si="4"/>
        <v>Não Atingiu</v>
      </c>
      <c r="O15" s="39">
        <f t="shared" si="5"/>
        <v>0.86799999999999999</v>
      </c>
      <c r="P15" s="41" t="str">
        <f t="shared" si="6"/>
        <v>||||||||||||||||||||||||||||||||||||||||||||||||||||||||||||||||||||||||||||||||||||||</v>
      </c>
      <c r="Q15" s="24" t="b">
        <f>IF(L15&gt;=1000,G15*20)</f>
        <v>0</v>
      </c>
      <c r="R15" s="77" t="b">
        <f t="shared" si="8"/>
        <v>0</v>
      </c>
    </row>
    <row r="16" spans="1:24" outlineLevel="1" x14ac:dyDescent="0.25">
      <c r="A16" s="76">
        <f t="shared" si="0"/>
        <v>15</v>
      </c>
      <c r="B16" s="20" t="s">
        <v>70</v>
      </c>
      <c r="C16" s="21">
        <v>5</v>
      </c>
      <c r="D16" s="21">
        <v>4</v>
      </c>
      <c r="E16" s="21">
        <v>18</v>
      </c>
      <c r="F16" s="21">
        <v>9</v>
      </c>
      <c r="G16" s="3">
        <f t="shared" si="1"/>
        <v>36</v>
      </c>
      <c r="H16" s="4">
        <v>100</v>
      </c>
      <c r="I16" s="4">
        <v>150</v>
      </c>
      <c r="J16" s="4">
        <v>150</v>
      </c>
      <c r="K16" s="4">
        <v>197</v>
      </c>
      <c r="L16" s="4">
        <f t="shared" si="2"/>
        <v>597</v>
      </c>
      <c r="M16" s="3" t="str">
        <f t="shared" si="3"/>
        <v>Incompleta</v>
      </c>
      <c r="N16" s="3" t="str">
        <f t="shared" si="4"/>
        <v>Não Atingiu</v>
      </c>
      <c r="O16" s="39">
        <f t="shared" si="5"/>
        <v>0.59699999999999998</v>
      </c>
      <c r="P16" s="41" t="str">
        <f t="shared" si="6"/>
        <v>|||||||||||||||||||||||||||||||||||||||||||||||||||||||||||</v>
      </c>
      <c r="Q16" s="24" t="b">
        <f>IF(L16&gt;=1000,G16*20)</f>
        <v>0</v>
      </c>
      <c r="R16" s="77" t="b">
        <f t="shared" si="8"/>
        <v>0</v>
      </c>
    </row>
    <row r="17" spans="1:18" outlineLevel="1" x14ac:dyDescent="0.25">
      <c r="A17" s="76">
        <f t="shared" si="0"/>
        <v>16</v>
      </c>
      <c r="B17" s="20" t="s">
        <v>71</v>
      </c>
      <c r="C17" s="21">
        <v>3</v>
      </c>
      <c r="D17" s="21">
        <v>3</v>
      </c>
      <c r="E17" s="21">
        <v>20</v>
      </c>
      <c r="F17" s="21">
        <v>5</v>
      </c>
      <c r="G17" s="3">
        <f t="shared" si="1"/>
        <v>31</v>
      </c>
      <c r="H17" s="4">
        <v>240</v>
      </c>
      <c r="I17" s="4">
        <v>70</v>
      </c>
      <c r="J17" s="4">
        <v>550</v>
      </c>
      <c r="K17" s="4">
        <v>310</v>
      </c>
      <c r="L17" s="4">
        <f t="shared" si="2"/>
        <v>1170</v>
      </c>
      <c r="M17" s="3" t="str">
        <f t="shared" si="3"/>
        <v>OK</v>
      </c>
      <c r="N17" s="3" t="str">
        <f t="shared" si="4"/>
        <v>Atingiu</v>
      </c>
      <c r="O17" s="39">
        <f t="shared" si="5"/>
        <v>1.17</v>
      </c>
      <c r="P17" s="41" t="str">
        <f t="shared" si="6"/>
        <v>|||||||||||||||||||||||||||||||||||||||||||||||||||||||||||||||||||||||||||||||||||||||||||||||||||||||||||||||||||||</v>
      </c>
      <c r="Q17" s="24">
        <f>IF(L17&gt;=1000,G17*20)</f>
        <v>620</v>
      </c>
      <c r="R17" s="77">
        <f t="shared" si="8"/>
        <v>651</v>
      </c>
    </row>
    <row r="18" spans="1:18" outlineLevel="1" x14ac:dyDescent="0.25">
      <c r="A18" s="80">
        <f t="shared" si="0"/>
        <v>17</v>
      </c>
      <c r="B18" s="81" t="s">
        <v>72</v>
      </c>
      <c r="C18" s="56">
        <v>8</v>
      </c>
      <c r="D18" s="56">
        <v>5</v>
      </c>
      <c r="E18" s="56">
        <v>1</v>
      </c>
      <c r="F18" s="56">
        <v>15</v>
      </c>
      <c r="G18" s="29">
        <f t="shared" si="1"/>
        <v>29</v>
      </c>
      <c r="H18" s="30">
        <v>241</v>
      </c>
      <c r="I18" s="30">
        <v>100</v>
      </c>
      <c r="J18" s="30">
        <v>143</v>
      </c>
      <c r="K18" s="30">
        <v>540</v>
      </c>
      <c r="L18" s="30">
        <f t="shared" si="2"/>
        <v>1024</v>
      </c>
      <c r="M18" s="29" t="str">
        <f t="shared" si="3"/>
        <v>OK</v>
      </c>
      <c r="N18" s="29" t="str">
        <f t="shared" si="4"/>
        <v>Atingiu</v>
      </c>
      <c r="O18" s="82">
        <f t="shared" si="5"/>
        <v>1.024</v>
      </c>
      <c r="P18" s="83" t="str">
        <f t="shared" si="6"/>
        <v>||||||||||||||||||||||||||||||||||||||||||||||||||||||||||||||||||||||||||||||||||||||||||||||||||||||</v>
      </c>
      <c r="Q18" s="84">
        <f>IF(L18&gt;=1000,G18*20)</f>
        <v>580</v>
      </c>
      <c r="R18" s="85">
        <f t="shared" si="8"/>
        <v>609</v>
      </c>
    </row>
    <row r="19" spans="1:18" outlineLevel="1" x14ac:dyDescent="0.25">
      <c r="A19" s="80">
        <v>18</v>
      </c>
      <c r="B19" s="81" t="s">
        <v>93</v>
      </c>
      <c r="C19" s="56">
        <v>9</v>
      </c>
      <c r="D19" s="56">
        <v>4</v>
      </c>
      <c r="E19" s="56">
        <v>2</v>
      </c>
      <c r="F19" s="56">
        <v>12</v>
      </c>
      <c r="G19" s="29">
        <f>SUM(C19:F19)</f>
        <v>27</v>
      </c>
      <c r="H19" s="30">
        <v>450</v>
      </c>
      <c r="I19" s="30">
        <v>150</v>
      </c>
      <c r="J19" s="30">
        <v>54</v>
      </c>
      <c r="K19" s="30">
        <v>45</v>
      </c>
      <c r="L19" s="30">
        <f>SUM(H19:K19)</f>
        <v>699</v>
      </c>
      <c r="M19" s="29" t="str">
        <f>IF(L19&gt;=1000,"OK","Incompleta")</f>
        <v>Incompleta</v>
      </c>
      <c r="N19" s="29" t="str">
        <f>IF(M19="OK","Atingiu",IF(M19="Incompleta","Não Atingiu"))</f>
        <v>Não Atingiu</v>
      </c>
      <c r="O19" s="82">
        <f>(SUM(H19:K19)/$X$6)*1</f>
        <v>0.69899999999999995</v>
      </c>
      <c r="P19" s="83" t="str">
        <f>REPT("|",O19*100)</f>
        <v>|||||||||||||||||||||||||||||||||||||||||||||||||||||||||||||||||||||</v>
      </c>
      <c r="Q19" s="84" t="b">
        <f>IF(L19&gt;=1000,G19*20)</f>
        <v>0</v>
      </c>
      <c r="R19" s="85" t="b">
        <f>IF(L19&gt;=2000,Q19+(Q19*$W$8),IF(L19&gt;=1500,Q19+(Q19*$W$7),IF(L19&gt;=1000,Q19+(Q19*$W$6),Q19)))</f>
        <v>0</v>
      </c>
    </row>
    <row r="20" spans="1:18" outlineLevel="1" x14ac:dyDescent="0.25">
      <c r="A20" s="80">
        <v>17</v>
      </c>
      <c r="B20" s="81" t="s">
        <v>97</v>
      </c>
      <c r="C20" s="56">
        <v>10</v>
      </c>
      <c r="D20" s="56">
        <v>5</v>
      </c>
      <c r="E20" s="56">
        <v>7</v>
      </c>
      <c r="F20" s="56">
        <v>10</v>
      </c>
      <c r="G20" s="29">
        <f>SUM(C20:F20)</f>
        <v>32</v>
      </c>
      <c r="H20" s="30">
        <v>150</v>
      </c>
      <c r="I20" s="30">
        <v>255</v>
      </c>
      <c r="J20" s="30">
        <v>250</v>
      </c>
      <c r="K20" s="30">
        <v>200</v>
      </c>
      <c r="L20" s="30">
        <f>SUM(H20:K20)</f>
        <v>855</v>
      </c>
      <c r="M20" s="29" t="str">
        <f>IF(L20&gt;=1000,"OK","Incompleta")</f>
        <v>Incompleta</v>
      </c>
      <c r="N20" s="29" t="str">
        <f>IF(M20="OK","Atingiu",IF(M20="Incompleta","Não Atingiu"))</f>
        <v>Não Atingiu</v>
      </c>
      <c r="O20" s="82">
        <f>(SUM(H20:K20)/$X$6)*1</f>
        <v>0.85499999999999998</v>
      </c>
      <c r="P20" s="83" t="str">
        <f>REPT("|",O20*100)</f>
        <v>|||||||||||||||||||||||||||||||||||||||||||||||||||||||||||||||||||||||||||||||||||||</v>
      </c>
      <c r="Q20" s="84" t="b">
        <f>IF(L20&gt;=1000,G20*20)</f>
        <v>0</v>
      </c>
      <c r="R20" s="85" t="b">
        <f>IF(L20&gt;=2000,Q20+(Q20*$W$8),IF(L20&gt;=1500,Q20+(Q20*$W$7),IF(L20&gt;=1000,Q20+(Q20*$W$6),Q20)))</f>
        <v>0</v>
      </c>
    </row>
    <row r="21" spans="1:18" x14ac:dyDescent="0.25">
      <c r="H21" s="42">
        <f>SUBTOTAL(9,Tabela8[Valor Crédito])</f>
        <v>4491</v>
      </c>
      <c r="I21" s="42">
        <f>SUBTOTAL(9,Tabela8[Valor Dinheiro])</f>
        <v>2142</v>
      </c>
      <c r="J21" s="42">
        <f>SUBTOTAL(9,Tabela8[Valor Débito])</f>
        <v>3709</v>
      </c>
      <c r="K21" s="42">
        <f>SUBTOTAL(9,Tabela8[Valor PIX])</f>
        <v>4863</v>
      </c>
      <c r="L21" s="42">
        <f>SUM(H21:K21)</f>
        <v>15205</v>
      </c>
      <c r="O21" s="44">
        <f>(SUM(H21:K21)/10000)*0.1</f>
        <v>0.15205000000000002</v>
      </c>
      <c r="P21" s="43"/>
      <c r="Q21" s="45">
        <f>SUMIF(Q2:Q20,"&gt;1")</f>
        <v>4220</v>
      </c>
      <c r="R21" s="45">
        <f t="shared" si="8"/>
        <v>4853</v>
      </c>
    </row>
    <row r="22" spans="1:18" x14ac:dyDescent="0.25">
      <c r="L22" s="37"/>
    </row>
    <row r="23" spans="1:18" x14ac:dyDescent="0.25">
      <c r="L23" s="37"/>
    </row>
    <row r="24" spans="1:18" x14ac:dyDescent="0.25">
      <c r="B24" s="11" t="s">
        <v>94</v>
      </c>
      <c r="C24" s="11"/>
      <c r="H24" s="2">
        <f>SUMIF(H2:H20,"&lt;100")</f>
        <v>119</v>
      </c>
      <c r="I24" s="2">
        <f>SUMIF(I2:I20,"&lt;100")</f>
        <v>317</v>
      </c>
      <c r="J24" s="2">
        <f>SUMIF(J2:J20,"&lt;100")</f>
        <v>118</v>
      </c>
      <c r="K24" s="2">
        <f>SUMIF(K2:K20,"&lt;100")</f>
        <v>45</v>
      </c>
    </row>
    <row r="25" spans="1:18" x14ac:dyDescent="0.25">
      <c r="B25" s="11" t="s">
        <v>89</v>
      </c>
      <c r="C25" s="11"/>
      <c r="H25" s="2">
        <f>SUMIF(H2:H20,"&gt;500")</f>
        <v>540</v>
      </c>
      <c r="I25" s="2">
        <f>SUMIF(I2:I20,"&gt;=500")</f>
        <v>0</v>
      </c>
      <c r="J25" s="2">
        <f>SUMIF(J2:J20,"&gt;500")</f>
        <v>550</v>
      </c>
      <c r="K25" s="2">
        <f>SUMIF(K2:K20,"&gt;500")</f>
        <v>2711</v>
      </c>
    </row>
  </sheetData>
  <phoneticPr fontId="4" type="noConversion"/>
  <conditionalFormatting sqref="W2">
    <cfRule type="containsText" dxfId="14" priority="18" operator="containsText" text="OK">
      <formula>NOT(ISERROR(SEARCH("OK",W2)))</formula>
    </cfRule>
  </conditionalFormatting>
  <conditionalFormatting sqref="W3">
    <cfRule type="containsText" dxfId="13" priority="16" operator="containsText" text="Incompleta">
      <formula>NOT(ISERROR(SEARCH("Incompleta",W3)))</formula>
    </cfRule>
  </conditionalFormatting>
  <conditionalFormatting sqref="M2:M20">
    <cfRule type="containsText" dxfId="12" priority="12" operator="containsText" text="Incompleta">
      <formula>NOT(ISERROR(SEARCH("Incompleta",M2)))</formula>
    </cfRule>
    <cfRule type="containsText" dxfId="11" priority="14" operator="containsText" text="OK">
      <formula>NOT(ISERROR(SEARCH("OK",M2)))</formula>
    </cfRule>
  </conditionalFormatting>
  <conditionalFormatting sqref="M15">
    <cfRule type="containsText" dxfId="10" priority="13" operator="containsText" text="Incompleta">
      <formula>NOT(ISERROR(SEARCH("Incompleta",M15)))</formula>
    </cfRule>
  </conditionalFormatting>
  <conditionalFormatting sqref="U5">
    <cfRule type="containsText" dxfId="9" priority="10" operator="containsText" text="OK">
      <formula>NOT(ISERROR(SEARCH("OK",U5)))</formula>
    </cfRule>
    <cfRule type="containsText" dxfId="8" priority="11" operator="containsText" text="Incompleta">
      <formula>NOT(ISERROR(SEARCH("Incompleta",U5)))</formula>
    </cfRule>
  </conditionalFormatting>
  <conditionalFormatting sqref="P21:P23">
    <cfRule type="expression" dxfId="4" priority="6">
      <formula>$P$2&gt;=$X$6</formula>
    </cfRule>
  </conditionalFormatting>
  <conditionalFormatting sqref="P1:P1048576">
    <cfRule type="expression" dxfId="2" priority="3">
      <formula>$O$2&gt;=1000</formula>
    </cfRule>
  </conditionalFormatting>
  <conditionalFormatting sqref="H2:H20">
    <cfRule type="expression" dxfId="1" priority="1">
      <formula>IF(H2&gt;=500,"verde")</formula>
    </cfRule>
  </conditionalFormatting>
  <dataValidations count="1">
    <dataValidation type="list" allowBlank="1" showInputMessage="1" showErrorMessage="1" sqref="M2:M20" xr:uid="{10C96933-D598-4F9A-BC2D-53AE0039A8B7}">
      <formula1>$W$2:$W$3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5</vt:i4>
      </vt:variant>
    </vt:vector>
  </HeadingPairs>
  <TitlesOfParts>
    <vt:vector size="9" baseType="lpstr">
      <vt:lpstr>Grafico da planilha Geral</vt:lpstr>
      <vt:lpstr>Geral</vt:lpstr>
      <vt:lpstr>Expedição</vt:lpstr>
      <vt:lpstr>Vendedores</vt:lpstr>
      <vt:lpstr>Expedição</vt:lpstr>
      <vt:lpstr>Fornecedor</vt:lpstr>
      <vt:lpstr>Geral1</vt:lpstr>
      <vt:lpstr>Produtos</vt:lpstr>
      <vt:lpstr>Vendedores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Eizo</dc:creator>
  <cp:lastModifiedBy>Renan Eizo</cp:lastModifiedBy>
  <dcterms:created xsi:type="dcterms:W3CDTF">2024-12-22T22:39:03Z</dcterms:created>
  <dcterms:modified xsi:type="dcterms:W3CDTF">2025-01-01T16:12:20Z</dcterms:modified>
</cp:coreProperties>
</file>