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enat\desenvolvimentodio\planilha_de_gastos_desafio_caixa_DIO\"/>
    </mc:Choice>
  </mc:AlternateContent>
  <xr:revisionPtr revIDLastSave="0" documentId="13_ncr:1_{24F5DC8C-B96A-4E5F-8312-16464BA648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1" r:id="rId1"/>
    <sheet name="Mensal" sheetId="5" r:id="rId2"/>
    <sheet name="Acumulado" sheetId="7" r:id="rId3"/>
  </sheets>
  <definedNames>
    <definedName name="Mês">base!$B$1:$B$45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7" l="1"/>
  <c r="I25" i="7"/>
  <c r="I23" i="7"/>
  <c r="I22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F27" i="7"/>
  <c r="F26" i="7"/>
  <c r="F25" i="7"/>
  <c r="F22" i="7"/>
  <c r="F21" i="7"/>
  <c r="F3" i="7"/>
  <c r="C3" i="7" s="1"/>
  <c r="F2" i="7"/>
  <c r="C4" i="7" s="1"/>
  <c r="F27" i="5"/>
  <c r="F26" i="5"/>
  <c r="F25" i="5"/>
  <c r="F22" i="5"/>
  <c r="F21" i="5"/>
  <c r="I25" i="5"/>
  <c r="I24" i="5"/>
  <c r="I23" i="5"/>
  <c r="I22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F3" i="5"/>
  <c r="C3" i="5" s="1"/>
  <c r="F2" i="5"/>
  <c r="C4" i="5" s="1"/>
  <c r="C7" i="5" s="1"/>
  <c r="G21" i="5" l="1"/>
  <c r="G22" i="5"/>
  <c r="G25" i="5"/>
  <c r="G26" i="5"/>
  <c r="G27" i="5"/>
  <c r="C5" i="5"/>
  <c r="G25" i="7"/>
  <c r="G21" i="7"/>
  <c r="C5" i="7"/>
  <c r="G26" i="7"/>
  <c r="G27" i="7"/>
  <c r="G22" i="7"/>
</calcChain>
</file>

<file path=xl/sharedStrings.xml><?xml version="1.0" encoding="utf-8"?>
<sst xmlns="http://schemas.openxmlformats.org/spreadsheetml/2006/main" count="349" uniqueCount="91">
  <si>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</si>
  <si>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</si>
  <si>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</si>
  <si>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</si>
  <si>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</si>
  <si>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</si>
  <si>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</si>
  <si>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</si>
  <si>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</si>
  <si>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</si>
  <si>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</si>
  <si>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</si>
  <si>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</si>
  <si>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</si>
  <si>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</si>
  <si>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</si>
  <si>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</si>
  <si>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</si>
  <si>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</si>
  <si>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</si>
  <si>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</si>
  <si>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</si>
  <si>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</si>
  <si>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</si>
  <si>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</si>
  <si>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</si>
  <si>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</si>
  <si>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</si>
  <si>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</si>
  <si>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</si>
  <si>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</si>
  <si>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</si>
  <si>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</si>
  <si>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</si>
  <si>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</si>
  <si>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</si>
  <si>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</si>
  <si>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</si>
  <si>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</si>
  <si>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</si>
  <si>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</si>
  <si>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</si>
  <si>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</si>
  <si>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</si>
  <si>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</si>
  <si>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</si>
  <si>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</si>
  <si>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</si>
  <si>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</si>
  <si>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</si>
  <si>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</si>
  <si>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</si>
  <si>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</si>
  <si>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</si>
  <si>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</si>
  <si>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</si>
  <si>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</si>
  <si>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</si>
  <si>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</si>
  <si>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</si>
  <si>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</si>
  <si>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</si>
  <si>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</si>
  <si>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</si>
  <si>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</si>
  <si>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</si>
  <si>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</si>
  <si>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Fluxo</t>
  </si>
  <si>
    <t>Valor</t>
  </si>
  <si>
    <t>Meio</t>
  </si>
  <si>
    <t>Conclusão</t>
  </si>
  <si>
    <t>Descrição</t>
  </si>
  <si>
    <t>Mês</t>
  </si>
  <si>
    <t>Agosto</t>
  </si>
  <si>
    <t>Setembro</t>
  </si>
  <si>
    <t>Outubro</t>
  </si>
  <si>
    <t>Gastos do Mês</t>
  </si>
  <si>
    <t>Recebimentos do Mês</t>
  </si>
  <si>
    <t>Resultado</t>
  </si>
  <si>
    <t>Tipo de Gasto</t>
  </si>
  <si>
    <t>Tipo de Recebimento</t>
  </si>
  <si>
    <t>Valor já pago</t>
  </si>
  <si>
    <t>Á Pagar</t>
  </si>
  <si>
    <t>Meio de pagamento</t>
  </si>
  <si>
    <t>%</t>
  </si>
  <si>
    <t>Entrada</t>
  </si>
  <si>
    <t>Saída</t>
  </si>
  <si>
    <t>Gastos do Ano</t>
  </si>
  <si>
    <t>Recebimentos do Ano</t>
  </si>
  <si>
    <t>Ano</t>
  </si>
  <si>
    <t>Gasto/Recebimento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</si>
</sst>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2-48BD-A679-AB01EBDE17D2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70038702789264"/>
                      <c:h val="0.10486087505141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D12-48BD-A679-AB01EBDE17D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6196894879668"/>
                      <c:h val="0.10486087505141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D12-48BD-A679-AB01EBDE1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Mensal!$E$2:$E$3</c:f>
              <c:strCache>
                <c:ptCount val="2"/>
                <c:pt idx="0">
                  <c:v>Gastos do Mês</c:v>
                </c:pt>
                <c:pt idx="1">
                  <c:v>Recebimentos do Mês</c:v>
                </c:pt>
              </c:strCache>
            </c:strRef>
          </c:cat>
          <c:val>
            <c:numRef>
              <c:f>Mensal!$F$2:$F$3</c:f>
              <c:numCache>
                <c:formatCode>_("R$"* #,##0.00_);_("R$"* \(#,##0.00\);_("R$"* "-"??_);_(@_)</c:formatCode>
                <c:ptCount val="2"/>
                <c:pt idx="0">
                  <c:v>5580</c:v>
                </c:pt>
                <c:pt idx="1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2-48BD-A679-AB01EBDE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27920"/>
        <c:axId val="1143560688"/>
      </c:barChart>
      <c:catAx>
        <c:axId val="5328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60688"/>
        <c:crosses val="autoZero"/>
        <c:auto val="1"/>
        <c:lblAlgn val="ctr"/>
        <c:lblOffset val="100"/>
        <c:noMultiLvlLbl val="0"/>
      </c:catAx>
      <c:valAx>
        <c:axId val="114356068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27920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Mensal!$I$21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6C-498C-B242-4726552944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36C-498C-B242-4726552944A3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6C-498C-B242-4726552944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6C-498C-B242-472655294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Mensal!$H$22:$H$25</c:f>
              <c:strCache>
                <c:ptCount val="4"/>
                <c:pt idx="0">
                  <c:v>Renda Fixa</c:v>
                </c:pt>
                <c:pt idx="1">
                  <c:v>Investimentos</c:v>
                </c:pt>
                <c:pt idx="2">
                  <c:v>Freelance</c:v>
                </c:pt>
                <c:pt idx="3">
                  <c:v>Venda de ativos</c:v>
                </c:pt>
              </c:strCache>
            </c:strRef>
          </c:cat>
          <c:val>
            <c:numRef>
              <c:f>Mensal!$I$22:$I$25</c:f>
              <c:numCache>
                <c:formatCode>_("R$"* #,##0.00_);_("R$"* \(#,##0.00\);_("R$"* "-"??_);_(@_)</c:formatCode>
                <c:ptCount val="4"/>
                <c:pt idx="0">
                  <c:v>5000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C-498C-B242-4726552944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799979957842"/>
          <c:y val="0"/>
          <c:w val="0.2225933475666232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Mensal!$I$2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B-41FC-A694-6EFCC7CFB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EB-41FC-A694-6EFCC7CFB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EB-41FC-A694-6EFCC7CFB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EB-41FC-A694-6EFCC7CFBB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EB-41FC-A694-6EFCC7CFBB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Mensal!$H$3:$H$17</c:f>
              <c:strCache>
                <c:ptCount val="15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Mensal!$I$3:$I$17</c:f>
              <c:numCache>
                <c:formatCode>_("R$"* #,##0.00_);_("R$"* \(#,##0.00\);_("R$"* "-"??_);_(@_)</c:formatCode>
                <c:ptCount val="15"/>
                <c:pt idx="0">
                  <c:v>550</c:v>
                </c:pt>
                <c:pt idx="1">
                  <c:v>300</c:v>
                </c:pt>
                <c:pt idx="2">
                  <c:v>120</c:v>
                </c:pt>
                <c:pt idx="3">
                  <c:v>250</c:v>
                </c:pt>
                <c:pt idx="4">
                  <c:v>400</c:v>
                </c:pt>
                <c:pt idx="5">
                  <c:v>600</c:v>
                </c:pt>
                <c:pt idx="6">
                  <c:v>150</c:v>
                </c:pt>
                <c:pt idx="7">
                  <c:v>1200</c:v>
                </c:pt>
                <c:pt idx="8">
                  <c:v>450</c:v>
                </c:pt>
                <c:pt idx="9">
                  <c:v>180</c:v>
                </c:pt>
                <c:pt idx="10">
                  <c:v>80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EB-41FC-A694-6EFCC7CFBB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10165578528866"/>
          <c:y val="4.545118728845763E-2"/>
          <c:w val="0.222653313404371"/>
          <c:h val="0.9090972719319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BA-4AA1-95CC-8AFA8F098BD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70038702789264"/>
                      <c:h val="0.10486087505141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1BA-4AA1-95CC-8AFA8F098BD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6196894879668"/>
                      <c:h val="0.10486087505141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1BA-4AA1-95CC-8AFA8F098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Acumulado!$E$2:$E$3</c:f>
              <c:strCache>
                <c:ptCount val="2"/>
                <c:pt idx="0">
                  <c:v>Gastos do Ano</c:v>
                </c:pt>
                <c:pt idx="1">
                  <c:v>Recebimentos do Ano</c:v>
                </c:pt>
              </c:strCache>
            </c:strRef>
          </c:cat>
          <c:val>
            <c:numRef>
              <c:f>Acumulado!$F$2:$F$3</c:f>
              <c:numCache>
                <c:formatCode>_("R$"* #,##0.00_);_("R$"* \(#,##0.00\);_("R$"* "-"??_);_(@_)</c:formatCode>
                <c:ptCount val="2"/>
                <c:pt idx="0">
                  <c:v>15700</c:v>
                </c:pt>
                <c:pt idx="1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A-4AA1-95CC-8AFA8F09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27920"/>
        <c:axId val="1143560688"/>
      </c:barChart>
      <c:catAx>
        <c:axId val="5328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60688"/>
        <c:crosses val="autoZero"/>
        <c:auto val="1"/>
        <c:lblAlgn val="ctr"/>
        <c:lblOffset val="100"/>
        <c:noMultiLvlLbl val="0"/>
      </c:catAx>
      <c:valAx>
        <c:axId val="1143560688"/>
        <c:scaling>
          <c:orientation val="minMax"/>
          <c:max val="2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279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Acumulado!$I$21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F-4A87-A573-C60BBD666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F-4A87-A573-C60BBD6667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F-4A87-A573-C60BBD6667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F-4A87-A573-C60BBD666795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9F-4A87-A573-C60BBD6667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9F-4A87-A573-C60BBD666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Acumulado!$H$22:$H$25</c:f>
              <c:strCache>
                <c:ptCount val="4"/>
                <c:pt idx="0">
                  <c:v>Renda Fixa</c:v>
                </c:pt>
                <c:pt idx="1">
                  <c:v>Investimentos</c:v>
                </c:pt>
                <c:pt idx="2">
                  <c:v>Freelance</c:v>
                </c:pt>
                <c:pt idx="3">
                  <c:v>Venda de ativos</c:v>
                </c:pt>
              </c:strCache>
            </c:strRef>
          </c:cat>
          <c:val>
            <c:numRef>
              <c:f>Acumulado!$I$22:$I$25</c:f>
              <c:numCache>
                <c:formatCode>_("R$"* #,##0.00_);_("R$"* \(#,##0.00\);_("R$"* "-"??_);_(@_)</c:formatCode>
                <c:ptCount val="4"/>
                <c:pt idx="0">
                  <c:v>15000</c:v>
                </c:pt>
                <c:pt idx="1">
                  <c:v>800</c:v>
                </c:pt>
                <c:pt idx="2">
                  <c:v>1200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9F-4A87-A573-C60BBD6667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799979957842"/>
          <c:y val="0"/>
          <c:w val="0.2225933475666232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Acumulado!$I$2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5-4907-9750-FAFB49A502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5-4907-9750-FAFB49A502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5-4907-9750-FAFB49A502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5-4907-9750-FAFB49A502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95-4907-9750-FAFB49A502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95-4907-9750-FAFB49A502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95-4907-9750-FAFB49A502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95-4907-9750-FAFB49A502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95-4907-9750-FAFB49A502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95-4907-9750-FAFB49A502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95-4907-9750-FAFB49A502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95-4907-9750-FAFB49A502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95-4907-9750-FAFB49A502A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95-4907-9750-FAFB49A502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95-4907-9750-FAFB49A502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Acumulado!$H$3:$H$17</c:f>
              <c:strCache>
                <c:ptCount val="15"/>
                <c:pt idx="0">
                  <c:v>Alimentação</c:v>
                </c:pt>
                <c:pt idx="1">
                  <c:v>Transporte</c:v>
                </c:pt>
                <c:pt idx="2">
                  <c:v>Lazer</c:v>
                </c:pt>
                <c:pt idx="3">
                  <c:v>Saúde</c:v>
                </c:pt>
                <c:pt idx="4">
                  <c:v>Educação</c:v>
                </c:pt>
                <c:pt idx="5">
                  <c:v>Vestuário</c:v>
                </c:pt>
                <c:pt idx="6">
                  <c:v>Serviços</c:v>
                </c:pt>
                <c:pt idx="7">
                  <c:v>Eletrônicos</c:v>
                </c:pt>
                <c:pt idx="8">
                  <c:v>Utilidades Domésticas</c:v>
                </c:pt>
                <c:pt idx="9">
                  <c:v>Presentes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  <c:pt idx="14">
                  <c:v>Utilidades Dom.</c:v>
                </c:pt>
              </c:strCache>
            </c:strRef>
          </c:cat>
          <c:val>
            <c:numRef>
              <c:f>Acumulado!$I$3:$I$17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800</c:v>
                </c:pt>
                <c:pt idx="2">
                  <c:v>500</c:v>
                </c:pt>
                <c:pt idx="3">
                  <c:v>970</c:v>
                </c:pt>
                <c:pt idx="4">
                  <c:v>1100</c:v>
                </c:pt>
                <c:pt idx="5">
                  <c:v>1500</c:v>
                </c:pt>
                <c:pt idx="6">
                  <c:v>1400</c:v>
                </c:pt>
                <c:pt idx="7">
                  <c:v>3000</c:v>
                </c:pt>
                <c:pt idx="8">
                  <c:v>1250</c:v>
                </c:pt>
                <c:pt idx="9">
                  <c:v>830</c:v>
                </c:pt>
                <c:pt idx="10">
                  <c:v>330</c:v>
                </c:pt>
                <c:pt idx="11">
                  <c:v>350</c:v>
                </c:pt>
                <c:pt idx="12">
                  <c:v>1250</c:v>
                </c:pt>
                <c:pt idx="13">
                  <c:v>570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F95-4907-9750-FAFB49A502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10165578528866"/>
          <c:y val="4.545118728845763E-2"/>
          <c:w val="0.222653313404371"/>
          <c:h val="0.9090972719319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14287</xdr:rowOff>
    </xdr:from>
    <xdr:to>
      <xdr:col>5</xdr:col>
      <xdr:colOff>1400174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87920-9D24-972A-9628-2372B5D8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20</xdr:row>
      <xdr:rowOff>4762</xdr:rowOff>
    </xdr:from>
    <xdr:to>
      <xdr:col>13</xdr:col>
      <xdr:colOff>228600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B413E-C66F-D3C1-78A1-77E757AE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885824</xdr:colOff>
      <xdr:row>2</xdr:row>
      <xdr:rowOff>0</xdr:rowOff>
    </xdr:from>
    <xdr:to>
      <xdr:col>16</xdr:col>
      <xdr:colOff>476250</xdr:colOff>
      <xdr:row>16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7FBCDC-60F9-4C5D-890A-E681FB32D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14287</xdr:rowOff>
    </xdr:from>
    <xdr:to>
      <xdr:col>5</xdr:col>
      <xdr:colOff>1400174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BC196-1090-4110-92DE-5F8375A1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20</xdr:row>
      <xdr:rowOff>4762</xdr:rowOff>
    </xdr:from>
    <xdr:to>
      <xdr:col>13</xdr:col>
      <xdr:colOff>228600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3B066-4E00-446F-8B7F-01B78521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885824</xdr:colOff>
      <xdr:row>2</xdr:row>
      <xdr:rowOff>0</xdr:rowOff>
    </xdr:from>
    <xdr:to>
      <xdr:col>16</xdr:col>
      <xdr:colOff>476250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D0C58-FFB0-449E-B41A-AE158BF0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5" x14ac:dyDescent="0.25"/>
  <cols>
    <col min="1" max="1" width="10.7109375" style="1" bestFit="1" customWidth="1"/>
    <col min="2" max="2" width="4.42578125" style="1" bestFit="1" customWidth="1"/>
    <col min="3" max="4" width="23.7109375" style="1" customWidth="1"/>
    <col min="5" max="5" width="25" style="1" bestFit="1" customWidth="1"/>
    <col min="6" max="8" width="23.7109375" style="1" customWidth="1"/>
    <col min="10" max="10" width="13.28515625" bestFit="1" customWidth="1"/>
  </cols>
  <sheetData>
    <row r="1" spans="1:8" x14ac:dyDescent="0.25">
      <c r="A1" s="1" t="s">
        <v>65</v>
      </c>
      <c r="B1" s="1" t="s">
        <v>72</v>
      </c>
      <c r="C1" s="1" t="s">
        <v>67</v>
      </c>
      <c r="D1" s="1" t="s">
        <v>66</v>
      </c>
      <c r="E1" s="1" t="s">
        <v>71</v>
      </c>
      <c r="F1" s="1" t="s">
        <v>68</v>
      </c>
      <c r="G1" s="1" t="s">
        <v>69</v>
      </c>
      <c r="H1" s="1" t="s">
        <v>70</v>
      </c>
    </row>
    <row r="2" spans="1:8" ht="12" customHeight="1" x14ac:dyDescent="0.25">
      <c r="A2" s="2">
        <v>45505</v>
      </c>
      <c r="B2" s="2" t="s">
        <v>73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2" t="s">
        <v>73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2" t="s">
        <v>73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2" t="s">
        <v>73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2" t="s">
        <v>73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2" t="s">
        <v>73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2" t="s">
        <v>73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2" t="s">
        <v>73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2" t="s">
        <v>73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2" t="s">
        <v>73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2" t="s">
        <v>73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2" t="s">
        <v>73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2" t="s">
        <v>73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2" t="s">
        <v>73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2" t="s">
        <v>73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2" t="s">
        <v>73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2" t="s">
        <v>74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2" t="s">
        <v>74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2" t="s">
        <v>74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2" t="s">
        <v>74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2" t="s">
        <v>74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2" t="s">
        <v>74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2" t="s">
        <v>74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2" t="s">
        <v>74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2" t="s">
        <v>74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2" t="s">
        <v>74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2" t="s">
        <v>74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2" t="s">
        <v>74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2" t="s">
        <v>75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2" t="s">
        <v>75</v>
      </c>
      <c r="C31" s="3" t="s">
        <v>5</v>
      </c>
      <c r="D31" s="3" t="s">
        <v>6</v>
      </c>
      <c r="E31" s="1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2" t="s">
        <v>75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2" t="s">
        <v>75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2" t="s">
        <v>75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2" t="s">
        <v>75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2" t="s">
        <v>75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2" t="s">
        <v>75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2" t="s">
        <v>75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2" t="s">
        <v>75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2" t="s">
        <v>75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2" t="s">
        <v>75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2" t="s">
        <v>75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2" t="s">
        <v>75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2" t="s">
        <v>75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2" t="s">
        <v>75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ED91-E123-4128-996E-C08BD0E56EAA}">
  <dimension ref="B2:I27"/>
  <sheetViews>
    <sheetView tabSelected="1" workbookViewId="0">
      <selection activeCell="C17" sqref="C17"/>
    </sheetView>
  </sheetViews>
  <sheetFormatPr defaultRowHeight="15" x14ac:dyDescent="0.25"/>
  <cols>
    <col min="1" max="1" width="9.140625" style="5"/>
    <col min="2" max="2" width="19.140625" style="5" bestFit="1" customWidth="1"/>
    <col min="3" max="3" width="12.140625" style="5" bestFit="1" customWidth="1"/>
    <col min="4" max="4" width="9.140625" style="5"/>
    <col min="5" max="6" width="21" style="5" bestFit="1" customWidth="1"/>
    <col min="7" max="7" width="10.5703125" style="5" bestFit="1" customWidth="1"/>
    <col min="8" max="8" width="24.28515625" style="5" customWidth="1"/>
    <col min="9" max="9" width="13.28515625" style="5" bestFit="1" customWidth="1"/>
    <col min="10" max="10" width="9.140625" style="5"/>
    <col min="11" max="11" width="20.140625" style="5" bestFit="1" customWidth="1"/>
    <col min="12" max="12" width="13.28515625" style="5" bestFit="1" customWidth="1"/>
    <col min="13" max="16384" width="9.140625" style="5"/>
  </cols>
  <sheetData>
    <row r="2" spans="2:9" x14ac:dyDescent="0.25">
      <c r="B2" s="6" t="s">
        <v>72</v>
      </c>
      <c r="C2" s="7" t="s">
        <v>73</v>
      </c>
      <c r="E2" s="6" t="s">
        <v>76</v>
      </c>
      <c r="F2" s="8">
        <f>SUMIFS(base!$F:$F,base!$B:$B,Mensal!$C$2,base!$C:$C,"SAÍDA")</f>
        <v>5580</v>
      </c>
      <c r="H2" s="6" t="s">
        <v>79</v>
      </c>
      <c r="I2" s="6" t="s">
        <v>68</v>
      </c>
    </row>
    <row r="3" spans="2:9" x14ac:dyDescent="0.25">
      <c r="B3" s="6" t="s">
        <v>85</v>
      </c>
      <c r="C3" s="9">
        <f>F3</f>
        <v>5800</v>
      </c>
      <c r="E3" s="6" t="s">
        <v>77</v>
      </c>
      <c r="F3" s="8">
        <f>SUMIFS(base!$F:$F,base!$B:$B,Mensal!$C$2,base!$C:$C,"ENTRADA")</f>
        <v>5800</v>
      </c>
      <c r="H3" s="10" t="s">
        <v>6</v>
      </c>
      <c r="I3" s="8">
        <f>SUMIFS(base!$F:$F,base!$D:$D,Mensal!$H3,base!$C:$C,"SAÍDA",base!$B:$B,Mensal!$C$2)</f>
        <v>550</v>
      </c>
    </row>
    <row r="4" spans="2:9" x14ac:dyDescent="0.25">
      <c r="B4" s="6" t="s">
        <v>86</v>
      </c>
      <c r="C4" s="9">
        <f>F2</f>
        <v>5580</v>
      </c>
      <c r="E4" s="11"/>
      <c r="F4" s="12"/>
      <c r="H4" s="10" t="s">
        <v>10</v>
      </c>
      <c r="I4" s="8">
        <f>SUMIFS(base!$F:$F,base!$D:$D,Mensal!$H4,base!$C:$C,"SAÍDA",base!$B:$B,Mensal!$C$2)</f>
        <v>300</v>
      </c>
    </row>
    <row r="5" spans="2:9" x14ac:dyDescent="0.25">
      <c r="B5" s="13" t="s">
        <v>78</v>
      </c>
      <c r="C5" s="9">
        <f>C3-C4</f>
        <v>220</v>
      </c>
      <c r="H5" s="10" t="s">
        <v>14</v>
      </c>
      <c r="I5" s="8">
        <f>SUMIFS(base!$F:$F,base!$D:$D,Mensal!$H5,base!$C:$C,"SAÍDA",base!$B:$B,Mensal!$C$2)</f>
        <v>120</v>
      </c>
    </row>
    <row r="6" spans="2:9" x14ac:dyDescent="0.25">
      <c r="H6" s="10" t="s">
        <v>16</v>
      </c>
      <c r="I6" s="8">
        <f>SUMIFS(base!$F:$F,base!$D:$D,Mensal!$H6,base!$C:$C,"SAÍDA",base!$B:$B,Mensal!$C$2)</f>
        <v>250</v>
      </c>
    </row>
    <row r="7" spans="2:9" x14ac:dyDescent="0.25">
      <c r="B7" s="13" t="s">
        <v>90</v>
      </c>
      <c r="C7" s="14">
        <f>C4/C3</f>
        <v>0.96206896551724141</v>
      </c>
      <c r="H7" s="10" t="s">
        <v>18</v>
      </c>
      <c r="I7" s="8">
        <f>SUMIFS(base!$F:$F,base!$D:$D,Mensal!$H7,base!$C:$C,"SAÍDA",base!$B:$B,Mensal!$C$2)</f>
        <v>400</v>
      </c>
    </row>
    <row r="8" spans="2:9" x14ac:dyDescent="0.25">
      <c r="H8" s="10" t="s">
        <v>20</v>
      </c>
      <c r="I8" s="8">
        <f>SUMIFS(base!$F:$F,base!$D:$D,Mensal!$H8,base!$C:$C,"SAÍDA",base!$B:$B,Mensal!$C$2)</f>
        <v>600</v>
      </c>
    </row>
    <row r="9" spans="2:9" x14ac:dyDescent="0.25">
      <c r="H9" s="10" t="s">
        <v>24</v>
      </c>
      <c r="I9" s="8">
        <f>SUMIFS(base!$F:$F,base!$D:$D,Mensal!$H9,base!$C:$C,"SAÍDA",base!$B:$B,Mensal!$C$2)</f>
        <v>150</v>
      </c>
    </row>
    <row r="10" spans="2:9" x14ac:dyDescent="0.25">
      <c r="H10" s="10" t="s">
        <v>26</v>
      </c>
      <c r="I10" s="8">
        <f>SUMIFS(base!$F:$F,base!$D:$D,Mensal!$H10,base!$C:$C,"SAÍDA",base!$B:$B,Mensal!$C$2)</f>
        <v>1200</v>
      </c>
    </row>
    <row r="11" spans="2:9" x14ac:dyDescent="0.25">
      <c r="H11" s="10" t="s">
        <v>28</v>
      </c>
      <c r="I11" s="8">
        <f>SUMIFS(base!$F:$F,base!$D:$D,Mensal!$H11,base!$C:$C,"SAÍDA",base!$B:$B,Mensal!$C$2)</f>
        <v>450</v>
      </c>
    </row>
    <row r="12" spans="2:9" x14ac:dyDescent="0.25">
      <c r="H12" s="10" t="s">
        <v>30</v>
      </c>
      <c r="I12" s="8">
        <f>SUMIFS(base!$F:$F,base!$D:$D,Mensal!$H12,base!$C:$C,"SAÍDA",base!$B:$B,Mensal!$C$2)</f>
        <v>180</v>
      </c>
    </row>
    <row r="13" spans="2:9" x14ac:dyDescent="0.25">
      <c r="H13" s="10" t="s">
        <v>32</v>
      </c>
      <c r="I13" s="8">
        <f>SUMIFS(base!$F:$F,base!$D:$D,Mensal!$H13,base!$C:$C,"SAÍDA",base!$B:$B,Mensal!$C$2)</f>
        <v>80</v>
      </c>
    </row>
    <row r="14" spans="2:9" x14ac:dyDescent="0.25">
      <c r="H14" s="10" t="s">
        <v>34</v>
      </c>
      <c r="I14" s="8">
        <f>SUMIFS(base!$F:$F,base!$D:$D,Mensal!$H14,base!$C:$C,"SAÍDA",base!$B:$B,Mensal!$C$2)</f>
        <v>200</v>
      </c>
    </row>
    <row r="15" spans="2:9" x14ac:dyDescent="0.25">
      <c r="H15" s="10" t="s">
        <v>36</v>
      </c>
      <c r="I15" s="8">
        <f>SUMIFS(base!$F:$F,base!$D:$D,Mensal!$H15,base!$C:$C,"SAÍDA",base!$B:$B,Mensal!$C$2)</f>
        <v>750</v>
      </c>
    </row>
    <row r="16" spans="2:9" x14ac:dyDescent="0.25">
      <c r="H16" s="10" t="s">
        <v>38</v>
      </c>
      <c r="I16" s="8">
        <f>SUMIFS(base!$F:$F,base!$D:$D,Mensal!$H16,base!$C:$C,"SAÍDA",base!$B:$B,Mensal!$C$2)</f>
        <v>350</v>
      </c>
    </row>
    <row r="17" spans="5:9" x14ac:dyDescent="0.25">
      <c r="H17" s="10" t="s">
        <v>47</v>
      </c>
      <c r="I17" s="8">
        <f>SUMIFS(base!$F:$F,base!$D:$D,Mensal!$H17,base!$C:$C,"SAÍDA",base!$B:$B,Mensal!$C$2)</f>
        <v>0</v>
      </c>
    </row>
    <row r="21" spans="5:9" x14ac:dyDescent="0.25">
      <c r="E21" s="6" t="s">
        <v>81</v>
      </c>
      <c r="F21" s="8">
        <f>SUMIFS(base!$F:$F,base!$C:$C,"SAÍDA",base!$B:$B,Mensal!$C$2,base!$H:$H,"PAGO")</f>
        <v>1900</v>
      </c>
      <c r="G21" s="14">
        <f>F21/$F$2</f>
        <v>0.34050179211469533</v>
      </c>
      <c r="H21" s="6" t="s">
        <v>80</v>
      </c>
      <c r="I21" s="6" t="s">
        <v>68</v>
      </c>
    </row>
    <row r="22" spans="5:9" x14ac:dyDescent="0.25">
      <c r="E22" s="6" t="s">
        <v>82</v>
      </c>
      <c r="F22" s="8">
        <f>SUMIFS(base!$F:$F,base!$C:$C,"SAÍDA",base!$B:$B,Mensal!$C$2,base!$H:$H,"PENDENTE")</f>
        <v>3680</v>
      </c>
      <c r="G22" s="14">
        <f>F22/$F$2</f>
        <v>0.65949820788530467</v>
      </c>
      <c r="H22" s="10" t="s">
        <v>1</v>
      </c>
      <c r="I22" s="8">
        <f>SUMIFS(base!$F:$F,base!$D:$D,Mensal!$H22,base!$C:$C,"ENTRADA",base!$B:$B,Mensal!$C$2)</f>
        <v>5000</v>
      </c>
    </row>
    <row r="23" spans="5:9" x14ac:dyDescent="0.25">
      <c r="H23" s="10" t="s">
        <v>22</v>
      </c>
      <c r="I23" s="8">
        <f>SUMIFS(base!$F:$F,base!$D:$D,Mensal!$H23,base!$C:$C,"ENTRADA",base!$B:$B,Mensal!$C$2)</f>
        <v>800</v>
      </c>
    </row>
    <row r="24" spans="5:9" x14ac:dyDescent="0.25">
      <c r="E24" s="6" t="s">
        <v>83</v>
      </c>
      <c r="F24" s="6" t="s">
        <v>68</v>
      </c>
      <c r="G24" s="6" t="s">
        <v>84</v>
      </c>
      <c r="H24" s="10" t="s">
        <v>43</v>
      </c>
      <c r="I24" s="8">
        <f>SUMIFS(base!$F:$F,base!$D:$D,Mensal!$H24,base!$C:$C,"ENTRADA",base!$B:$B,Mensal!$C$2)</f>
        <v>0</v>
      </c>
    </row>
    <row r="25" spans="5:9" x14ac:dyDescent="0.25">
      <c r="E25" s="5" t="s">
        <v>3</v>
      </c>
      <c r="F25" s="8">
        <f>SUMIFS(base!$F:$F,base!$C:$C,"SAÍDA",base!$B:$B,Mensal!$C$2,base!$G:$G,Mensal!$E25)</f>
        <v>1330</v>
      </c>
      <c r="G25" s="14">
        <f>F25/$F$2</f>
        <v>0.23835125448028674</v>
      </c>
      <c r="H25" s="10" t="s">
        <v>56</v>
      </c>
      <c r="I25" s="8">
        <f>SUMIFS(base!$F:$F,base!$D:$D,Mensal!$H25,base!$C:$C,"ENTRADA",base!$B:$B,Mensal!$C$2)</f>
        <v>0</v>
      </c>
    </row>
    <row r="26" spans="5:9" x14ac:dyDescent="0.25">
      <c r="E26" s="5" t="s">
        <v>8</v>
      </c>
      <c r="F26" s="8">
        <f>SUMIFS(base!$F:$F,base!$C:$C,"SAÍDA",base!$B:$B,Mensal!$C$2,base!$G:$G,Mensal!$E26)</f>
        <v>1680</v>
      </c>
      <c r="G26" s="14">
        <f>F26/$F$2</f>
        <v>0.30107526881720431</v>
      </c>
    </row>
    <row r="27" spans="5:9" x14ac:dyDescent="0.25">
      <c r="E27" s="5" t="s">
        <v>12</v>
      </c>
      <c r="F27" s="8">
        <f>SUMIFS(base!$F:$F,base!$C:$C,"SAÍDA",base!$B:$B,Mensal!$C$2,base!$G:$G,Mensal!$E27)</f>
        <v>2570</v>
      </c>
      <c r="G27" s="14">
        <f>F27/$F$2</f>
        <v>0.46057347670250898</v>
      </c>
    </row>
  </sheetData>
  <dataConsolidate/>
  <conditionalFormatting sqref="C5">
    <cfRule type="cellIs" dxfId="1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231F75-C9B6-4590-BACD-CC6DA0A7F161}">
          <x14:formula1>
            <xm:f>base!$B$2:$B$45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E3A7-DAC6-42CE-9732-E3137D0BFA97}">
  <dimension ref="B2:I27"/>
  <sheetViews>
    <sheetView workbookViewId="0">
      <selection activeCell="C16" sqref="C16"/>
    </sheetView>
  </sheetViews>
  <sheetFormatPr defaultRowHeight="15" x14ac:dyDescent="0.25"/>
  <cols>
    <col min="1" max="1" width="9.140625" style="5"/>
    <col min="2" max="2" width="9.85546875" style="5" bestFit="1" customWidth="1"/>
    <col min="3" max="3" width="13.28515625" style="5" bestFit="1" customWidth="1"/>
    <col min="4" max="4" width="9.140625" style="5"/>
    <col min="5" max="6" width="21" style="5" bestFit="1" customWidth="1"/>
    <col min="7" max="7" width="10.5703125" style="5" bestFit="1" customWidth="1"/>
    <col min="8" max="8" width="24.28515625" style="5" customWidth="1"/>
    <col min="9" max="9" width="13.28515625" style="5" bestFit="1" customWidth="1"/>
    <col min="10" max="10" width="9.140625" style="5"/>
    <col min="11" max="11" width="20.140625" style="5" bestFit="1" customWidth="1"/>
    <col min="12" max="12" width="13.28515625" style="5" bestFit="1" customWidth="1"/>
    <col min="13" max="16384" width="9.140625" style="5"/>
  </cols>
  <sheetData>
    <row r="2" spans="2:9" x14ac:dyDescent="0.25">
      <c r="B2" s="6" t="s">
        <v>89</v>
      </c>
      <c r="C2" s="7">
        <v>2024</v>
      </c>
      <c r="E2" s="6" t="s">
        <v>87</v>
      </c>
      <c r="F2" s="8">
        <f>SUMIFS(base!$F:$F,base!$C:$C,"SAÍDA")</f>
        <v>15700</v>
      </c>
      <c r="H2" s="6" t="s">
        <v>79</v>
      </c>
      <c r="I2" s="6" t="s">
        <v>68</v>
      </c>
    </row>
    <row r="3" spans="2:9" x14ac:dyDescent="0.25">
      <c r="B3" s="6" t="s">
        <v>85</v>
      </c>
      <c r="C3" s="9">
        <f>F3</f>
        <v>18500</v>
      </c>
      <c r="E3" s="6" t="s">
        <v>88</v>
      </c>
      <c r="F3" s="8">
        <f>SUMIFS(base!$F:$F,base!$C:$C,"ENTRADA")</f>
        <v>18500</v>
      </c>
      <c r="H3" s="10" t="s">
        <v>6</v>
      </c>
      <c r="I3" s="8">
        <f>SUMIFS(base!$F:$F,base!$D:$D,Acumulado!$H3,base!$C:$C,"SAÍDA")</f>
        <v>1600</v>
      </c>
    </row>
    <row r="4" spans="2:9" x14ac:dyDescent="0.25">
      <c r="B4" s="6" t="s">
        <v>86</v>
      </c>
      <c r="C4" s="9">
        <f>F2</f>
        <v>15700</v>
      </c>
      <c r="E4" s="11"/>
      <c r="F4" s="12"/>
      <c r="H4" s="10" t="s">
        <v>10</v>
      </c>
      <c r="I4" s="8">
        <f>SUMIFS(base!$F:$F,base!$D:$D,Acumulado!$H4,base!$C:$C,"SAÍDA")</f>
        <v>800</v>
      </c>
    </row>
    <row r="5" spans="2:9" x14ac:dyDescent="0.25">
      <c r="B5" s="13" t="s">
        <v>78</v>
      </c>
      <c r="C5" s="9">
        <f>C3-C4</f>
        <v>2800</v>
      </c>
      <c r="H5" s="10" t="s">
        <v>14</v>
      </c>
      <c r="I5" s="8">
        <f>SUMIFS(base!$F:$F,base!$D:$D,Acumulado!$H5,base!$C:$C,"SAÍDA")</f>
        <v>500</v>
      </c>
    </row>
    <row r="6" spans="2:9" x14ac:dyDescent="0.25">
      <c r="H6" s="10" t="s">
        <v>16</v>
      </c>
      <c r="I6" s="8">
        <f>SUMIFS(base!$F:$F,base!$D:$D,Acumulado!$H6,base!$C:$C,"SAÍDA")</f>
        <v>970</v>
      </c>
    </row>
    <row r="7" spans="2:9" x14ac:dyDescent="0.25">
      <c r="H7" s="10" t="s">
        <v>18</v>
      </c>
      <c r="I7" s="8">
        <f>SUMIFS(base!$F:$F,base!$D:$D,Acumulado!$H7,base!$C:$C,"SAÍDA")</f>
        <v>1100</v>
      </c>
    </row>
    <row r="8" spans="2:9" x14ac:dyDescent="0.25">
      <c r="H8" s="10" t="s">
        <v>20</v>
      </c>
      <c r="I8" s="8">
        <f>SUMIFS(base!$F:$F,base!$D:$D,Acumulado!$H8,base!$C:$C,"SAÍDA")</f>
        <v>1500</v>
      </c>
    </row>
    <row r="9" spans="2:9" x14ac:dyDescent="0.25">
      <c r="H9" s="10" t="s">
        <v>24</v>
      </c>
      <c r="I9" s="8">
        <f>SUMIFS(base!$F:$F,base!$D:$D,Acumulado!$H9,base!$C:$C,"SAÍDA")</f>
        <v>1400</v>
      </c>
    </row>
    <row r="10" spans="2:9" x14ac:dyDescent="0.25">
      <c r="H10" s="10" t="s">
        <v>26</v>
      </c>
      <c r="I10" s="8">
        <f>SUMIFS(base!$F:$F,base!$D:$D,Acumulado!$H10,base!$C:$C,"SAÍDA")</f>
        <v>3000</v>
      </c>
    </row>
    <row r="11" spans="2:9" x14ac:dyDescent="0.25">
      <c r="H11" s="10" t="s">
        <v>28</v>
      </c>
      <c r="I11" s="8">
        <f>SUMIFS(base!$F:$F,base!$D:$D,Acumulado!$H11,base!$C:$C,"SAÍDA")</f>
        <v>1250</v>
      </c>
    </row>
    <row r="12" spans="2:9" x14ac:dyDescent="0.25">
      <c r="H12" s="10" t="s">
        <v>30</v>
      </c>
      <c r="I12" s="8">
        <f>SUMIFS(base!$F:$F,base!$D:$D,Acumulado!$H12,base!$C:$C,"SAÍDA")</f>
        <v>830</v>
      </c>
    </row>
    <row r="13" spans="2:9" x14ac:dyDescent="0.25">
      <c r="H13" s="10" t="s">
        <v>32</v>
      </c>
      <c r="I13" s="8">
        <f>SUMIFS(base!$F:$F,base!$D:$D,Acumulado!$H13,base!$C:$C,"SAÍDA")</f>
        <v>330</v>
      </c>
    </row>
    <row r="14" spans="2:9" x14ac:dyDescent="0.25">
      <c r="H14" s="10" t="s">
        <v>34</v>
      </c>
      <c r="I14" s="8">
        <f>SUMIFS(base!$F:$F,base!$D:$D,Acumulado!$H14,base!$C:$C,"SAÍDA")</f>
        <v>350</v>
      </c>
    </row>
    <row r="15" spans="2:9" x14ac:dyDescent="0.25">
      <c r="H15" s="10" t="s">
        <v>36</v>
      </c>
      <c r="I15" s="8">
        <f>SUMIFS(base!$F:$F,base!$D:$D,Acumulado!$H15,base!$C:$C,"SAÍDA")</f>
        <v>1250</v>
      </c>
    </row>
    <row r="16" spans="2:9" x14ac:dyDescent="0.25">
      <c r="H16" s="10" t="s">
        <v>38</v>
      </c>
      <c r="I16" s="8">
        <f>SUMIFS(base!$F:$F,base!$D:$D,Acumulado!$H16,base!$C:$C,"SAÍDA")</f>
        <v>570</v>
      </c>
    </row>
    <row r="17" spans="5:9" x14ac:dyDescent="0.25">
      <c r="H17" s="10" t="s">
        <v>47</v>
      </c>
      <c r="I17" s="8">
        <f>SUMIFS(base!$F:$F,base!$D:$D,Acumulado!$H17,base!$C:$C,"SAÍDA")</f>
        <v>250</v>
      </c>
    </row>
    <row r="20" spans="5:9" x14ac:dyDescent="0.25">
      <c r="G20" s="6" t="s">
        <v>84</v>
      </c>
    </row>
    <row r="21" spans="5:9" x14ac:dyDescent="0.25">
      <c r="E21" s="6" t="s">
        <v>81</v>
      </c>
      <c r="F21" s="8">
        <f>SUMIFS(base!$F:$F,base!$C:$C,"SAÍDA",base!$H:$H,"PAGO")</f>
        <v>5980</v>
      </c>
      <c r="G21" s="14">
        <f>F21/$F$2</f>
        <v>0.38089171974522296</v>
      </c>
      <c r="H21" s="6" t="s">
        <v>80</v>
      </c>
      <c r="I21" s="6" t="s">
        <v>68</v>
      </c>
    </row>
    <row r="22" spans="5:9" x14ac:dyDescent="0.25">
      <c r="E22" s="6" t="s">
        <v>82</v>
      </c>
      <c r="F22" s="8">
        <f>SUMIFS(base!$F:$F,base!$C:$C,"SAÍDA",base!$H:$H,"PENDENTE")</f>
        <v>9720</v>
      </c>
      <c r="G22" s="14">
        <f>F22/$F$2</f>
        <v>0.61910828025477704</v>
      </c>
      <c r="H22" s="10" t="s">
        <v>1</v>
      </c>
      <c r="I22" s="8">
        <f>SUMIFS(base!$F:$F,base!$D:$D,Acumulado!$H22,base!$C:$C,"ENTRADA")</f>
        <v>15000</v>
      </c>
    </row>
    <row r="23" spans="5:9" x14ac:dyDescent="0.25">
      <c r="H23" s="10" t="s">
        <v>22</v>
      </c>
      <c r="I23" s="8">
        <f>SUMIFS(base!$F:$F,base!$D:$D,Acumulado!$H23,base!$C:$C,"ENTRADA")</f>
        <v>800</v>
      </c>
    </row>
    <row r="24" spans="5:9" x14ac:dyDescent="0.25">
      <c r="E24" s="6" t="s">
        <v>83</v>
      </c>
      <c r="F24" s="6" t="s">
        <v>68</v>
      </c>
      <c r="G24" s="6" t="s">
        <v>84</v>
      </c>
      <c r="H24" s="10" t="s">
        <v>43</v>
      </c>
      <c r="I24" s="8">
        <f>SUMIFS(base!$F:$F,base!$D:$D,Acumulado!$H24,base!$C:$C,"ENTRADA")</f>
        <v>1200</v>
      </c>
    </row>
    <row r="25" spans="5:9" x14ac:dyDescent="0.25">
      <c r="E25" s="5" t="s">
        <v>3</v>
      </c>
      <c r="F25" s="8">
        <f>SUMIFS(base!$F:$F,base!$C:$C,"SAÍDA",base!$G:$G,Acumulado!$E25)</f>
        <v>4530</v>
      </c>
      <c r="G25" s="14">
        <f>F25/$F$2</f>
        <v>0.28853503184713375</v>
      </c>
      <c r="H25" s="10" t="s">
        <v>56</v>
      </c>
      <c r="I25" s="8">
        <f>SUMIFS(base!$F:$F,base!$D:$D,Acumulado!$H25,base!$C:$C,"ENTRADA")</f>
        <v>1500</v>
      </c>
    </row>
    <row r="26" spans="5:9" x14ac:dyDescent="0.25">
      <c r="E26" s="5" t="s">
        <v>8</v>
      </c>
      <c r="F26" s="8">
        <f>SUMIFS(base!$F:$F,base!$C:$C,"SAÍDA",base!$G:$G,Acumulado!$E26)</f>
        <v>4600</v>
      </c>
      <c r="G26" s="14">
        <f>F26/$F$2</f>
        <v>0.2929936305732484</v>
      </c>
    </row>
    <row r="27" spans="5:9" x14ac:dyDescent="0.25">
      <c r="E27" s="5" t="s">
        <v>12</v>
      </c>
      <c r="F27" s="8">
        <f>SUMIFS(base!$F:$F,base!$C:$C,"SAÍDA",base!$G:$G,Acumulado!$E27)</f>
        <v>6570</v>
      </c>
      <c r="G27" s="14">
        <f>F27/$F$2</f>
        <v>0.41847133757961785</v>
      </c>
    </row>
  </sheetData>
  <dataConsolidate/>
  <conditionalFormatting sqref="C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C o 0 w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A K j T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0 w W i i K R 7 g O A A A A E Q A A A B M A H A B G b 3 J t d W x h c y 9 T Z W N 0 a W 9 u M S 5 t I K I Y A C i g F A A A A A A A A A A A A A A A A A A A A A A A A A A A A C t O T S 7 J z M 9 T C I b Q h t Y A U E s B A i 0 A F A A C A A g A C o 0 w W p d m 6 f u m A A A A 9 g A A A B I A A A A A A A A A A A A A A A A A A A A A A E N v b m Z p Z y 9 Q Y W N r Y W d l L n h t b F B L A Q I t A B Q A A g A I A A q N M F o P y u m r p A A A A O k A A A A T A A A A A A A A A A A A A A A A A P I A A A B b Q 2 9 u d G V u d F 9 U e X B l c 1 0 u e G 1 s U E s B A i 0 A F A A C A A g A C o 0 w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+ A d O R E v 5 H g 7 n 4 G D P O i k k A A A A A A g A A A A A A E G Y A A A A B A A A g A A A A t y 9 5 U 3 q b f c 3 I Y x m Y P D v H i e B / P 9 i T X m d O o B 0 L U h B J F o A A A A A A D o A A A A A C A A A g A A A A O n 1 k L t Y 3 l i N j F o n G y a J l k L 6 q t q 5 o P X L 4 N y 3 W v h 2 x j 8 d Q A A A A e p q y h m z Y G / X t o k 6 0 y H P B b + D e z r b v t s 4 8 z y s K Y B 0 T T y m H 8 N z L Q a m R V x T T r e V a y y i d W R d 0 Q 2 T C A a w 4 Y 0 1 j G j + 6 w k W w h j a o d + 1 r x E o I Z s g 8 u 4 9 A A A A A S g o J w h 3 B X y v l h M t j 5 X o g / k J q e 9 G Q H P P R Q G N 6 X 4 o d i z 5 D l i 1 w 7 g 6 / q u b r 3 h q a 1 x t l p l V 3 G g 4 5 + k a Q Z 1 D w E V o 8 R g = = < / D a t a M a s h u p > 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C55D91E3-BC4F-4FE4-8EF3-4D96B41910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Mensal</vt:lpstr>
      <vt:lpstr>Acumulado</vt:lpstr>
      <vt:lpstr>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Renato Riscifina</cp:lastModifiedBy>
  <cp:revision/>
  <dcterms:created xsi:type="dcterms:W3CDTF">2015-06-05T18:19:34Z</dcterms:created>
  <dcterms:modified xsi:type="dcterms:W3CDTF">2025-01-16T21:32:32Z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