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a98ea8bccc6a9c/Desktop/Financial modeling/"/>
    </mc:Choice>
  </mc:AlternateContent>
  <xr:revisionPtr revIDLastSave="79" documentId="8_{51496A32-1BB0-4A68-9F72-093A39D22EEE}" xr6:coauthVersionLast="47" xr6:coauthVersionMax="47" xr10:uidLastSave="{1B8A11DC-AE97-440C-B267-5EE2FB43EBCF}"/>
  <bookViews>
    <workbookView xWindow="-120" yWindow="-120" windowWidth="20730" windowHeight="11040" activeTab="1" xr2:uid="{5CDBF806-F30E-4C6B-9304-F3E21245F82D}"/>
  </bookViews>
  <sheets>
    <sheet name="Summary" sheetId="1" r:id="rId1"/>
    <sheet name="Table of Content" sheetId="7" r:id="rId2"/>
    <sheet name="Dashboard" sheetId="20" r:id="rId3"/>
    <sheet name="Scenarios" sheetId="3" r:id="rId4"/>
    <sheet name="Model Inputs" sheetId="2" r:id="rId5"/>
    <sheet name="Directors and Staff Costs" sheetId="6" r:id="rId6"/>
    <sheet name="Debt" sheetId="10" r:id="rId7"/>
    <sheet name="Revenue" sheetId="4" r:id="rId8"/>
    <sheet name="Cost of Sales" sheetId="5" r:id="rId9"/>
    <sheet name="Working Capital" sheetId="8" r:id="rId10"/>
    <sheet name="Depreciation" sheetId="9" r:id="rId11"/>
    <sheet name="Equity" sheetId="11" r:id="rId12"/>
    <sheet name="Tax" sheetId="12" r:id="rId13"/>
    <sheet name="Income Statement" sheetId="13" r:id="rId14"/>
    <sheet name="Balance Sheet" sheetId="14" r:id="rId15"/>
    <sheet name="Cashflow" sheetId="15" r:id="rId16"/>
    <sheet name="DCF Valuation " sheetId="18" r:id="rId17"/>
    <sheet name="Financial Ratios " sheetId="19" r:id="rId18"/>
  </sheets>
  <calcPr calcId="191029" iterate="1" iterateCount="1000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" i="20" l="1"/>
  <c r="D1" i="20"/>
  <c r="F21" i="1"/>
  <c r="G21" i="1"/>
  <c r="H21" i="1"/>
  <c r="I21" i="1"/>
  <c r="F23" i="1"/>
  <c r="G23" i="1"/>
  <c r="H23" i="1"/>
  <c r="I23" i="1"/>
  <c r="E23" i="1"/>
  <c r="E21" i="1"/>
  <c r="E7" i="1"/>
  <c r="H30" i="19"/>
  <c r="I30" i="19"/>
  <c r="J30" i="19"/>
  <c r="G30" i="19"/>
  <c r="H29" i="19"/>
  <c r="I29" i="19"/>
  <c r="J29" i="19"/>
  <c r="G29" i="19"/>
  <c r="H18" i="19"/>
  <c r="I18" i="19"/>
  <c r="J18" i="19"/>
  <c r="G18" i="19"/>
  <c r="H14" i="19"/>
  <c r="I14" i="19"/>
  <c r="J14" i="19"/>
  <c r="K14" i="19"/>
  <c r="L14" i="19"/>
  <c r="M14" i="19"/>
  <c r="N14" i="19"/>
  <c r="O14" i="19"/>
  <c r="H15" i="19"/>
  <c r="I15" i="19"/>
  <c r="J15" i="19"/>
  <c r="K15" i="19"/>
  <c r="L15" i="19"/>
  <c r="M15" i="19"/>
  <c r="N15" i="19"/>
  <c r="O15" i="19"/>
  <c r="H16" i="19"/>
  <c r="I16" i="19"/>
  <c r="J16" i="19"/>
  <c r="K16" i="19"/>
  <c r="L16" i="19"/>
  <c r="M16" i="19"/>
  <c r="N16" i="19"/>
  <c r="O16" i="19"/>
  <c r="G15" i="19"/>
  <c r="G16" i="19"/>
  <c r="G14" i="19"/>
  <c r="C1" i="19"/>
  <c r="O24" i="14" l="1"/>
  <c r="N24" i="14"/>
  <c r="N23" i="14" s="1"/>
  <c r="O23" i="14"/>
  <c r="C5" i="18"/>
  <c r="O10" i="18" s="1"/>
  <c r="C22" i="18"/>
  <c r="C26" i="18"/>
  <c r="I37" i="18"/>
  <c r="C27" i="18"/>
  <c r="C29" i="18"/>
  <c r="C28" i="18"/>
  <c r="C25" i="18"/>
  <c r="C24" i="18"/>
  <c r="C1" i="18"/>
  <c r="N10" i="18" l="1"/>
  <c r="M10" i="18"/>
  <c r="L10" i="18"/>
  <c r="K10" i="18"/>
  <c r="J10" i="18"/>
  <c r="M24" i="6" l="1"/>
  <c r="M25" i="6"/>
  <c r="L25" i="6"/>
  <c r="K25" i="6"/>
  <c r="P80" i="3"/>
  <c r="P78" i="3" s="1"/>
  <c r="K17" i="12"/>
  <c r="J40" i="10"/>
  <c r="K40" i="10"/>
  <c r="J37" i="10"/>
  <c r="K16" i="9"/>
  <c r="K19" i="9"/>
  <c r="K14" i="9" l="1"/>
  <c r="K13" i="9"/>
  <c r="J12" i="9"/>
  <c r="J7" i="9" s="1"/>
  <c r="J20" i="8" l="1"/>
  <c r="O11" i="3"/>
  <c r="O10" i="3"/>
  <c r="G14" i="4"/>
  <c r="H31" i="14" l="1"/>
  <c r="I31" i="14"/>
  <c r="J31" i="14"/>
  <c r="G31" i="14"/>
  <c r="H27" i="15"/>
  <c r="I27" i="15"/>
  <c r="J27" i="15"/>
  <c r="K27" i="15"/>
  <c r="L27" i="15"/>
  <c r="M27" i="15"/>
  <c r="N27" i="15"/>
  <c r="O27" i="15"/>
  <c r="G27" i="15"/>
  <c r="G17" i="15" l="1"/>
  <c r="H17" i="15"/>
  <c r="I17" i="15"/>
  <c r="J17" i="15"/>
  <c r="H16" i="15"/>
  <c r="I16" i="15"/>
  <c r="J16" i="15"/>
  <c r="G16" i="15"/>
  <c r="O31" i="2" l="1"/>
  <c r="N31" i="2"/>
  <c r="M31" i="2"/>
  <c r="L31" i="2"/>
  <c r="O25" i="6"/>
  <c r="N25" i="6"/>
  <c r="O24" i="6"/>
  <c r="N24" i="6"/>
  <c r="O23" i="6"/>
  <c r="N23" i="6"/>
  <c r="M23" i="6"/>
  <c r="O22" i="6"/>
  <c r="N22" i="6"/>
  <c r="M22" i="6"/>
  <c r="O21" i="6"/>
  <c r="N21" i="6"/>
  <c r="M21" i="6"/>
  <c r="O20" i="6"/>
  <c r="O10" i="6" s="1"/>
  <c r="N20" i="6"/>
  <c r="M20" i="6"/>
  <c r="O19" i="6"/>
  <c r="N19" i="6"/>
  <c r="M19" i="6"/>
  <c r="O18" i="6"/>
  <c r="N18" i="6"/>
  <c r="N10" i="6" s="1"/>
  <c r="M18" i="6"/>
  <c r="O17" i="6"/>
  <c r="N17" i="6"/>
  <c r="M17" i="6"/>
  <c r="O16" i="6"/>
  <c r="N16" i="6"/>
  <c r="M16" i="6"/>
  <c r="M10" i="6" s="1"/>
  <c r="G10" i="6"/>
  <c r="H10" i="6"/>
  <c r="I10" i="6"/>
  <c r="J10" i="6"/>
  <c r="L10" i="6"/>
  <c r="K10" i="6"/>
  <c r="K55" i="9" l="1"/>
  <c r="L55" i="9"/>
  <c r="M55" i="9"/>
  <c r="N55" i="9"/>
  <c r="O55" i="9"/>
  <c r="J55" i="9"/>
  <c r="O56" i="9"/>
  <c r="N56" i="9"/>
  <c r="M56" i="9"/>
  <c r="L56" i="9"/>
  <c r="K56" i="9"/>
  <c r="J56" i="9"/>
  <c r="O54" i="9"/>
  <c r="N54" i="9"/>
  <c r="M54" i="9"/>
  <c r="L54" i="9"/>
  <c r="K54" i="9"/>
  <c r="J54" i="9"/>
  <c r="L53" i="9"/>
  <c r="M53" i="9"/>
  <c r="N53" i="9"/>
  <c r="O53" i="9"/>
  <c r="K53" i="9"/>
  <c r="J53" i="9"/>
  <c r="K52" i="9"/>
  <c r="L52" i="9"/>
  <c r="M52" i="9"/>
  <c r="N52" i="9"/>
  <c r="O52" i="9"/>
  <c r="J52" i="9"/>
  <c r="K51" i="9"/>
  <c r="L51" i="9"/>
  <c r="M51" i="9"/>
  <c r="N51" i="9"/>
  <c r="O51" i="9"/>
  <c r="J51" i="9"/>
  <c r="G44" i="9"/>
  <c r="H44" i="9"/>
  <c r="I44" i="9"/>
  <c r="J44" i="9"/>
  <c r="K44" i="9"/>
  <c r="L44" i="9"/>
  <c r="M44" i="9"/>
  <c r="N44" i="9"/>
  <c r="O44" i="9"/>
  <c r="G45" i="9"/>
  <c r="H45" i="9"/>
  <c r="I45" i="9"/>
  <c r="J45" i="9"/>
  <c r="K45" i="9"/>
  <c r="L45" i="9"/>
  <c r="M45" i="9"/>
  <c r="N45" i="9"/>
  <c r="O45" i="9"/>
  <c r="G46" i="9"/>
  <c r="H46" i="9"/>
  <c r="I46" i="9"/>
  <c r="J46" i="9"/>
  <c r="K46" i="9"/>
  <c r="L46" i="9"/>
  <c r="M46" i="9"/>
  <c r="N46" i="9"/>
  <c r="O46" i="9"/>
  <c r="G47" i="9"/>
  <c r="H47" i="9"/>
  <c r="I47" i="9"/>
  <c r="J47" i="9"/>
  <c r="K47" i="9"/>
  <c r="L47" i="9"/>
  <c r="M47" i="9"/>
  <c r="N47" i="9"/>
  <c r="O47" i="9"/>
  <c r="G48" i="9"/>
  <c r="H48" i="9"/>
  <c r="I48" i="9"/>
  <c r="J48" i="9"/>
  <c r="K48" i="9"/>
  <c r="L48" i="9"/>
  <c r="M48" i="9"/>
  <c r="N48" i="9"/>
  <c r="O48" i="9"/>
  <c r="H43" i="9"/>
  <c r="I43" i="9"/>
  <c r="J43" i="9"/>
  <c r="K43" i="9"/>
  <c r="L43" i="9"/>
  <c r="M43" i="9"/>
  <c r="N43" i="9"/>
  <c r="O43" i="9"/>
  <c r="G43" i="9"/>
  <c r="J13" i="15" l="1"/>
  <c r="J15" i="15"/>
  <c r="J22" i="15"/>
  <c r="K22" i="15"/>
  <c r="L22" i="15"/>
  <c r="M22" i="15"/>
  <c r="N22" i="15"/>
  <c r="O22" i="15"/>
  <c r="J25" i="15"/>
  <c r="K25" i="15"/>
  <c r="L25" i="15"/>
  <c r="M25" i="15"/>
  <c r="N25" i="15"/>
  <c r="O25" i="15"/>
  <c r="J26" i="15"/>
  <c r="J32" i="15"/>
  <c r="J21" i="10" s="1"/>
  <c r="K32" i="15"/>
  <c r="K21" i="10" s="1"/>
  <c r="L32" i="15"/>
  <c r="M32" i="15"/>
  <c r="N32" i="15"/>
  <c r="O32" i="15"/>
  <c r="O21" i="10" s="1"/>
  <c r="J33" i="15"/>
  <c r="K33" i="15"/>
  <c r="L33" i="15"/>
  <c r="M33" i="15"/>
  <c r="M21" i="10" s="1"/>
  <c r="N33" i="15"/>
  <c r="O33" i="15"/>
  <c r="L35" i="15"/>
  <c r="M35" i="15"/>
  <c r="N35" i="15"/>
  <c r="O35" i="15"/>
  <c r="H15" i="11"/>
  <c r="I15" i="11"/>
  <c r="J15" i="11"/>
  <c r="K15" i="11"/>
  <c r="L15" i="11"/>
  <c r="M15" i="11"/>
  <c r="N15" i="11"/>
  <c r="O15" i="11"/>
  <c r="G15" i="11"/>
  <c r="H30" i="10"/>
  <c r="I30" i="10"/>
  <c r="J30" i="10"/>
  <c r="K30" i="10"/>
  <c r="L30" i="10"/>
  <c r="M30" i="10"/>
  <c r="N30" i="10"/>
  <c r="O30" i="10"/>
  <c r="G30" i="10"/>
  <c r="L21" i="10"/>
  <c r="N21" i="10"/>
  <c r="H13" i="10"/>
  <c r="I13" i="10"/>
  <c r="J13" i="10"/>
  <c r="K13" i="10"/>
  <c r="L13" i="10"/>
  <c r="M13" i="10"/>
  <c r="N13" i="10"/>
  <c r="O13" i="10"/>
  <c r="G13" i="10"/>
  <c r="G9" i="10"/>
  <c r="H32" i="15"/>
  <c r="H21" i="10" s="1"/>
  <c r="I32" i="15"/>
  <c r="I21" i="10" s="1"/>
  <c r="H33" i="15"/>
  <c r="I33" i="15"/>
  <c r="G33" i="15"/>
  <c r="G32" i="15"/>
  <c r="G21" i="10" s="1"/>
  <c r="H25" i="15"/>
  <c r="I25" i="15"/>
  <c r="G25" i="15"/>
  <c r="H24" i="11" l="1"/>
  <c r="I24" i="11"/>
  <c r="J24" i="11"/>
  <c r="K24" i="11"/>
  <c r="L24" i="11"/>
  <c r="M24" i="11"/>
  <c r="N24" i="11"/>
  <c r="O24" i="11"/>
  <c r="G24" i="11"/>
  <c r="H21" i="11"/>
  <c r="I21" i="11"/>
  <c r="J21" i="11"/>
  <c r="K21" i="11"/>
  <c r="L21" i="11"/>
  <c r="M21" i="11"/>
  <c r="N21" i="11"/>
  <c r="O21" i="11"/>
  <c r="G21" i="11"/>
  <c r="H24" i="14"/>
  <c r="I24" i="14"/>
  <c r="G24" i="14"/>
  <c r="H28" i="13"/>
  <c r="H10" i="15" s="1"/>
  <c r="I28" i="13"/>
  <c r="I10" i="15" s="1"/>
  <c r="G28" i="13"/>
  <c r="G10" i="15" s="1"/>
  <c r="H20" i="13"/>
  <c r="I20" i="13"/>
  <c r="J20" i="13"/>
  <c r="K20" i="13"/>
  <c r="L20" i="13"/>
  <c r="M20" i="13"/>
  <c r="N20" i="13"/>
  <c r="O20" i="13"/>
  <c r="G20" i="13"/>
  <c r="H8" i="12" l="1"/>
  <c r="H17" i="12" s="1"/>
  <c r="I8" i="12"/>
  <c r="I17" i="12" s="1"/>
  <c r="J8" i="12"/>
  <c r="J17" i="12" s="1"/>
  <c r="K8" i="12"/>
  <c r="L8" i="12"/>
  <c r="L17" i="12" s="1"/>
  <c r="M8" i="12"/>
  <c r="M17" i="12" s="1"/>
  <c r="N8" i="12"/>
  <c r="N17" i="12" s="1"/>
  <c r="O8" i="12"/>
  <c r="O17" i="12" s="1"/>
  <c r="G8" i="12"/>
  <c r="G17" i="12" s="1"/>
  <c r="G25" i="14" s="1"/>
  <c r="G16" i="11"/>
  <c r="H14" i="11" s="1"/>
  <c r="H16" i="11" s="1"/>
  <c r="I14" i="11" s="1"/>
  <c r="I16" i="11" s="1"/>
  <c r="J14" i="11" s="1"/>
  <c r="J16" i="11" s="1"/>
  <c r="K14" i="11" s="1"/>
  <c r="K16" i="11" s="1"/>
  <c r="L14" i="11" s="1"/>
  <c r="L16" i="11" s="1"/>
  <c r="M14" i="11" s="1"/>
  <c r="M16" i="11" s="1"/>
  <c r="N14" i="11" s="1"/>
  <c r="N16" i="11" s="1"/>
  <c r="O14" i="11" s="1"/>
  <c r="O16" i="11" s="1"/>
  <c r="I9" i="11"/>
  <c r="J9" i="11"/>
  <c r="K9" i="11"/>
  <c r="L9" i="11"/>
  <c r="L22" i="10" s="1"/>
  <c r="M9" i="11"/>
  <c r="N9" i="11"/>
  <c r="O9" i="11"/>
  <c r="H9" i="11"/>
  <c r="H35" i="15" s="1"/>
  <c r="H22" i="10" s="1"/>
  <c r="G9" i="11"/>
  <c r="G35" i="15" s="1"/>
  <c r="G22" i="10" s="1"/>
  <c r="K50" i="10"/>
  <c r="K54" i="10" s="1"/>
  <c r="L50" i="10"/>
  <c r="L54" i="10" s="1"/>
  <c r="M50" i="10"/>
  <c r="N50" i="10"/>
  <c r="O50" i="10"/>
  <c r="K51" i="10"/>
  <c r="L51" i="10"/>
  <c r="M51" i="10"/>
  <c r="N51" i="10"/>
  <c r="O51" i="10"/>
  <c r="K52" i="10"/>
  <c r="L52" i="10"/>
  <c r="M52" i="10"/>
  <c r="N52" i="10"/>
  <c r="O52" i="10"/>
  <c r="K53" i="10"/>
  <c r="L53" i="10"/>
  <c r="M53" i="10"/>
  <c r="N53" i="10"/>
  <c r="O53" i="10"/>
  <c r="J51" i="10"/>
  <c r="J52" i="10"/>
  <c r="J53" i="10"/>
  <c r="J50" i="10"/>
  <c r="J54" i="10" s="1"/>
  <c r="K44" i="10"/>
  <c r="K47" i="10" s="1"/>
  <c r="L44" i="10"/>
  <c r="L47" i="10" s="1"/>
  <c r="M44" i="10"/>
  <c r="N44" i="10"/>
  <c r="O44" i="10"/>
  <c r="K45" i="10"/>
  <c r="L45" i="10"/>
  <c r="M45" i="10"/>
  <c r="N45" i="10"/>
  <c r="O45" i="10"/>
  <c r="K46" i="10"/>
  <c r="L46" i="10"/>
  <c r="M46" i="10"/>
  <c r="N46" i="10"/>
  <c r="O46" i="10"/>
  <c r="J45" i="10"/>
  <c r="J46" i="10"/>
  <c r="J44" i="10"/>
  <c r="J47" i="10" s="1"/>
  <c r="K36" i="10"/>
  <c r="L36" i="10"/>
  <c r="M36" i="10"/>
  <c r="N36" i="10"/>
  <c r="O36" i="10"/>
  <c r="K37" i="10"/>
  <c r="L37" i="10"/>
  <c r="M37" i="10"/>
  <c r="N37" i="10"/>
  <c r="O37" i="10"/>
  <c r="K38" i="10"/>
  <c r="L38" i="10"/>
  <c r="M38" i="10"/>
  <c r="N38" i="10"/>
  <c r="O38" i="10"/>
  <c r="K39" i="10"/>
  <c r="L39" i="10"/>
  <c r="M39" i="10"/>
  <c r="N39" i="10"/>
  <c r="O39" i="10"/>
  <c r="J38" i="10"/>
  <c r="J39" i="10"/>
  <c r="J36" i="10"/>
  <c r="J24" i="14" s="1"/>
  <c r="K35" i="15" l="1"/>
  <c r="K22" i="10" s="1"/>
  <c r="J35" i="15"/>
  <c r="J22" i="10" s="1"/>
  <c r="G26" i="15"/>
  <c r="H25" i="14"/>
  <c r="G23" i="14"/>
  <c r="N40" i="10"/>
  <c r="M40" i="10"/>
  <c r="O47" i="10"/>
  <c r="O54" i="10"/>
  <c r="O22" i="10"/>
  <c r="G10" i="11"/>
  <c r="L40" i="10"/>
  <c r="L24" i="14" s="1"/>
  <c r="N47" i="10"/>
  <c r="N54" i="10"/>
  <c r="N22" i="10"/>
  <c r="O40" i="10"/>
  <c r="I35" i="15"/>
  <c r="I22" i="10" s="1"/>
  <c r="K24" i="14"/>
  <c r="M47" i="10"/>
  <c r="M54" i="10"/>
  <c r="M22" i="10"/>
  <c r="H7" i="9"/>
  <c r="I7" i="9"/>
  <c r="H8" i="9"/>
  <c r="I8" i="9"/>
  <c r="G8" i="9"/>
  <c r="G7" i="9"/>
  <c r="H23" i="9"/>
  <c r="I23" i="9"/>
  <c r="J23" i="9"/>
  <c r="O12" i="9" s="1"/>
  <c r="K23" i="9"/>
  <c r="L23" i="9"/>
  <c r="M23" i="9"/>
  <c r="N23" i="9"/>
  <c r="O23" i="9"/>
  <c r="H24" i="9"/>
  <c r="I24" i="9"/>
  <c r="J24" i="9"/>
  <c r="K24" i="9"/>
  <c r="L24" i="9"/>
  <c r="M24" i="9"/>
  <c r="N24" i="9"/>
  <c r="O24" i="9"/>
  <c r="H25" i="9"/>
  <c r="I25" i="9"/>
  <c r="J25" i="9"/>
  <c r="J14" i="9" s="1"/>
  <c r="K25" i="9"/>
  <c r="O14" i="9" s="1"/>
  <c r="L25" i="9"/>
  <c r="M25" i="9"/>
  <c r="N25" i="9"/>
  <c r="O25" i="9"/>
  <c r="H26" i="9"/>
  <c r="I26" i="9"/>
  <c r="J26" i="9"/>
  <c r="J15" i="9" s="1"/>
  <c r="K26" i="9"/>
  <c r="O15" i="9" s="1"/>
  <c r="L26" i="9"/>
  <c r="M26" i="9"/>
  <c r="N26" i="9"/>
  <c r="O26" i="9"/>
  <c r="H27" i="9"/>
  <c r="I27" i="9"/>
  <c r="J27" i="9"/>
  <c r="J16" i="9" s="1"/>
  <c r="K27" i="9"/>
  <c r="N16" i="9" s="1"/>
  <c r="L27" i="9"/>
  <c r="O16" i="9" s="1"/>
  <c r="M27" i="9"/>
  <c r="N27" i="9"/>
  <c r="O27" i="9"/>
  <c r="H28" i="9"/>
  <c r="I28" i="9"/>
  <c r="J28" i="9"/>
  <c r="M19" i="9" s="1"/>
  <c r="M8" i="9" s="1"/>
  <c r="K28" i="9"/>
  <c r="O19" i="9" s="1"/>
  <c r="O8" i="9" s="1"/>
  <c r="L28" i="9"/>
  <c r="M28" i="9"/>
  <c r="N28" i="9"/>
  <c r="O28" i="9"/>
  <c r="G24" i="9"/>
  <c r="G33" i="9" s="1"/>
  <c r="H33" i="9" s="1"/>
  <c r="I33" i="9" s="1"/>
  <c r="G25" i="9"/>
  <c r="G34" i="9" s="1"/>
  <c r="H34" i="9" s="1"/>
  <c r="I34" i="9" s="1"/>
  <c r="G26" i="9"/>
  <c r="G35" i="9" s="1"/>
  <c r="H35" i="9" s="1"/>
  <c r="I35" i="9" s="1"/>
  <c r="J35" i="9" s="1"/>
  <c r="G27" i="9"/>
  <c r="G36" i="9" s="1"/>
  <c r="H36" i="9" s="1"/>
  <c r="I36" i="9" s="1"/>
  <c r="J36" i="9" s="1"/>
  <c r="G28" i="9"/>
  <c r="G37" i="9" s="1"/>
  <c r="G23" i="9"/>
  <c r="G9" i="14" l="1"/>
  <c r="H37" i="9"/>
  <c r="J34" i="9"/>
  <c r="K36" i="9"/>
  <c r="L36" i="9" s="1"/>
  <c r="K35" i="9"/>
  <c r="K22" i="9"/>
  <c r="L12" i="9"/>
  <c r="J19" i="9"/>
  <c r="J8" i="9" s="1"/>
  <c r="G34" i="14"/>
  <c r="H8" i="11"/>
  <c r="H10" i="11" s="1"/>
  <c r="I22" i="9"/>
  <c r="I22" i="15" s="1"/>
  <c r="J13" i="9"/>
  <c r="J33" i="9" s="1"/>
  <c r="K33" i="9" s="1"/>
  <c r="L33" i="9" s="1"/>
  <c r="M33" i="9" s="1"/>
  <c r="N33" i="9" s="1"/>
  <c r="O33" i="9" s="1"/>
  <c r="K8" i="9"/>
  <c r="N22" i="9"/>
  <c r="M13" i="9"/>
  <c r="N19" i="9"/>
  <c r="N8" i="9" s="1"/>
  <c r="H26" i="15"/>
  <c r="I25" i="14"/>
  <c r="H23" i="14"/>
  <c r="M12" i="9"/>
  <c r="L16" i="9"/>
  <c r="N14" i="9"/>
  <c r="H22" i="9"/>
  <c r="H22" i="15" s="1"/>
  <c r="L19" i="9"/>
  <c r="L8" i="9" s="1"/>
  <c r="N13" i="9"/>
  <c r="K12" i="9"/>
  <c r="M22" i="9"/>
  <c r="L13" i="9"/>
  <c r="M24" i="14"/>
  <c r="J22" i="9"/>
  <c r="O13" i="9"/>
  <c r="O7" i="9" s="1"/>
  <c r="O28" i="13" s="1"/>
  <c r="O10" i="15" s="1"/>
  <c r="O22" i="9"/>
  <c r="J28" i="13"/>
  <c r="J10" i="15" s="1"/>
  <c r="G22" i="9"/>
  <c r="G22" i="15" s="1"/>
  <c r="L22" i="9"/>
  <c r="N12" i="9"/>
  <c r="G32" i="9"/>
  <c r="N15" i="9"/>
  <c r="K15" i="9"/>
  <c r="L15" i="9"/>
  <c r="M16" i="9"/>
  <c r="M14" i="9"/>
  <c r="L14" i="9"/>
  <c r="M15" i="9"/>
  <c r="H20" i="8"/>
  <c r="I20" i="8"/>
  <c r="K20" i="8"/>
  <c r="L20" i="8"/>
  <c r="M20" i="8"/>
  <c r="N20" i="8"/>
  <c r="O20" i="8"/>
  <c r="H21" i="8"/>
  <c r="I21" i="8"/>
  <c r="J21" i="8"/>
  <c r="K21" i="8"/>
  <c r="L21" i="8"/>
  <c r="M21" i="8"/>
  <c r="N21" i="8"/>
  <c r="O21" i="8"/>
  <c r="H22" i="8"/>
  <c r="I22" i="8"/>
  <c r="J22" i="8"/>
  <c r="K22" i="8"/>
  <c r="L22" i="8"/>
  <c r="M22" i="8"/>
  <c r="N22" i="8"/>
  <c r="O22" i="8"/>
  <c r="H23" i="8"/>
  <c r="I23" i="8"/>
  <c r="J23" i="8"/>
  <c r="K23" i="8"/>
  <c r="L23" i="8"/>
  <c r="M23" i="8"/>
  <c r="N23" i="8"/>
  <c r="O23" i="8"/>
  <c r="H24" i="8"/>
  <c r="I24" i="8"/>
  <c r="J24" i="8"/>
  <c r="K24" i="8"/>
  <c r="L24" i="8"/>
  <c r="M24" i="8"/>
  <c r="N24" i="8"/>
  <c r="O24" i="8"/>
  <c r="G21" i="8"/>
  <c r="G22" i="8"/>
  <c r="G23" i="8"/>
  <c r="G24" i="8"/>
  <c r="G20" i="8"/>
  <c r="J25" i="14" l="1"/>
  <c r="I26" i="15"/>
  <c r="I23" i="14"/>
  <c r="H34" i="14"/>
  <c r="I8" i="11"/>
  <c r="I10" i="11" s="1"/>
  <c r="M36" i="9"/>
  <c r="N36" i="9" s="1"/>
  <c r="O36" i="9" s="1"/>
  <c r="N7" i="9"/>
  <c r="N28" i="13" s="1"/>
  <c r="N10" i="15" s="1"/>
  <c r="K34" i="9"/>
  <c r="L34" i="9" s="1"/>
  <c r="M34" i="9" s="1"/>
  <c r="N34" i="9" s="1"/>
  <c r="O34" i="9" s="1"/>
  <c r="L35" i="9"/>
  <c r="M35" i="9" s="1"/>
  <c r="N35" i="9" s="1"/>
  <c r="O35" i="9" s="1"/>
  <c r="K7" i="9"/>
  <c r="K28" i="13" s="1"/>
  <c r="K10" i="15" s="1"/>
  <c r="I37" i="9"/>
  <c r="H9" i="14"/>
  <c r="G10" i="14"/>
  <c r="H32" i="9"/>
  <c r="M7" i="9"/>
  <c r="M28" i="13" s="1"/>
  <c r="M10" i="15" s="1"/>
  <c r="L7" i="9"/>
  <c r="L28" i="13" s="1"/>
  <c r="L10" i="15" s="1"/>
  <c r="G8" i="14"/>
  <c r="N85" i="3"/>
  <c r="J19" i="13" s="1"/>
  <c r="M85" i="3"/>
  <c r="I19" i="13" s="1"/>
  <c r="L85" i="3"/>
  <c r="H19" i="13" s="1"/>
  <c r="K85" i="3"/>
  <c r="G19" i="13" s="1"/>
  <c r="L78" i="3"/>
  <c r="H18" i="13" s="1"/>
  <c r="M78" i="3"/>
  <c r="I18" i="13" s="1"/>
  <c r="N78" i="3"/>
  <c r="J18" i="13" s="1"/>
  <c r="K78" i="3"/>
  <c r="G18" i="13" s="1"/>
  <c r="P73" i="3"/>
  <c r="P74" i="3" s="1"/>
  <c r="Q73" i="3"/>
  <c r="R73" i="3"/>
  <c r="R74" i="3" s="1"/>
  <c r="S73" i="3"/>
  <c r="S74" i="3" s="1"/>
  <c r="O73" i="3"/>
  <c r="O72" i="3" s="1"/>
  <c r="O71" i="3" s="1" a="1"/>
  <c r="O71" i="3" s="1"/>
  <c r="K28" i="5" s="1"/>
  <c r="L71" i="3"/>
  <c r="H28" i="5" s="1"/>
  <c r="M71" i="3"/>
  <c r="I28" i="5" s="1"/>
  <c r="N71" i="3"/>
  <c r="J28" i="5" s="1"/>
  <c r="K71" i="3"/>
  <c r="G28" i="5" s="1"/>
  <c r="P68" i="3"/>
  <c r="P69" i="3" s="1"/>
  <c r="Q68" i="3"/>
  <c r="Q69" i="3" s="1"/>
  <c r="R68" i="3"/>
  <c r="S68" i="3"/>
  <c r="S69" i="3" s="1"/>
  <c r="O68" i="3"/>
  <c r="L66" i="3"/>
  <c r="H28" i="4" s="1"/>
  <c r="M66" i="3"/>
  <c r="I28" i="4" s="1"/>
  <c r="N66" i="3"/>
  <c r="J28" i="4" s="1"/>
  <c r="K66" i="3"/>
  <c r="G28" i="4" s="1"/>
  <c r="P63" i="3"/>
  <c r="P62" i="3" s="1"/>
  <c r="P61" i="3" s="1" a="1"/>
  <c r="P61" i="3" s="1"/>
  <c r="Q63" i="3"/>
  <c r="R63" i="3"/>
  <c r="R64" i="3" s="1"/>
  <c r="S63" i="3"/>
  <c r="O63" i="3"/>
  <c r="O64" i="3" s="1"/>
  <c r="L61" i="3"/>
  <c r="M61" i="3"/>
  <c r="N61" i="3"/>
  <c r="K61" i="3"/>
  <c r="P56" i="3"/>
  <c r="Q56" i="3"/>
  <c r="Q57" i="3" s="1"/>
  <c r="R56" i="3"/>
  <c r="S56" i="3"/>
  <c r="O56" i="3"/>
  <c r="O55" i="3" s="1"/>
  <c r="O54" i="3" s="1" a="1"/>
  <c r="O54" i="3" s="1"/>
  <c r="K24" i="5" s="1"/>
  <c r="L54" i="3"/>
  <c r="H24" i="5" s="1"/>
  <c r="M54" i="3"/>
  <c r="I24" i="5" s="1"/>
  <c r="N54" i="3"/>
  <c r="J24" i="5" s="1"/>
  <c r="K54" i="3"/>
  <c r="G24" i="5" s="1"/>
  <c r="P51" i="3"/>
  <c r="P50" i="3" s="1"/>
  <c r="P49" i="3" s="1" a="1"/>
  <c r="P49" i="3" s="1"/>
  <c r="L24" i="4" s="1"/>
  <c r="Q51" i="3"/>
  <c r="R51" i="3"/>
  <c r="S51" i="3"/>
  <c r="O51" i="3"/>
  <c r="O52" i="3" s="1"/>
  <c r="L49" i="3"/>
  <c r="H24" i="4" s="1"/>
  <c r="M49" i="3"/>
  <c r="I24" i="4" s="1"/>
  <c r="N49" i="3"/>
  <c r="J24" i="4" s="1"/>
  <c r="K49" i="3"/>
  <c r="G24" i="4" s="1"/>
  <c r="P46" i="3"/>
  <c r="Q46" i="3"/>
  <c r="Q47" i="3" s="1"/>
  <c r="R46" i="3"/>
  <c r="R47" i="3" s="1"/>
  <c r="S46" i="3"/>
  <c r="S45" i="3" s="1"/>
  <c r="S44" i="3" s="1" a="1"/>
  <c r="S44" i="3" s="1"/>
  <c r="O46" i="3"/>
  <c r="O45" i="3" s="1"/>
  <c r="O44" i="3" s="1" a="1"/>
  <c r="O44" i="3" s="1"/>
  <c r="L44" i="3"/>
  <c r="M44" i="3"/>
  <c r="N44" i="3"/>
  <c r="K44" i="3"/>
  <c r="P39" i="3"/>
  <c r="Q39" i="3"/>
  <c r="Q40" i="3" s="1"/>
  <c r="R39" i="3"/>
  <c r="S39" i="3"/>
  <c r="S40" i="3" s="1"/>
  <c r="O39" i="3"/>
  <c r="O40" i="3" s="1"/>
  <c r="L37" i="3"/>
  <c r="H20" i="5" s="1"/>
  <c r="M37" i="3"/>
  <c r="I20" i="5" s="1"/>
  <c r="N37" i="3"/>
  <c r="J20" i="5" s="1"/>
  <c r="K37" i="3"/>
  <c r="G20" i="5" s="1"/>
  <c r="P34" i="3"/>
  <c r="P35" i="3" s="1"/>
  <c r="Q34" i="3"/>
  <c r="R34" i="3"/>
  <c r="R33" i="3" s="1"/>
  <c r="R32" i="3" s="1" a="1"/>
  <c r="R32" i="3" s="1"/>
  <c r="N20" i="4" s="1"/>
  <c r="S34" i="3"/>
  <c r="S35" i="3" s="1"/>
  <c r="O34" i="3"/>
  <c r="L32" i="3"/>
  <c r="H20" i="4" s="1"/>
  <c r="M32" i="3"/>
  <c r="I20" i="4" s="1"/>
  <c r="N32" i="3"/>
  <c r="J20" i="4" s="1"/>
  <c r="K32" i="3"/>
  <c r="G20" i="4" s="1"/>
  <c r="P29" i="3"/>
  <c r="P28" i="3" s="1"/>
  <c r="P27" i="3" s="1" a="1"/>
  <c r="P27" i="3" s="1"/>
  <c r="Q29" i="3"/>
  <c r="Q30" i="3" s="1"/>
  <c r="R29" i="3"/>
  <c r="R28" i="3" s="1"/>
  <c r="R27" i="3" s="1" a="1"/>
  <c r="R27" i="3" s="1"/>
  <c r="S29" i="3"/>
  <c r="O29" i="3"/>
  <c r="O30" i="3" s="1"/>
  <c r="L27" i="3"/>
  <c r="M27" i="3"/>
  <c r="N27" i="3"/>
  <c r="K27" i="3"/>
  <c r="Q74" i="3"/>
  <c r="R69" i="3"/>
  <c r="O69" i="3"/>
  <c r="S67" i="3"/>
  <c r="S66" i="3" s="1" a="1"/>
  <c r="S66" i="3" s="1"/>
  <c r="O28" i="4" s="1"/>
  <c r="R67" i="3"/>
  <c r="R66" i="3" a="1"/>
  <c r="R66" i="3" s="1"/>
  <c r="N28" i="4" s="1"/>
  <c r="Q64" i="3"/>
  <c r="S64" i="3"/>
  <c r="O62" i="3"/>
  <c r="O61" i="3" s="1" a="1"/>
  <c r="O61" i="3" s="1"/>
  <c r="R62" i="3"/>
  <c r="R61" i="3" s="1" a="1"/>
  <c r="R61" i="3" s="1"/>
  <c r="Q62" i="3"/>
  <c r="Q61" i="3" a="1"/>
  <c r="Q61" i="3" s="1"/>
  <c r="S57" i="3"/>
  <c r="R57" i="3"/>
  <c r="P57" i="3"/>
  <c r="O57" i="3"/>
  <c r="S55" i="3"/>
  <c r="P55" i="3"/>
  <c r="S54" i="3" a="1"/>
  <c r="S54" i="3" s="1"/>
  <c r="O24" i="5" s="1"/>
  <c r="P54" i="3" a="1"/>
  <c r="P54" i="3" s="1"/>
  <c r="L24" i="5" s="1"/>
  <c r="R52" i="3"/>
  <c r="S52" i="3"/>
  <c r="Q50" i="3"/>
  <c r="Q49" i="3" s="1" a="1"/>
  <c r="Q49" i="3" s="1"/>
  <c r="M24" i="4" s="1"/>
  <c r="R50" i="3"/>
  <c r="R49" i="3" s="1" a="1"/>
  <c r="R49" i="3" s="1"/>
  <c r="N24" i="4" s="1"/>
  <c r="S47" i="3"/>
  <c r="P47" i="3"/>
  <c r="Q45" i="3"/>
  <c r="Q44" i="3" a="1"/>
  <c r="Q44" i="3" s="1"/>
  <c r="R40" i="3"/>
  <c r="P40" i="3"/>
  <c r="P38" i="3"/>
  <c r="P37" i="3" a="1"/>
  <c r="P37" i="3" s="1"/>
  <c r="L20" i="5" s="1"/>
  <c r="Q35" i="3"/>
  <c r="Q33" i="3"/>
  <c r="Q32" i="3" s="1" a="1"/>
  <c r="Q32" i="3" s="1"/>
  <c r="M20" i="4" s="1"/>
  <c r="O35" i="3"/>
  <c r="P33" i="3"/>
  <c r="P32" i="3" s="1" a="1"/>
  <c r="P32" i="3" s="1"/>
  <c r="L20" i="4" s="1"/>
  <c r="P30" i="3"/>
  <c r="S30" i="3"/>
  <c r="R30" i="3"/>
  <c r="P22" i="3"/>
  <c r="P23" i="3" s="1"/>
  <c r="Q22" i="3"/>
  <c r="Q23" i="3" s="1"/>
  <c r="R22" i="3"/>
  <c r="S22" i="3"/>
  <c r="O22" i="3"/>
  <c r="O23" i="3" s="1"/>
  <c r="L20" i="3"/>
  <c r="H16" i="5" s="1"/>
  <c r="M20" i="3"/>
  <c r="I16" i="5" s="1"/>
  <c r="N20" i="3"/>
  <c r="J16" i="5" s="1"/>
  <c r="K20" i="3"/>
  <c r="G16" i="5" s="1"/>
  <c r="P17" i="3"/>
  <c r="P16" i="3" s="1"/>
  <c r="Q17" i="3"/>
  <c r="Q16" i="3" s="1"/>
  <c r="Q15" i="3" s="1" a="1"/>
  <c r="Q15" i="3" s="1"/>
  <c r="M16" i="4" s="1"/>
  <c r="R17" i="3"/>
  <c r="R18" i="3" s="1"/>
  <c r="S17" i="3"/>
  <c r="S18" i="3" s="1"/>
  <c r="O17" i="3"/>
  <c r="O18" i="3" s="1"/>
  <c r="L15" i="3"/>
  <c r="H16" i="4" s="1"/>
  <c r="M15" i="3"/>
  <c r="I16" i="4" s="1"/>
  <c r="N15" i="3"/>
  <c r="J16" i="4" s="1"/>
  <c r="K15" i="3"/>
  <c r="G16" i="4" s="1"/>
  <c r="S23" i="3"/>
  <c r="R23" i="3"/>
  <c r="O21" i="3"/>
  <c r="O20" i="3" s="1" a="1"/>
  <c r="O20" i="3" s="1"/>
  <c r="K16" i="5" s="1"/>
  <c r="P18" i="3"/>
  <c r="K1" i="3" a="1"/>
  <c r="K1" i="3" s="1"/>
  <c r="L1" i="20" s="1"/>
  <c r="P13" i="3"/>
  <c r="P11" i="3"/>
  <c r="Q11" i="3"/>
  <c r="L10" i="3"/>
  <c r="M10" i="3"/>
  <c r="N10" i="3"/>
  <c r="K10" i="3"/>
  <c r="O12" i="3"/>
  <c r="P12" i="3"/>
  <c r="P10" i="3" s="1" a="1"/>
  <c r="P10" i="3" s="1"/>
  <c r="Q12" i="3"/>
  <c r="Q13" i="3" s="1"/>
  <c r="R12" i="3"/>
  <c r="R11" i="3" s="1"/>
  <c r="S12" i="3"/>
  <c r="S11" i="3" s="1"/>
  <c r="K1" i="19" l="1"/>
  <c r="K1" i="18"/>
  <c r="G22" i="13"/>
  <c r="K1" i="12"/>
  <c r="K1" i="6"/>
  <c r="K1" i="13"/>
  <c r="K1" i="8"/>
  <c r="K1" i="9"/>
  <c r="K1" i="7"/>
  <c r="K1" i="14"/>
  <c r="K1" i="5"/>
  <c r="K1" i="10"/>
  <c r="K1" i="4"/>
  <c r="K1" i="2"/>
  <c r="G2" i="1"/>
  <c r="K1" i="15"/>
  <c r="K1" i="11"/>
  <c r="L27" i="5"/>
  <c r="L27" i="4"/>
  <c r="L19" i="5"/>
  <c r="L18" i="5" s="1"/>
  <c r="L9" i="5" s="1"/>
  <c r="L19" i="4"/>
  <c r="L18" i="4" s="1"/>
  <c r="L9" i="4" s="1"/>
  <c r="L8" i="13" s="1"/>
  <c r="O23" i="4"/>
  <c r="O23" i="5"/>
  <c r="O22" i="5" s="1"/>
  <c r="O10" i="5" s="1"/>
  <c r="J27" i="5"/>
  <c r="J26" i="5" s="1"/>
  <c r="J11" i="5" s="1"/>
  <c r="J27" i="4"/>
  <c r="J26" i="4" s="1"/>
  <c r="J11" i="4" s="1"/>
  <c r="J10" i="13" s="1"/>
  <c r="N19" i="4"/>
  <c r="N18" i="4" s="1"/>
  <c r="N9" i="4" s="1"/>
  <c r="N8" i="13" s="1"/>
  <c r="N19" i="5"/>
  <c r="G15" i="4"/>
  <c r="G8" i="4" s="1"/>
  <c r="G15" i="5"/>
  <c r="G14" i="5" s="1"/>
  <c r="G8" i="5" s="1"/>
  <c r="G7" i="5" s="1"/>
  <c r="N27" i="4"/>
  <c r="N26" i="4" s="1"/>
  <c r="N11" i="4" s="1"/>
  <c r="N10" i="13" s="1"/>
  <c r="N27" i="5"/>
  <c r="J15" i="5"/>
  <c r="J14" i="5" s="1"/>
  <c r="J8" i="5" s="1"/>
  <c r="J15" i="4"/>
  <c r="J14" i="4" s="1"/>
  <c r="J8" i="4" s="1"/>
  <c r="R35" i="3"/>
  <c r="M23" i="4"/>
  <c r="M22" i="4" s="1"/>
  <c r="M10" i="4" s="1"/>
  <c r="M9" i="13" s="1"/>
  <c r="M23" i="5"/>
  <c r="K27" i="5"/>
  <c r="K26" i="5" s="1"/>
  <c r="K11" i="5" s="1"/>
  <c r="K27" i="4"/>
  <c r="G19" i="5"/>
  <c r="G18" i="5" s="1"/>
  <c r="G9" i="5" s="1"/>
  <c r="G19" i="4"/>
  <c r="G18" i="4" s="1"/>
  <c r="G9" i="4" s="1"/>
  <c r="G8" i="13" s="1"/>
  <c r="I27" i="5"/>
  <c r="I26" i="5" s="1"/>
  <c r="I11" i="5" s="1"/>
  <c r="I27" i="4"/>
  <c r="I26" i="4" s="1"/>
  <c r="I11" i="4" s="1"/>
  <c r="I10" i="13" s="1"/>
  <c r="H27" i="5"/>
  <c r="H26" i="5" s="1"/>
  <c r="H11" i="5" s="1"/>
  <c r="H27" i="4"/>
  <c r="H26" i="4" s="1"/>
  <c r="H11" i="4" s="1"/>
  <c r="H10" i="13" s="1"/>
  <c r="R10" i="3" a="1"/>
  <c r="R10" i="3" s="1"/>
  <c r="O38" i="3"/>
  <c r="O37" i="3" s="1" a="1"/>
  <c r="O37" i="3" s="1"/>
  <c r="K20" i="5" s="1"/>
  <c r="P64" i="3"/>
  <c r="I19" i="4"/>
  <c r="I18" i="4" s="1"/>
  <c r="I9" i="4" s="1"/>
  <c r="I19" i="5"/>
  <c r="I18" i="5" s="1"/>
  <c r="I9" i="5" s="1"/>
  <c r="J22" i="13"/>
  <c r="K25" i="14"/>
  <c r="K26" i="15" s="1"/>
  <c r="J23" i="14"/>
  <c r="H23" i="5"/>
  <c r="H22" i="5" s="1"/>
  <c r="H10" i="5" s="1"/>
  <c r="H23" i="4"/>
  <c r="H22" i="4" s="1"/>
  <c r="H10" i="4" s="1"/>
  <c r="H9" i="13" s="1"/>
  <c r="G27" i="4"/>
  <c r="G26" i="4" s="1"/>
  <c r="G11" i="4" s="1"/>
  <c r="G10" i="13" s="1"/>
  <c r="G27" i="5"/>
  <c r="G26" i="5" s="1"/>
  <c r="G11" i="5" s="1"/>
  <c r="J37" i="9"/>
  <c r="I9" i="14"/>
  <c r="K23" i="5"/>
  <c r="K22" i="5" s="1"/>
  <c r="K10" i="5" s="1"/>
  <c r="K23" i="4"/>
  <c r="Q67" i="3"/>
  <c r="Q66" i="3" s="1" a="1"/>
  <c r="Q66" i="3" s="1"/>
  <c r="M28" i="4" s="1"/>
  <c r="J8" i="11"/>
  <c r="J10" i="11" s="1"/>
  <c r="I34" i="14"/>
  <c r="I15" i="4"/>
  <c r="I14" i="4" s="1"/>
  <c r="I8" i="4" s="1"/>
  <c r="I7" i="13" s="1"/>
  <c r="I15" i="5"/>
  <c r="I14" i="5" s="1"/>
  <c r="I8" i="5" s="1"/>
  <c r="J19" i="5"/>
  <c r="J18" i="5" s="1"/>
  <c r="J9" i="5" s="1"/>
  <c r="J19" i="4"/>
  <c r="J18" i="4" s="1"/>
  <c r="J9" i="4" s="1"/>
  <c r="J8" i="13" s="1"/>
  <c r="P71" i="3" a="1"/>
  <c r="P71" i="3" s="1"/>
  <c r="L28" i="5" s="1"/>
  <c r="H19" i="5"/>
  <c r="H18" i="5" s="1"/>
  <c r="H9" i="5" s="1"/>
  <c r="H19" i="4"/>
  <c r="H18" i="4" s="1"/>
  <c r="H9" i="4" s="1"/>
  <c r="H8" i="13" s="1"/>
  <c r="G23" i="4"/>
  <c r="G22" i="4" s="1"/>
  <c r="G10" i="4" s="1"/>
  <c r="G9" i="13" s="1"/>
  <c r="G23" i="5"/>
  <c r="I22" i="13"/>
  <c r="I32" i="9"/>
  <c r="H10" i="14"/>
  <c r="H22" i="13"/>
  <c r="J22" i="5"/>
  <c r="J10" i="5" s="1"/>
  <c r="H15" i="4"/>
  <c r="H14" i="4" s="1"/>
  <c r="H8" i="4" s="1"/>
  <c r="H15" i="5"/>
  <c r="H14" i="5" s="1"/>
  <c r="H8" i="5" s="1"/>
  <c r="S33" i="3"/>
  <c r="S32" i="3" s="1" a="1"/>
  <c r="S32" i="3" s="1"/>
  <c r="O20" i="4" s="1"/>
  <c r="M27" i="4"/>
  <c r="M27" i="5"/>
  <c r="P72" i="3"/>
  <c r="J23" i="5"/>
  <c r="J23" i="4"/>
  <c r="J22" i="4" s="1"/>
  <c r="J10" i="4" s="1"/>
  <c r="J9" i="13" s="1"/>
  <c r="L15" i="5"/>
  <c r="L15" i="4"/>
  <c r="R13" i="3"/>
  <c r="Q28" i="3"/>
  <c r="Q27" i="3" s="1" a="1"/>
  <c r="Q27" i="3" s="1"/>
  <c r="I23" i="4"/>
  <c r="I22" i="4" s="1"/>
  <c r="I10" i="4" s="1"/>
  <c r="I9" i="13" s="1"/>
  <c r="I23" i="5"/>
  <c r="I22" i="5" s="1"/>
  <c r="I10" i="5" s="1"/>
  <c r="G22" i="5"/>
  <c r="G10" i="5" s="1"/>
  <c r="H8" i="14"/>
  <c r="S10" i="3" a="1"/>
  <c r="S10" i="3" s="1"/>
  <c r="P52" i="3"/>
  <c r="O13" i="3"/>
  <c r="S13" i="3"/>
  <c r="O74" i="3"/>
  <c r="Q10" i="3" a="1"/>
  <c r="Q10" i="3" s="1"/>
  <c r="P15" i="3" a="1"/>
  <c r="P15" i="3" s="1"/>
  <c r="L16" i="4" s="1"/>
  <c r="Q86" i="3"/>
  <c r="Q85" i="3" s="1" a="1"/>
  <c r="Q85" i="3" s="1"/>
  <c r="M19" i="13" s="1"/>
  <c r="O47" i="3"/>
  <c r="O28" i="3"/>
  <c r="O27" i="3" s="1" a="1"/>
  <c r="O27" i="3" s="1"/>
  <c r="K19" i="4" s="1"/>
  <c r="O67" i="3"/>
  <c r="O66" i="3" s="1" a="1"/>
  <c r="O66" i="3" s="1"/>
  <c r="K28" i="4" s="1"/>
  <c r="R72" i="3"/>
  <c r="R71" i="3" s="1" a="1"/>
  <c r="R71" i="3" s="1"/>
  <c r="N28" i="5" s="1"/>
  <c r="S62" i="3"/>
  <c r="S61" i="3" s="1" a="1"/>
  <c r="S61" i="3" s="1"/>
  <c r="Q72" i="3"/>
  <c r="Q71" i="3" s="1" a="1"/>
  <c r="Q71" i="3" s="1"/>
  <c r="M28" i="5" s="1"/>
  <c r="P67" i="3"/>
  <c r="P66" i="3" s="1" a="1"/>
  <c r="P66" i="3" s="1"/>
  <c r="L28" i="4" s="1"/>
  <c r="S72" i="3"/>
  <c r="S71" i="3" s="1" a="1"/>
  <c r="S71" i="3" s="1"/>
  <c r="O28" i="5" s="1"/>
  <c r="P45" i="3"/>
  <c r="P44" i="3" s="1" a="1"/>
  <c r="P44" i="3" s="1"/>
  <c r="S50" i="3"/>
  <c r="S49" i="3" s="1" a="1"/>
  <c r="S49" i="3" s="1"/>
  <c r="O24" i="4" s="1"/>
  <c r="Q52" i="3"/>
  <c r="R45" i="3"/>
  <c r="R44" i="3" s="1" a="1"/>
  <c r="R44" i="3" s="1"/>
  <c r="Q55" i="3"/>
  <c r="Q54" i="3" s="1" a="1"/>
  <c r="Q54" i="3" s="1"/>
  <c r="M24" i="5" s="1"/>
  <c r="O50" i="3"/>
  <c r="O49" i="3" s="1" a="1"/>
  <c r="O49" i="3" s="1"/>
  <c r="K24" i="4" s="1"/>
  <c r="R55" i="3"/>
  <c r="R54" i="3" s="1" a="1"/>
  <c r="R54" i="3" s="1"/>
  <c r="N24" i="5" s="1"/>
  <c r="S28" i="3"/>
  <c r="S27" i="3" s="1" a="1"/>
  <c r="S27" i="3" s="1"/>
  <c r="Q38" i="3"/>
  <c r="Q37" i="3" s="1" a="1"/>
  <c r="Q37" i="3" s="1"/>
  <c r="M20" i="5" s="1"/>
  <c r="O33" i="3"/>
  <c r="O32" i="3" s="1" a="1"/>
  <c r="O32" i="3" s="1"/>
  <c r="K20" i="4" s="1"/>
  <c r="R38" i="3"/>
  <c r="R37" i="3" s="1" a="1"/>
  <c r="R37" i="3" s="1"/>
  <c r="N20" i="5" s="1"/>
  <c r="S38" i="3"/>
  <c r="S37" i="3" s="1" a="1"/>
  <c r="S37" i="3" s="1"/>
  <c r="O20" i="5" s="1"/>
  <c r="O16" i="3"/>
  <c r="O15" i="3" s="1" a="1"/>
  <c r="O15" i="3" s="1"/>
  <c r="K16" i="4" s="1"/>
  <c r="P21" i="3"/>
  <c r="P20" i="3" s="1" a="1"/>
  <c r="P20" i="3" s="1"/>
  <c r="L16" i="5" s="1"/>
  <c r="Q21" i="3"/>
  <c r="Q20" i="3" s="1" a="1"/>
  <c r="Q20" i="3" s="1"/>
  <c r="M16" i="5" s="1"/>
  <c r="R21" i="3"/>
  <c r="R20" i="3" s="1" a="1"/>
  <c r="R20" i="3" s="1"/>
  <c r="N16" i="5" s="1"/>
  <c r="S21" i="3"/>
  <c r="S20" i="3" s="1" a="1"/>
  <c r="S20" i="3" s="1"/>
  <c r="O16" i="5" s="1"/>
  <c r="R16" i="3"/>
  <c r="R15" i="3" s="1" a="1"/>
  <c r="R15" i="3" s="1"/>
  <c r="N16" i="4" s="1"/>
  <c r="S16" i="3"/>
  <c r="S15" i="3" s="1" a="1"/>
  <c r="S15" i="3" s="1"/>
  <c r="O16" i="4" s="1"/>
  <c r="Q18" i="3"/>
  <c r="K67" i="2"/>
  <c r="K64" i="2"/>
  <c r="L66" i="2"/>
  <c r="M66" i="2"/>
  <c r="N66" i="2"/>
  <c r="O66" i="2"/>
  <c r="K66" i="2"/>
  <c r="L64" i="2" s="1"/>
  <c r="L54" i="2"/>
  <c r="P87" i="3" s="1"/>
  <c r="M54" i="2"/>
  <c r="Q87" i="3" s="1"/>
  <c r="Q88" i="3" s="1"/>
  <c r="N54" i="2"/>
  <c r="R87" i="3" s="1"/>
  <c r="R88" i="3" s="1"/>
  <c r="O54" i="2"/>
  <c r="S87" i="3" s="1"/>
  <c r="K54" i="2"/>
  <c r="O87" i="3" s="1"/>
  <c r="L23" i="6"/>
  <c r="K23" i="6"/>
  <c r="L22" i="6"/>
  <c r="K22" i="6"/>
  <c r="K21" i="6"/>
  <c r="L20" i="6"/>
  <c r="K20" i="6"/>
  <c r="L18" i="6"/>
  <c r="K18" i="6"/>
  <c r="L17" i="6"/>
  <c r="K17" i="6"/>
  <c r="K16" i="6"/>
  <c r="O15" i="6"/>
  <c r="N15" i="6"/>
  <c r="M15" i="6"/>
  <c r="L15" i="6"/>
  <c r="K15" i="6"/>
  <c r="O14" i="6"/>
  <c r="N14" i="6"/>
  <c r="M14" i="6"/>
  <c r="M9" i="6" s="1"/>
  <c r="L14" i="6"/>
  <c r="K14" i="6"/>
  <c r="I9" i="6"/>
  <c r="H9" i="6"/>
  <c r="G9" i="6"/>
  <c r="T1" i="2"/>
  <c r="T1" i="6"/>
  <c r="X1" i="3"/>
  <c r="T1" i="4"/>
  <c r="T1" i="5"/>
  <c r="T1" i="8"/>
  <c r="T1" i="9"/>
  <c r="T1" i="10"/>
  <c r="T1" i="11"/>
  <c r="T1" i="12"/>
  <c r="T1" i="13"/>
  <c r="T1" i="14"/>
  <c r="T1" i="15"/>
  <c r="T1" i="7"/>
  <c r="C1" i="2"/>
  <c r="C1" i="6"/>
  <c r="C1" i="3"/>
  <c r="C1" i="4"/>
  <c r="C1" i="5"/>
  <c r="C1" i="8"/>
  <c r="C1" i="9"/>
  <c r="C1" i="10"/>
  <c r="C1" i="11"/>
  <c r="C1" i="12"/>
  <c r="C1" i="13"/>
  <c r="C1" i="14"/>
  <c r="C1" i="15"/>
  <c r="C1" i="7"/>
  <c r="K18" i="4" l="1"/>
  <c r="K9" i="4" s="1"/>
  <c r="K8" i="13" s="1"/>
  <c r="L14" i="5"/>
  <c r="L8" i="5" s="1"/>
  <c r="K26" i="4"/>
  <c r="K11" i="4" s="1"/>
  <c r="K10" i="13" s="1"/>
  <c r="M26" i="4"/>
  <c r="M11" i="4" s="1"/>
  <c r="M10" i="13" s="1"/>
  <c r="L26" i="5"/>
  <c r="L11" i="5" s="1"/>
  <c r="K22" i="4"/>
  <c r="K10" i="4" s="1"/>
  <c r="K9" i="13" s="1"/>
  <c r="L14" i="4"/>
  <c r="L8" i="4" s="1"/>
  <c r="L7" i="13" s="1"/>
  <c r="G13" i="13"/>
  <c r="G8" i="8"/>
  <c r="K8" i="11"/>
  <c r="K10" i="11" s="1"/>
  <c r="J34" i="14"/>
  <c r="N15" i="4"/>
  <c r="N14" i="4" s="1"/>
  <c r="N8" i="4" s="1"/>
  <c r="N15" i="5"/>
  <c r="N14" i="5" s="1"/>
  <c r="N8" i="5" s="1"/>
  <c r="M15" i="5"/>
  <c r="M14" i="5" s="1"/>
  <c r="M8" i="5" s="1"/>
  <c r="M15" i="4"/>
  <c r="M14" i="4" s="1"/>
  <c r="M8" i="4" s="1"/>
  <c r="M22" i="5"/>
  <c r="M10" i="5" s="1"/>
  <c r="G7" i="13"/>
  <c r="G11" i="13" s="1"/>
  <c r="G14" i="13" s="1"/>
  <c r="G7" i="4"/>
  <c r="G7" i="8" s="1"/>
  <c r="M19" i="5"/>
  <c r="M18" i="5" s="1"/>
  <c r="M9" i="5" s="1"/>
  <c r="M19" i="4"/>
  <c r="M18" i="4" s="1"/>
  <c r="M9" i="4" s="1"/>
  <c r="M8" i="13" s="1"/>
  <c r="I7" i="4"/>
  <c r="I7" i="8" s="1"/>
  <c r="I8" i="13"/>
  <c r="I11" i="13" s="1"/>
  <c r="O27" i="4"/>
  <c r="O26" i="4" s="1"/>
  <c r="O11" i="4" s="1"/>
  <c r="O10" i="13" s="1"/>
  <c r="O27" i="5"/>
  <c r="O26" i="5" s="1"/>
  <c r="O11" i="5" s="1"/>
  <c r="H7" i="5"/>
  <c r="J32" i="9"/>
  <c r="I10" i="14"/>
  <c r="I8" i="14" s="1"/>
  <c r="L25" i="14"/>
  <c r="L26" i="15" s="1"/>
  <c r="K23" i="14"/>
  <c r="N18" i="5"/>
  <c r="N9" i="5" s="1"/>
  <c r="K19" i="5"/>
  <c r="K18" i="5" s="1"/>
  <c r="K9" i="5" s="1"/>
  <c r="L23" i="5"/>
  <c r="L22" i="5" s="1"/>
  <c r="L10" i="5" s="1"/>
  <c r="L23" i="4"/>
  <c r="L22" i="4" s="1"/>
  <c r="L10" i="4" s="1"/>
  <c r="L9" i="13" s="1"/>
  <c r="O19" i="4"/>
  <c r="O18" i="4" s="1"/>
  <c r="O9" i="4" s="1"/>
  <c r="O8" i="13" s="1"/>
  <c r="O19" i="5"/>
  <c r="O18" i="5" s="1"/>
  <c r="O9" i="5" s="1"/>
  <c r="O22" i="4"/>
  <c r="O10" i="4" s="1"/>
  <c r="O9" i="13" s="1"/>
  <c r="N23" i="4"/>
  <c r="N22" i="4" s="1"/>
  <c r="N10" i="4" s="1"/>
  <c r="N9" i="13" s="1"/>
  <c r="N23" i="5"/>
  <c r="N22" i="5" s="1"/>
  <c r="N10" i="5" s="1"/>
  <c r="N26" i="5"/>
  <c r="N11" i="5" s="1"/>
  <c r="H7" i="4"/>
  <c r="H7" i="8" s="1"/>
  <c r="H7" i="13"/>
  <c r="H11" i="13" s="1"/>
  <c r="I7" i="5"/>
  <c r="K37" i="9"/>
  <c r="J9" i="14"/>
  <c r="L26" i="4"/>
  <c r="L11" i="4" s="1"/>
  <c r="L10" i="13" s="1"/>
  <c r="J7" i="5"/>
  <c r="O15" i="5"/>
  <c r="O14" i="5" s="1"/>
  <c r="O8" i="5" s="1"/>
  <c r="O15" i="4"/>
  <c r="O14" i="4" s="1"/>
  <c r="O8" i="4" s="1"/>
  <c r="M26" i="5"/>
  <c r="M11" i="5" s="1"/>
  <c r="J7" i="4"/>
  <c r="J7" i="8" s="1"/>
  <c r="J7" i="13"/>
  <c r="J11" i="13" s="1"/>
  <c r="K15" i="4"/>
  <c r="K15" i="5"/>
  <c r="L67" i="2"/>
  <c r="M64" i="2"/>
  <c r="M67" i="2" s="1"/>
  <c r="O88" i="3"/>
  <c r="O86" i="3"/>
  <c r="O85" i="3" s="1" a="1"/>
  <c r="O85" i="3" s="1"/>
  <c r="K19" i="13" s="1"/>
  <c r="S88" i="3"/>
  <c r="S86" i="3"/>
  <c r="S85" i="3" s="1" a="1"/>
  <c r="S85" i="3" s="1"/>
  <c r="O19" i="13" s="1"/>
  <c r="P88" i="3"/>
  <c r="P85" i="3" a="1"/>
  <c r="P85" i="3" s="1"/>
  <c r="L19" i="13" s="1"/>
  <c r="P86" i="3"/>
  <c r="R86" i="3"/>
  <c r="R85" i="3" s="1" a="1"/>
  <c r="R85" i="3" s="1"/>
  <c r="N19" i="13" s="1"/>
  <c r="N9" i="6"/>
  <c r="O9" i="6"/>
  <c r="K9" i="6"/>
  <c r="K31" i="2" s="1"/>
  <c r="J9" i="6"/>
  <c r="L9" i="6"/>
  <c r="K19" i="6"/>
  <c r="L16" i="6"/>
  <c r="L21" i="6"/>
  <c r="L19" i="6"/>
  <c r="K24" i="6"/>
  <c r="L24" i="6"/>
  <c r="K14" i="5" l="1"/>
  <c r="K8" i="5" s="1"/>
  <c r="K7" i="5" s="1"/>
  <c r="K14" i="4"/>
  <c r="K8" i="4" s="1"/>
  <c r="L7" i="5"/>
  <c r="L8" i="8" s="1"/>
  <c r="O7" i="5"/>
  <c r="J13" i="13"/>
  <c r="J14" i="13" s="1"/>
  <c r="J8" i="8"/>
  <c r="I15" i="8"/>
  <c r="I16" i="14" s="1"/>
  <c r="I12" i="8"/>
  <c r="I15" i="14" s="1"/>
  <c r="J12" i="8"/>
  <c r="J15" i="14" s="1"/>
  <c r="J14" i="15" s="1"/>
  <c r="J15" i="8"/>
  <c r="J16" i="14" s="1"/>
  <c r="H13" i="13"/>
  <c r="H14" i="13" s="1"/>
  <c r="H8" i="8"/>
  <c r="I13" i="13"/>
  <c r="I14" i="13" s="1"/>
  <c r="I8" i="8"/>
  <c r="L7" i="4"/>
  <c r="L7" i="8" s="1"/>
  <c r="G24" i="13"/>
  <c r="G16" i="13"/>
  <c r="K32" i="9"/>
  <c r="J10" i="14"/>
  <c r="J8" i="14" s="1"/>
  <c r="N7" i="4"/>
  <c r="N7" i="8" s="1"/>
  <c r="N7" i="13"/>
  <c r="N11" i="13" s="1"/>
  <c r="L8" i="11"/>
  <c r="L10" i="11" s="1"/>
  <c r="K34" i="14"/>
  <c r="N7" i="5"/>
  <c r="L37" i="9"/>
  <c r="K9" i="14"/>
  <c r="L11" i="13"/>
  <c r="O7" i="4"/>
  <c r="O7" i="8" s="1"/>
  <c r="O7" i="13"/>
  <c r="O11" i="13" s="1"/>
  <c r="H15" i="8"/>
  <c r="H16" i="14" s="1"/>
  <c r="H12" i="8"/>
  <c r="H15" i="14" s="1"/>
  <c r="M7" i="4"/>
  <c r="M7" i="8" s="1"/>
  <c r="M7" i="13"/>
  <c r="M11" i="13" s="1"/>
  <c r="G14" i="8"/>
  <c r="G14" i="14" s="1"/>
  <c r="G16" i="8"/>
  <c r="G13" i="8"/>
  <c r="G30" i="14" s="1"/>
  <c r="G15" i="8"/>
  <c r="G16" i="14" s="1"/>
  <c r="G12" i="8"/>
  <c r="G15" i="14" s="1"/>
  <c r="M25" i="14"/>
  <c r="M26" i="15" s="1"/>
  <c r="L23" i="14"/>
  <c r="M7" i="5"/>
  <c r="N64" i="2"/>
  <c r="O47" i="2"/>
  <c r="S80" i="3" s="1"/>
  <c r="L47" i="2"/>
  <c r="K41" i="2"/>
  <c r="K47" i="2" s="1"/>
  <c r="O80" i="3" s="1"/>
  <c r="N41" i="2"/>
  <c r="N47" i="2" s="1"/>
  <c r="R80" i="3" s="1"/>
  <c r="M41" i="2"/>
  <c r="M47" i="2" s="1"/>
  <c r="Q80" i="3" s="1"/>
  <c r="O41" i="2"/>
  <c r="L41" i="2"/>
  <c r="L13" i="13" l="1"/>
  <c r="F14" i="1" s="1"/>
  <c r="H13" i="1"/>
  <c r="N18" i="19"/>
  <c r="F13" i="1"/>
  <c r="L18" i="19"/>
  <c r="I13" i="1"/>
  <c r="O18" i="19"/>
  <c r="G13" i="1"/>
  <c r="M18" i="19"/>
  <c r="K7" i="4"/>
  <c r="K7" i="8" s="1"/>
  <c r="K7" i="13"/>
  <c r="K11" i="13" s="1"/>
  <c r="L14" i="13"/>
  <c r="F15" i="1" s="1"/>
  <c r="H24" i="13"/>
  <c r="H16" i="13"/>
  <c r="K13" i="13"/>
  <c r="E14" i="1" s="1"/>
  <c r="K8" i="8"/>
  <c r="O15" i="8"/>
  <c r="O16" i="14" s="1"/>
  <c r="O12" i="8"/>
  <c r="O15" i="14" s="1"/>
  <c r="N15" i="8"/>
  <c r="N16" i="14" s="1"/>
  <c r="N12" i="8"/>
  <c r="N15" i="14" s="1"/>
  <c r="N25" i="14"/>
  <c r="N26" i="15" s="1"/>
  <c r="M23" i="14"/>
  <c r="L12" i="8"/>
  <c r="L15" i="14" s="1"/>
  <c r="L15" i="8"/>
  <c r="L16" i="14" s="1"/>
  <c r="H14" i="8"/>
  <c r="H14" i="14" s="1"/>
  <c r="H16" i="8"/>
  <c r="H13" i="8"/>
  <c r="H30" i="14" s="1"/>
  <c r="M12" i="8"/>
  <c r="M15" i="14" s="1"/>
  <c r="M15" i="8"/>
  <c r="M16" i="14" s="1"/>
  <c r="L32" i="9"/>
  <c r="K10" i="14"/>
  <c r="K8" i="14" s="1"/>
  <c r="I14" i="15"/>
  <c r="M37" i="9"/>
  <c r="L9" i="14"/>
  <c r="J24" i="13"/>
  <c r="J16" i="13"/>
  <c r="L14" i="8"/>
  <c r="L14" i="14" s="1"/>
  <c r="L13" i="8"/>
  <c r="L30" i="14" s="1"/>
  <c r="L16" i="8"/>
  <c r="L31" i="14" s="1"/>
  <c r="J16" i="8"/>
  <c r="J14" i="8"/>
  <c r="J14" i="14" s="1"/>
  <c r="J13" i="8"/>
  <c r="J30" i="14" s="1"/>
  <c r="I16" i="13"/>
  <c r="I24" i="13"/>
  <c r="I16" i="8"/>
  <c r="I14" i="8"/>
  <c r="I14" i="14" s="1"/>
  <c r="I13" i="8"/>
  <c r="I30" i="14" s="1"/>
  <c r="G13" i="15"/>
  <c r="H13" i="15"/>
  <c r="G14" i="15"/>
  <c r="H14" i="15"/>
  <c r="I15" i="15"/>
  <c r="N13" i="13"/>
  <c r="H14" i="1" s="1"/>
  <c r="N8" i="8"/>
  <c r="M8" i="11"/>
  <c r="M10" i="11" s="1"/>
  <c r="L34" i="14"/>
  <c r="M13" i="13"/>
  <c r="G14" i="1" s="1"/>
  <c r="M8" i="8"/>
  <c r="G15" i="15"/>
  <c r="H15" i="15"/>
  <c r="G29" i="13"/>
  <c r="G26" i="13"/>
  <c r="O13" i="13"/>
  <c r="I14" i="1" s="1"/>
  <c r="O8" i="8"/>
  <c r="R81" i="3"/>
  <c r="R79" i="3"/>
  <c r="R78" i="3" s="1" a="1"/>
  <c r="R78" i="3" s="1"/>
  <c r="N18" i="13" s="1"/>
  <c r="N22" i="13" s="1"/>
  <c r="O81" i="3"/>
  <c r="O79" i="3"/>
  <c r="O78" i="3" s="1" a="1"/>
  <c r="O78" i="3" s="1"/>
  <c r="K18" i="13" s="1"/>
  <c r="K22" i="13" s="1"/>
  <c r="P81" i="3"/>
  <c r="P79" i="3"/>
  <c r="L18" i="13"/>
  <c r="S81" i="3"/>
  <c r="S79" i="3"/>
  <c r="S78" i="3" s="1" a="1"/>
  <c r="S78" i="3" s="1"/>
  <c r="O18" i="13" s="1"/>
  <c r="O22" i="13" s="1"/>
  <c r="N67" i="2"/>
  <c r="O64" i="2"/>
  <c r="O67" i="2" s="1"/>
  <c r="Q81" i="3"/>
  <c r="Q79" i="3"/>
  <c r="Q78" i="3" s="1" a="1"/>
  <c r="Q78" i="3" s="1"/>
  <c r="M18" i="13" s="1"/>
  <c r="M22" i="13" s="1"/>
  <c r="E13" i="1" l="1"/>
  <c r="K18" i="19"/>
  <c r="K12" i="8"/>
  <c r="K15" i="14" s="1"/>
  <c r="L22" i="13"/>
  <c r="L24" i="13" s="1"/>
  <c r="K15" i="8"/>
  <c r="K16" i="14" s="1"/>
  <c r="L15" i="15" s="1"/>
  <c r="L16" i="13"/>
  <c r="L29" i="19" s="1"/>
  <c r="F35" i="1" s="1"/>
  <c r="M14" i="13"/>
  <c r="G15" i="1" s="1"/>
  <c r="O14" i="13"/>
  <c r="I15" i="1" s="1"/>
  <c r="N14" i="13"/>
  <c r="H15" i="1" s="1"/>
  <c r="K14" i="13"/>
  <c r="E15" i="1" s="1"/>
  <c r="O15" i="15"/>
  <c r="N15" i="15"/>
  <c r="M14" i="15"/>
  <c r="O14" i="15"/>
  <c r="M15" i="15"/>
  <c r="N14" i="15"/>
  <c r="O25" i="14"/>
  <c r="O26" i="15" s="1"/>
  <c r="K13" i="8"/>
  <c r="K30" i="14" s="1"/>
  <c r="K14" i="8"/>
  <c r="K14" i="14" s="1"/>
  <c r="K16" i="8"/>
  <c r="K31" i="14" s="1"/>
  <c r="N8" i="11"/>
  <c r="N10" i="11" s="1"/>
  <c r="M34" i="14"/>
  <c r="J29" i="13"/>
  <c r="J26" i="13"/>
  <c r="O16" i="8"/>
  <c r="O31" i="14" s="1"/>
  <c r="O14" i="8"/>
  <c r="O14" i="14" s="1"/>
  <c r="O13" i="8"/>
  <c r="O30" i="14" s="1"/>
  <c r="I26" i="13"/>
  <c r="I29" i="13"/>
  <c r="M32" i="9"/>
  <c r="L10" i="14"/>
  <c r="L8" i="14" s="1"/>
  <c r="N16" i="8"/>
  <c r="N31" i="14" s="1"/>
  <c r="N13" i="8"/>
  <c r="N30" i="14" s="1"/>
  <c r="N14" i="8"/>
  <c r="N14" i="14" s="1"/>
  <c r="M14" i="8"/>
  <c r="M14" i="14" s="1"/>
  <c r="M16" i="8"/>
  <c r="M31" i="14" s="1"/>
  <c r="M17" i="15" s="1"/>
  <c r="M13" i="8"/>
  <c r="M30" i="14" s="1"/>
  <c r="M16" i="15" s="1"/>
  <c r="G31" i="13"/>
  <c r="N37" i="9"/>
  <c r="M9" i="14"/>
  <c r="I13" i="15"/>
  <c r="H26" i="13"/>
  <c r="H29" i="13"/>
  <c r="L29" i="13" l="1"/>
  <c r="F16" i="1" s="1"/>
  <c r="F17" i="1"/>
  <c r="K14" i="15"/>
  <c r="L14" i="15"/>
  <c r="K15" i="15"/>
  <c r="K24" i="13"/>
  <c r="K16" i="13"/>
  <c r="K29" i="19" s="1"/>
  <c r="E35" i="1" s="1"/>
  <c r="M24" i="13"/>
  <c r="N16" i="15"/>
  <c r="O16" i="15"/>
  <c r="N17" i="15"/>
  <c r="N24" i="13"/>
  <c r="N16" i="13"/>
  <c r="N29" i="19" s="1"/>
  <c r="H35" i="1" s="1"/>
  <c r="O16" i="13"/>
  <c r="O29" i="19" s="1"/>
  <c r="I35" i="1" s="1"/>
  <c r="O24" i="13"/>
  <c r="O17" i="15"/>
  <c r="M16" i="13"/>
  <c r="M29" i="19" s="1"/>
  <c r="G35" i="1" s="1"/>
  <c r="K17" i="15"/>
  <c r="L17" i="15"/>
  <c r="L16" i="15"/>
  <c r="K16" i="15"/>
  <c r="L26" i="13"/>
  <c r="O13" i="15"/>
  <c r="N13" i="15"/>
  <c r="M13" i="15"/>
  <c r="L13" i="15"/>
  <c r="K13" i="15"/>
  <c r="J31" i="13"/>
  <c r="O8" i="11"/>
  <c r="O10" i="11" s="1"/>
  <c r="O34" i="14" s="1"/>
  <c r="N34" i="14"/>
  <c r="O37" i="9"/>
  <c r="O9" i="14" s="1"/>
  <c r="N9" i="14"/>
  <c r="H31" i="13"/>
  <c r="N32" i="9"/>
  <c r="M10" i="14"/>
  <c r="M8" i="14" s="1"/>
  <c r="I31" i="13"/>
  <c r="L31" i="13" l="1"/>
  <c r="L30" i="19" s="1"/>
  <c r="F36" i="1" s="1"/>
  <c r="K26" i="13"/>
  <c r="E17" i="1"/>
  <c r="N26" i="13"/>
  <c r="H17" i="1"/>
  <c r="M26" i="13"/>
  <c r="G17" i="1"/>
  <c r="O29" i="13"/>
  <c r="I16" i="1" s="1"/>
  <c r="I17" i="1"/>
  <c r="M29" i="13"/>
  <c r="G16" i="1" s="1"/>
  <c r="N29" i="13"/>
  <c r="K29" i="13"/>
  <c r="E16" i="1" s="1"/>
  <c r="O26" i="13"/>
  <c r="O32" i="9"/>
  <c r="O10" i="14" s="1"/>
  <c r="O8" i="14" s="1"/>
  <c r="N10" i="14"/>
  <c r="N8" i="14" s="1"/>
  <c r="M31" i="13" l="1"/>
  <c r="M30" i="19" s="1"/>
  <c r="G36" i="1" s="1"/>
  <c r="O31" i="13"/>
  <c r="O30" i="19" s="1"/>
  <c r="I36" i="1" s="1"/>
  <c r="N31" i="13"/>
  <c r="N30" i="19" s="1"/>
  <c r="H36" i="1" s="1"/>
  <c r="H16" i="1"/>
  <c r="K31" i="13"/>
  <c r="K30" i="19" s="1"/>
  <c r="E36" i="1" s="1"/>
  <c r="G13" i="14"/>
  <c r="H13" i="14"/>
  <c r="I13" i="14"/>
  <c r="J13" i="14"/>
  <c r="K13" i="14"/>
  <c r="L13" i="14"/>
  <c r="M13" i="14"/>
  <c r="N13" i="14"/>
  <c r="O13" i="14"/>
  <c r="G18" i="14"/>
  <c r="H18" i="14"/>
  <c r="I18" i="14"/>
  <c r="J18" i="14"/>
  <c r="K18" i="14"/>
  <c r="L18" i="14"/>
  <c r="M18" i="14"/>
  <c r="N18" i="14"/>
  <c r="O18" i="14"/>
  <c r="G20" i="14"/>
  <c r="H20" i="14"/>
  <c r="I20" i="14"/>
  <c r="J20" i="14"/>
  <c r="K20" i="14"/>
  <c r="L20" i="14"/>
  <c r="M20" i="14"/>
  <c r="N20" i="14"/>
  <c r="O20" i="14"/>
  <c r="G28" i="14"/>
  <c r="H28" i="14"/>
  <c r="I28" i="14"/>
  <c r="J28" i="14"/>
  <c r="K28" i="14"/>
  <c r="L28" i="14"/>
  <c r="M28" i="14"/>
  <c r="N28" i="14"/>
  <c r="O28" i="14"/>
  <c r="G29" i="14"/>
  <c r="H29" i="14"/>
  <c r="I29" i="14"/>
  <c r="J29" i="14"/>
  <c r="K29" i="14"/>
  <c r="L29" i="14"/>
  <c r="M29" i="14"/>
  <c r="N29" i="14"/>
  <c r="O29" i="14"/>
  <c r="G33" i="14"/>
  <c r="H33" i="14"/>
  <c r="I33" i="14"/>
  <c r="J33" i="14"/>
  <c r="K33" i="14"/>
  <c r="L33" i="14"/>
  <c r="M33" i="14"/>
  <c r="N33" i="14"/>
  <c r="O33" i="14"/>
  <c r="G35" i="14"/>
  <c r="H35" i="14"/>
  <c r="I35" i="14"/>
  <c r="J35" i="14"/>
  <c r="K35" i="14"/>
  <c r="L35" i="14"/>
  <c r="M35" i="14"/>
  <c r="N35" i="14"/>
  <c r="O35" i="14"/>
  <c r="G38" i="14"/>
  <c r="H38" i="14"/>
  <c r="I38" i="14"/>
  <c r="J38" i="14"/>
  <c r="K38" i="14"/>
  <c r="L38" i="14"/>
  <c r="M38" i="14"/>
  <c r="N38" i="14"/>
  <c r="O38" i="14"/>
  <c r="G40" i="14"/>
  <c r="H40" i="14"/>
  <c r="I40" i="14"/>
  <c r="J40" i="14"/>
  <c r="K40" i="14"/>
  <c r="L40" i="14"/>
  <c r="M40" i="14"/>
  <c r="N40" i="14"/>
  <c r="O40" i="14"/>
  <c r="G8" i="15"/>
  <c r="H8" i="15"/>
  <c r="I8" i="15"/>
  <c r="J8" i="15"/>
  <c r="K8" i="15"/>
  <c r="L8" i="15"/>
  <c r="M8" i="15"/>
  <c r="N8" i="15"/>
  <c r="O8" i="15"/>
  <c r="G9" i="15"/>
  <c r="H9" i="15"/>
  <c r="I9" i="15"/>
  <c r="J9" i="15"/>
  <c r="K9" i="15"/>
  <c r="L9" i="15"/>
  <c r="M9" i="15"/>
  <c r="N9" i="15"/>
  <c r="O9" i="15"/>
  <c r="G11" i="15"/>
  <c r="H11" i="15"/>
  <c r="I11" i="15"/>
  <c r="J11" i="15"/>
  <c r="K11" i="15"/>
  <c r="L11" i="15"/>
  <c r="M11" i="15"/>
  <c r="N11" i="15"/>
  <c r="O11" i="15"/>
  <c r="G12" i="15"/>
  <c r="H12" i="15"/>
  <c r="I12" i="15"/>
  <c r="J12" i="15"/>
  <c r="K12" i="15"/>
  <c r="L12" i="15"/>
  <c r="M12" i="15"/>
  <c r="N12" i="15"/>
  <c r="O12" i="15"/>
  <c r="G18" i="15"/>
  <c r="H18" i="15"/>
  <c r="I18" i="15"/>
  <c r="J18" i="15"/>
  <c r="K18" i="15"/>
  <c r="L18" i="15"/>
  <c r="M18" i="15"/>
  <c r="N18" i="15"/>
  <c r="O18" i="15"/>
  <c r="G19" i="15"/>
  <c r="H19" i="15"/>
  <c r="I19" i="15"/>
  <c r="J19" i="15"/>
  <c r="K19" i="15"/>
  <c r="L19" i="15"/>
  <c r="M19" i="15"/>
  <c r="N19" i="15"/>
  <c r="O19" i="15"/>
  <c r="G21" i="15"/>
  <c r="H21" i="15"/>
  <c r="I21" i="15"/>
  <c r="J21" i="15"/>
  <c r="K21" i="15"/>
  <c r="L21" i="15"/>
  <c r="M21" i="15"/>
  <c r="N21" i="15"/>
  <c r="O21" i="15"/>
  <c r="G24" i="15"/>
  <c r="H24" i="15"/>
  <c r="I24" i="15"/>
  <c r="J24" i="15"/>
  <c r="K24" i="15"/>
  <c r="L24" i="15"/>
  <c r="M24" i="15"/>
  <c r="N24" i="15"/>
  <c r="O24" i="15"/>
  <c r="G29" i="15"/>
  <c r="H29" i="15"/>
  <c r="I29" i="15"/>
  <c r="J29" i="15"/>
  <c r="K29" i="15"/>
  <c r="L29" i="15"/>
  <c r="M29" i="15"/>
  <c r="N29" i="15"/>
  <c r="O29" i="15"/>
  <c r="G30" i="15"/>
  <c r="H30" i="15"/>
  <c r="I30" i="15"/>
  <c r="J30" i="15"/>
  <c r="K30" i="15"/>
  <c r="L30" i="15"/>
  <c r="M30" i="15"/>
  <c r="N30" i="15"/>
  <c r="O30" i="15"/>
  <c r="G31" i="15"/>
  <c r="H31" i="15"/>
  <c r="I31" i="15"/>
  <c r="J31" i="15"/>
  <c r="K31" i="15"/>
  <c r="L31" i="15"/>
  <c r="M31" i="15"/>
  <c r="N31" i="15"/>
  <c r="O31" i="15"/>
  <c r="G34" i="15"/>
  <c r="H34" i="15"/>
  <c r="I34" i="15"/>
  <c r="J34" i="15"/>
  <c r="K34" i="15"/>
  <c r="L34" i="15"/>
  <c r="M34" i="15"/>
  <c r="N34" i="15"/>
  <c r="O34" i="15"/>
  <c r="G38" i="15"/>
  <c r="H38" i="15"/>
  <c r="I38" i="15"/>
  <c r="J38" i="15"/>
  <c r="K38" i="15"/>
  <c r="L38" i="15"/>
  <c r="M38" i="15"/>
  <c r="N38" i="15"/>
  <c r="O38" i="15"/>
  <c r="H40" i="15"/>
  <c r="I40" i="15"/>
  <c r="J40" i="15"/>
  <c r="K40" i="15"/>
  <c r="L40" i="15"/>
  <c r="M40" i="15"/>
  <c r="N40" i="15"/>
  <c r="O40" i="15"/>
  <c r="G41" i="15"/>
  <c r="H41" i="15"/>
  <c r="I41" i="15"/>
  <c r="J41" i="15"/>
  <c r="K41" i="15"/>
  <c r="L41" i="15"/>
  <c r="M41" i="15"/>
  <c r="N41" i="15"/>
  <c r="O41" i="15"/>
  <c r="G43" i="15"/>
  <c r="H43" i="15"/>
  <c r="I43" i="15"/>
  <c r="J43" i="15"/>
  <c r="K43" i="15"/>
  <c r="L43" i="15"/>
  <c r="M43" i="15"/>
  <c r="N43" i="15"/>
  <c r="O43" i="15"/>
  <c r="G47" i="15"/>
  <c r="H47" i="15"/>
  <c r="I47" i="15"/>
  <c r="J47" i="15"/>
  <c r="K47" i="15"/>
  <c r="L47" i="15"/>
  <c r="M47" i="15"/>
  <c r="N47" i="15"/>
  <c r="O47" i="15"/>
  <c r="G48" i="15"/>
  <c r="H48" i="15"/>
  <c r="I48" i="15"/>
  <c r="J48" i="15"/>
  <c r="K48" i="15"/>
  <c r="L48" i="15"/>
  <c r="M48" i="15"/>
  <c r="N48" i="15"/>
  <c r="O48" i="15"/>
  <c r="G49" i="15"/>
  <c r="H49" i="15"/>
  <c r="I49" i="15"/>
  <c r="J49" i="15"/>
  <c r="K49" i="15"/>
  <c r="L49" i="15"/>
  <c r="M49" i="15"/>
  <c r="N49" i="15"/>
  <c r="O49" i="15"/>
  <c r="J8" i="18"/>
  <c r="K8" i="18"/>
  <c r="L8" i="18"/>
  <c r="M8" i="18"/>
  <c r="N8" i="18"/>
  <c r="O8" i="18"/>
  <c r="J11" i="18"/>
  <c r="K11" i="18"/>
  <c r="L11" i="18"/>
  <c r="M11" i="18"/>
  <c r="N11" i="18"/>
  <c r="O11" i="18"/>
  <c r="C14" i="18"/>
  <c r="C15" i="18"/>
  <c r="C16" i="18"/>
  <c r="C17" i="18"/>
  <c r="H9" i="10"/>
  <c r="I9" i="10"/>
  <c r="J9" i="10"/>
  <c r="K9" i="10"/>
  <c r="L9" i="10"/>
  <c r="M9" i="10"/>
  <c r="N9" i="10"/>
  <c r="O9" i="10"/>
  <c r="G10" i="10"/>
  <c r="H10" i="10"/>
  <c r="I10" i="10"/>
  <c r="J10" i="10"/>
  <c r="K10" i="10"/>
  <c r="L10" i="10"/>
  <c r="M10" i="10"/>
  <c r="N10" i="10"/>
  <c r="O10" i="10"/>
  <c r="G11" i="10"/>
  <c r="H11" i="10"/>
  <c r="I11" i="10"/>
  <c r="J11" i="10"/>
  <c r="K11" i="10"/>
  <c r="L11" i="10"/>
  <c r="M11" i="10"/>
  <c r="N11" i="10"/>
  <c r="O11" i="10"/>
  <c r="G15" i="10"/>
  <c r="H15" i="10"/>
  <c r="I15" i="10"/>
  <c r="J15" i="10"/>
  <c r="K15" i="10"/>
  <c r="L15" i="10"/>
  <c r="M15" i="10"/>
  <c r="N15" i="10"/>
  <c r="O15" i="10"/>
  <c r="G19" i="10"/>
  <c r="H19" i="10"/>
  <c r="I19" i="10"/>
  <c r="J19" i="10"/>
  <c r="K19" i="10"/>
  <c r="L19" i="10"/>
  <c r="M19" i="10"/>
  <c r="N19" i="10"/>
  <c r="O19" i="10"/>
  <c r="G20" i="10"/>
  <c r="H20" i="10"/>
  <c r="I20" i="10"/>
  <c r="J20" i="10"/>
  <c r="K20" i="10"/>
  <c r="L20" i="10"/>
  <c r="M20" i="10"/>
  <c r="N20" i="10"/>
  <c r="O20" i="10"/>
  <c r="G23" i="10"/>
  <c r="H23" i="10"/>
  <c r="I23" i="10"/>
  <c r="J23" i="10"/>
  <c r="K23" i="10"/>
  <c r="L23" i="10"/>
  <c r="M23" i="10"/>
  <c r="N23" i="10"/>
  <c r="O23" i="10"/>
  <c r="G24" i="10"/>
  <c r="H24" i="10"/>
  <c r="I24" i="10"/>
  <c r="J24" i="10"/>
  <c r="K24" i="10"/>
  <c r="L24" i="10"/>
  <c r="M24" i="10"/>
  <c r="N24" i="10"/>
  <c r="O24" i="10"/>
  <c r="H26" i="10"/>
  <c r="I26" i="10"/>
  <c r="J26" i="10"/>
  <c r="K26" i="10"/>
  <c r="L26" i="10"/>
  <c r="M26" i="10"/>
  <c r="N26" i="10"/>
  <c r="O26" i="10"/>
  <c r="G27" i="10"/>
  <c r="H27" i="10"/>
  <c r="I27" i="10"/>
  <c r="J27" i="10"/>
  <c r="K27" i="10"/>
  <c r="L27" i="10"/>
  <c r="M27" i="10"/>
  <c r="N27" i="10"/>
  <c r="O27" i="10"/>
  <c r="G28" i="10"/>
  <c r="H28" i="10"/>
  <c r="I28" i="10"/>
  <c r="J28" i="10"/>
  <c r="K28" i="10"/>
  <c r="L28" i="10"/>
  <c r="M28" i="10"/>
  <c r="N28" i="10"/>
  <c r="O28" i="10"/>
  <c r="G32" i="10"/>
  <c r="H32" i="10"/>
  <c r="I32" i="10"/>
  <c r="J32" i="10"/>
  <c r="K32" i="10"/>
  <c r="L32" i="10"/>
  <c r="M32" i="10"/>
  <c r="N32" i="10"/>
  <c r="O32" i="10"/>
  <c r="G57" i="10"/>
  <c r="H57" i="10"/>
  <c r="I57" i="10"/>
  <c r="J57" i="10"/>
  <c r="K57" i="10"/>
  <c r="L57" i="10"/>
  <c r="M57" i="10"/>
  <c r="N57" i="10"/>
  <c r="O57" i="10"/>
  <c r="G58" i="10"/>
  <c r="H58" i="10"/>
  <c r="I58" i="10"/>
  <c r="J58" i="10"/>
  <c r="K58" i="10"/>
  <c r="L58" i="10"/>
  <c r="M58" i="10"/>
  <c r="N58" i="10"/>
  <c r="O58" i="10"/>
  <c r="G20" i="11"/>
  <c r="H20" i="11"/>
  <c r="I20" i="11"/>
  <c r="J20" i="11"/>
  <c r="K20" i="11"/>
  <c r="L20" i="11"/>
  <c r="M20" i="11"/>
  <c r="N20" i="11"/>
  <c r="O20" i="11"/>
  <c r="G22" i="11"/>
  <c r="H22" i="11"/>
  <c r="I22" i="11"/>
  <c r="J22" i="11"/>
  <c r="K22" i="11"/>
  <c r="L22" i="11"/>
  <c r="M22" i="11"/>
  <c r="N22" i="11"/>
  <c r="O22" i="11"/>
  <c r="G23" i="11"/>
  <c r="H23" i="11"/>
  <c r="I23" i="11"/>
  <c r="J23" i="11"/>
  <c r="K23" i="11"/>
  <c r="L23" i="11"/>
  <c r="M23" i="11"/>
  <c r="N23" i="11"/>
  <c r="O23" i="11"/>
  <c r="G25" i="11"/>
  <c r="H25" i="11"/>
  <c r="I25" i="11"/>
  <c r="J25" i="11"/>
  <c r="K25" i="11"/>
  <c r="L25" i="11"/>
  <c r="M25" i="11"/>
  <c r="N25" i="11"/>
  <c r="O25" i="11"/>
  <c r="H29" i="11"/>
  <c r="I29" i="11"/>
  <c r="J29" i="11"/>
  <c r="K29" i="11"/>
  <c r="L29" i="11"/>
  <c r="M29" i="11"/>
  <c r="N29" i="11"/>
  <c r="O29" i="11"/>
  <c r="G30" i="11"/>
  <c r="H30" i="11"/>
  <c r="I30" i="11"/>
  <c r="J30" i="11"/>
  <c r="K30" i="11"/>
  <c r="L30" i="11"/>
  <c r="M30" i="11"/>
  <c r="N30" i="11"/>
  <c r="O30" i="11"/>
  <c r="G31" i="11"/>
  <c r="H31" i="11"/>
  <c r="I31" i="11"/>
  <c r="J31" i="11"/>
  <c r="K31" i="11"/>
  <c r="L31" i="11"/>
  <c r="M31" i="11"/>
  <c r="N31" i="11"/>
  <c r="O31" i="11"/>
  <c r="G32" i="11"/>
  <c r="H32" i="11"/>
  <c r="I32" i="11"/>
  <c r="J32" i="11"/>
  <c r="K32" i="11"/>
  <c r="L32" i="11"/>
  <c r="M32" i="11"/>
  <c r="N32" i="11"/>
  <c r="O32" i="11"/>
  <c r="G33" i="11"/>
  <c r="H33" i="11"/>
  <c r="I33" i="11"/>
  <c r="J33" i="11"/>
  <c r="K33" i="11"/>
  <c r="L33" i="11"/>
  <c r="M33" i="11"/>
  <c r="N33" i="11"/>
  <c r="O33" i="11"/>
  <c r="G8" i="19"/>
  <c r="H8" i="19"/>
  <c r="I8" i="19"/>
  <c r="J8" i="19"/>
  <c r="K8" i="19"/>
  <c r="L8" i="19"/>
  <c r="M8" i="19"/>
  <c r="N8" i="19"/>
  <c r="O8" i="19"/>
  <c r="G9" i="19"/>
  <c r="H9" i="19"/>
  <c r="I9" i="19"/>
  <c r="J9" i="19"/>
  <c r="K9" i="19"/>
  <c r="L9" i="19"/>
  <c r="M9" i="19"/>
  <c r="N9" i="19"/>
  <c r="O9" i="19"/>
  <c r="G10" i="19"/>
  <c r="H10" i="19"/>
  <c r="I10" i="19"/>
  <c r="J10" i="19"/>
  <c r="K10" i="19"/>
  <c r="L10" i="19"/>
  <c r="M10" i="19"/>
  <c r="N10" i="19"/>
  <c r="O10" i="19"/>
  <c r="G17" i="19"/>
  <c r="H17" i="19"/>
  <c r="I17" i="19"/>
  <c r="J17" i="19"/>
  <c r="K17" i="19"/>
  <c r="L17" i="19"/>
  <c r="M17" i="19"/>
  <c r="N17" i="19"/>
  <c r="O17" i="19"/>
  <c r="G19" i="19"/>
  <c r="H19" i="19"/>
  <c r="I19" i="19"/>
  <c r="J19" i="19"/>
  <c r="K19" i="19"/>
  <c r="L19" i="19"/>
  <c r="M19" i="19"/>
  <c r="N19" i="19"/>
  <c r="O19" i="19"/>
  <c r="G23" i="19"/>
  <c r="H23" i="19"/>
  <c r="I23" i="19"/>
  <c r="J23" i="19"/>
  <c r="K23" i="19"/>
  <c r="L23" i="19"/>
  <c r="M23" i="19"/>
  <c r="N23" i="19"/>
  <c r="O23" i="19"/>
  <c r="G24" i="19"/>
  <c r="H24" i="19"/>
  <c r="I24" i="19"/>
  <c r="J24" i="19"/>
  <c r="K24" i="19"/>
  <c r="L24" i="19"/>
  <c r="M24" i="19"/>
  <c r="N24" i="19"/>
  <c r="O24" i="19"/>
  <c r="G25" i="19"/>
  <c r="H25" i="19"/>
  <c r="I25" i="19"/>
  <c r="J25" i="19"/>
  <c r="K25" i="19"/>
  <c r="L25" i="19"/>
  <c r="M25" i="19"/>
  <c r="N25" i="19"/>
  <c r="O25" i="19"/>
  <c r="G31" i="19"/>
  <c r="H31" i="19"/>
  <c r="I31" i="19"/>
  <c r="J31" i="19"/>
  <c r="K31" i="19"/>
  <c r="L31" i="19"/>
  <c r="M31" i="19"/>
  <c r="N31" i="19"/>
  <c r="O31" i="19"/>
  <c r="G32" i="19"/>
  <c r="H32" i="19"/>
  <c r="I32" i="19"/>
  <c r="J32" i="19"/>
  <c r="K32" i="19"/>
  <c r="L32" i="19"/>
  <c r="M32" i="19"/>
  <c r="N32" i="19"/>
  <c r="O32" i="19"/>
  <c r="G33" i="19"/>
  <c r="H33" i="19"/>
  <c r="I33" i="19"/>
  <c r="J33" i="19"/>
  <c r="K33" i="19"/>
  <c r="L33" i="19"/>
  <c r="M33" i="19"/>
  <c r="N33" i="19"/>
  <c r="O33" i="19"/>
  <c r="G33" i="13"/>
  <c r="H33" i="13"/>
  <c r="I33" i="13"/>
  <c r="J33" i="13"/>
  <c r="K33" i="13"/>
  <c r="L33" i="13"/>
  <c r="M33" i="13"/>
  <c r="N33" i="13"/>
  <c r="O33" i="13"/>
  <c r="G34" i="13"/>
  <c r="H34" i="13"/>
  <c r="I34" i="13"/>
  <c r="J34" i="13"/>
  <c r="K34" i="13"/>
  <c r="L34" i="13"/>
  <c r="M34" i="13"/>
  <c r="N34" i="13"/>
  <c r="O34" i="13"/>
  <c r="G35" i="13"/>
  <c r="H35" i="13"/>
  <c r="I35" i="13"/>
  <c r="J35" i="13"/>
  <c r="K35" i="13"/>
  <c r="L35" i="13"/>
  <c r="M35" i="13"/>
  <c r="N35" i="13"/>
  <c r="O35" i="13"/>
  <c r="G37" i="13"/>
  <c r="H37" i="13"/>
  <c r="I37" i="13"/>
  <c r="J37" i="13"/>
  <c r="K37" i="13"/>
  <c r="L37" i="13"/>
  <c r="M37" i="13"/>
  <c r="N37" i="13"/>
  <c r="O37" i="13"/>
  <c r="G39" i="13"/>
  <c r="H39" i="13"/>
  <c r="I39" i="13"/>
  <c r="J39" i="13"/>
  <c r="K39" i="13"/>
  <c r="L39" i="13"/>
  <c r="M39" i="13"/>
  <c r="N39" i="13"/>
  <c r="O39" i="13"/>
  <c r="G41" i="13"/>
  <c r="H41" i="13"/>
  <c r="I41" i="13"/>
  <c r="J41" i="13"/>
  <c r="K41" i="13"/>
  <c r="L41" i="13"/>
  <c r="M41" i="13"/>
  <c r="N41" i="13"/>
  <c r="O41" i="13"/>
  <c r="E8" i="1"/>
  <c r="E18" i="1"/>
  <c r="F18" i="1"/>
  <c r="G18" i="1"/>
  <c r="H18" i="1"/>
  <c r="I18" i="1"/>
  <c r="E22" i="1"/>
  <c r="F22" i="1"/>
  <c r="G22" i="1"/>
  <c r="H22" i="1"/>
  <c r="I22" i="1"/>
  <c r="E24" i="1"/>
  <c r="F24" i="1"/>
  <c r="G24" i="1"/>
  <c r="H24" i="1"/>
  <c r="I24" i="1"/>
  <c r="E25" i="1"/>
  <c r="F25" i="1"/>
  <c r="G25" i="1"/>
  <c r="H25" i="1"/>
  <c r="I25" i="1"/>
  <c r="E28" i="1"/>
  <c r="F28" i="1"/>
  <c r="G28" i="1"/>
  <c r="H28" i="1"/>
  <c r="I28" i="1"/>
  <c r="E29" i="1"/>
  <c r="F29" i="1"/>
  <c r="G29" i="1"/>
  <c r="H29" i="1"/>
  <c r="I29" i="1"/>
  <c r="E30" i="1"/>
  <c r="F30" i="1"/>
  <c r="G30" i="1"/>
  <c r="H30" i="1"/>
  <c r="I30" i="1"/>
  <c r="E31" i="1"/>
  <c r="F31" i="1"/>
  <c r="G31" i="1"/>
  <c r="H31" i="1"/>
  <c r="I31" i="1"/>
  <c r="E32" i="1"/>
  <c r="F32" i="1"/>
  <c r="G32" i="1"/>
  <c r="H32" i="1"/>
  <c r="I32" i="1"/>
  <c r="E37" i="1"/>
  <c r="F37" i="1"/>
  <c r="G37" i="1"/>
  <c r="H37" i="1"/>
  <c r="I37" i="1"/>
  <c r="E38" i="1"/>
  <c r="F38" i="1"/>
  <c r="G38" i="1"/>
  <c r="H38" i="1"/>
  <c r="I38" i="1"/>
  <c r="E39" i="1"/>
  <c r="F39" i="1"/>
  <c r="G39" i="1"/>
  <c r="H39" i="1"/>
  <c r="I39" i="1"/>
  <c r="E40" i="1"/>
  <c r="F40" i="1"/>
  <c r="G40" i="1"/>
  <c r="H40" i="1"/>
  <c r="I40" i="1"/>
  <c r="E41" i="1"/>
  <c r="F41" i="1"/>
  <c r="G41" i="1"/>
  <c r="H41" i="1"/>
  <c r="I41" i="1"/>
  <c r="E42" i="1"/>
  <c r="F42" i="1"/>
  <c r="G42" i="1"/>
  <c r="H42" i="1"/>
  <c r="I42" i="1"/>
  <c r="G11" i="12"/>
  <c r="H11" i="12"/>
  <c r="I11" i="12"/>
  <c r="J11" i="12"/>
  <c r="K11" i="12"/>
  <c r="L11" i="12"/>
  <c r="M11" i="12"/>
  <c r="N11" i="12"/>
  <c r="O11" i="12"/>
  <c r="G13" i="12"/>
  <c r="H13" i="12"/>
  <c r="I13" i="12"/>
  <c r="J13" i="12"/>
  <c r="K13" i="12"/>
  <c r="L13" i="12"/>
  <c r="M13" i="12"/>
  <c r="N13" i="12"/>
  <c r="O13" i="12"/>
  <c r="G16" i="12"/>
  <c r="H16" i="12"/>
  <c r="I16" i="12"/>
  <c r="J16" i="12"/>
  <c r="K16" i="12"/>
  <c r="L16" i="12"/>
  <c r="M16" i="12"/>
  <c r="N16" i="12"/>
  <c r="O16" i="12"/>
  <c r="G18" i="12"/>
  <c r="H18" i="12"/>
  <c r="I18" i="12"/>
  <c r="J18" i="12"/>
  <c r="K18" i="12"/>
  <c r="L18" i="12"/>
  <c r="M18" i="12"/>
  <c r="N18" i="12"/>
  <c r="O18" i="1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<sst xmlns="http://schemas.openxmlformats.org/spreadsheetml/2006/main" count="850" uniqueCount="290">
  <si>
    <t>Equity Investment:</t>
  </si>
  <si>
    <t>DCF Valuation:</t>
  </si>
  <si>
    <t>Income Statement</t>
  </si>
  <si>
    <t>Revenue</t>
  </si>
  <si>
    <t>COS</t>
  </si>
  <si>
    <t>Gross Profit</t>
  </si>
  <si>
    <t>Operating Profit</t>
  </si>
  <si>
    <t>Operating Expenses</t>
  </si>
  <si>
    <t>Net Profit</t>
  </si>
  <si>
    <t>Balance Sheet</t>
  </si>
  <si>
    <t>Fixed Assets</t>
  </si>
  <si>
    <t>Current Assets</t>
  </si>
  <si>
    <t>Non-Current Liabilities</t>
  </si>
  <si>
    <t>Current Liabilities</t>
  </si>
  <si>
    <t>Equity</t>
  </si>
  <si>
    <t>Cashflow</t>
  </si>
  <si>
    <t>Cashflow from Operations</t>
  </si>
  <si>
    <t>Cashflow from Investing Activities</t>
  </si>
  <si>
    <t>Cashflow from Financing Activities</t>
  </si>
  <si>
    <t>Net Cashflow</t>
  </si>
  <si>
    <t>Unlevered Free Cashflow (UFCF)</t>
  </si>
  <si>
    <t>Financial Ratios</t>
  </si>
  <si>
    <t>Gross Profit Margin</t>
  </si>
  <si>
    <t>Operating Profit Margin</t>
  </si>
  <si>
    <t>Net Margin</t>
  </si>
  <si>
    <t>Times Interest Earned</t>
  </si>
  <si>
    <t>Current Ratio</t>
  </si>
  <si>
    <t>Debt/Equity Ratio</t>
  </si>
  <si>
    <t>Return on Assets (ROA)</t>
  </si>
  <si>
    <t>Return on Equity (ROE)</t>
  </si>
  <si>
    <t>Table of Contents</t>
  </si>
  <si>
    <t>Model Inputs and Financial Plans</t>
  </si>
  <si>
    <t>Director and Staff Costs</t>
  </si>
  <si>
    <t>Scenarios</t>
  </si>
  <si>
    <t>Revenue Schedule</t>
  </si>
  <si>
    <t>Cost of Sales Schedule</t>
  </si>
  <si>
    <t>Working Capital Schedule</t>
  </si>
  <si>
    <t>Depreciation Schedule</t>
  </si>
  <si>
    <t>Debt Schedule</t>
  </si>
  <si>
    <t>Equity Schedule</t>
  </si>
  <si>
    <t>Tax Schedule</t>
  </si>
  <si>
    <t>Cashflow Statement</t>
  </si>
  <si>
    <t>DCF Valuation</t>
  </si>
  <si>
    <t>Financial Ratios &amp; Charts</t>
  </si>
  <si>
    <t>Sector: Healthcare/Manufacturing</t>
  </si>
  <si>
    <t>Volume/Units/Weight</t>
  </si>
  <si>
    <t>Unit Price</t>
  </si>
  <si>
    <t>Unit Cost</t>
  </si>
  <si>
    <t>General &amp; Admin Expenses</t>
  </si>
  <si>
    <t>Consulting and Professional fees</t>
  </si>
  <si>
    <t>Director's fees</t>
  </si>
  <si>
    <t>Fuel and Maintenance</t>
  </si>
  <si>
    <t>Insurance (Vehicles)</t>
  </si>
  <si>
    <t>Insurance (General)</t>
  </si>
  <si>
    <t>Lease/Rentals</t>
  </si>
  <si>
    <t>Legal Fees</t>
  </si>
  <si>
    <t>Office Expenses</t>
  </si>
  <si>
    <t>Regulatory and Permits</t>
  </si>
  <si>
    <t>Software and licenses</t>
  </si>
  <si>
    <t>Staff Costs</t>
  </si>
  <si>
    <t>Subscriptions</t>
  </si>
  <si>
    <t>Training</t>
  </si>
  <si>
    <t>Travel</t>
  </si>
  <si>
    <t>Utilities</t>
  </si>
  <si>
    <t>Others</t>
  </si>
  <si>
    <t>Marketing Expenses</t>
  </si>
  <si>
    <t>Advertising</t>
  </si>
  <si>
    <t>Public Relations</t>
  </si>
  <si>
    <t>Event Sponsorships/Trade Fairs/Exhibitions</t>
  </si>
  <si>
    <t>Research &amp; Development</t>
  </si>
  <si>
    <t>R&amp;D</t>
  </si>
  <si>
    <t>Tax</t>
  </si>
  <si>
    <t>Tax rate</t>
  </si>
  <si>
    <t>%</t>
  </si>
  <si>
    <t>Loan - Opening Value</t>
  </si>
  <si>
    <t>Additions</t>
  </si>
  <si>
    <t>(Repayment)</t>
  </si>
  <si>
    <t>(Interest Expense)</t>
  </si>
  <si>
    <t>Effective rate</t>
  </si>
  <si>
    <t>Duration</t>
  </si>
  <si>
    <t>years</t>
  </si>
  <si>
    <t xml:space="preserve">Loan 2: </t>
  </si>
  <si>
    <t xml:space="preserve">Loan 3: </t>
  </si>
  <si>
    <t>Bank Overdraft terms</t>
  </si>
  <si>
    <t>Common shares Issuance/(Buy-back)</t>
  </si>
  <si>
    <t>Common share dividend payout rate</t>
  </si>
  <si>
    <t>Preference shares Issuance/(Buy-back)</t>
  </si>
  <si>
    <t>Preference shares dividend yield</t>
  </si>
  <si>
    <t xml:space="preserve">Capital Expenditure </t>
  </si>
  <si>
    <t>Salvage Value</t>
  </si>
  <si>
    <t>Buildings</t>
  </si>
  <si>
    <t>Plant &amp; Machinery</t>
  </si>
  <si>
    <t>Vehicles</t>
  </si>
  <si>
    <t>Office Furniture</t>
  </si>
  <si>
    <t>Equipment (IT etc)</t>
  </si>
  <si>
    <t>Patents, Rights and other intangibles</t>
  </si>
  <si>
    <t>Working Capital Days</t>
  </si>
  <si>
    <t>Days Sales Oustanding</t>
  </si>
  <si>
    <t>days</t>
  </si>
  <si>
    <t>Days Payable Outstanding</t>
  </si>
  <si>
    <t>Days Inventory Oustanding</t>
  </si>
  <si>
    <t>Days in Other Current Assets</t>
  </si>
  <si>
    <t>Days in Other Current Liabilities</t>
  </si>
  <si>
    <t>Directors Fees</t>
  </si>
  <si>
    <t>Staff Cost</t>
  </si>
  <si>
    <t>Role</t>
  </si>
  <si>
    <t>Count</t>
  </si>
  <si>
    <t>Directors (cat 1)</t>
  </si>
  <si>
    <t>Directors (cat 2)</t>
  </si>
  <si>
    <t>CEO</t>
  </si>
  <si>
    <t>Business Development Manager</t>
  </si>
  <si>
    <t>Hand Sanitizers</t>
  </si>
  <si>
    <t>Test Tubes</t>
  </si>
  <si>
    <t>Syringes</t>
  </si>
  <si>
    <t>units</t>
  </si>
  <si>
    <t>Production Managers</t>
  </si>
  <si>
    <t>Security Officer</t>
  </si>
  <si>
    <t>QA/QC Officers</t>
  </si>
  <si>
    <t>Finance Director</t>
  </si>
  <si>
    <t>IT, Head</t>
  </si>
  <si>
    <t>Marketing Officers</t>
  </si>
  <si>
    <t>Customer Service Officer</t>
  </si>
  <si>
    <t>Receptionist</t>
  </si>
  <si>
    <t>Business Development Expenses</t>
  </si>
  <si>
    <t>Loan 1: Bank ABC</t>
  </si>
  <si>
    <t>Directors and Staff Costs</t>
  </si>
  <si>
    <t>Select Scenario:</t>
  </si>
  <si>
    <t>Optimistic</t>
  </si>
  <si>
    <t>Conservative</t>
  </si>
  <si>
    <t>Pessimistic</t>
  </si>
  <si>
    <t>from Model Inputs</t>
  </si>
  <si>
    <t>G&amp;A Expenses</t>
  </si>
  <si>
    <t>Total Revenue</t>
  </si>
  <si>
    <t>Face Masks</t>
  </si>
  <si>
    <t>Total Cost of Sales</t>
  </si>
  <si>
    <t>Cost of Sales</t>
  </si>
  <si>
    <t>Working Capital Lines</t>
  </si>
  <si>
    <t>Trade Receivables</t>
  </si>
  <si>
    <t>Trade Payables</t>
  </si>
  <si>
    <t>Inventory</t>
  </si>
  <si>
    <t>Other Current Assets</t>
  </si>
  <si>
    <t>Other Current Liabilities</t>
  </si>
  <si>
    <t>DSO = Rec/Rev x 365</t>
  </si>
  <si>
    <t>DPO = Payables/COS x 365</t>
  </si>
  <si>
    <t>Total Depreciation</t>
  </si>
  <si>
    <t>Total Amortization</t>
  </si>
  <si>
    <t>Depreciation:</t>
  </si>
  <si>
    <t>Amortisation:</t>
  </si>
  <si>
    <t>Net Book Value:</t>
  </si>
  <si>
    <t>Capital Expenditure:</t>
  </si>
  <si>
    <t>Cash</t>
  </si>
  <si>
    <t>Opening Cash</t>
  </si>
  <si>
    <t>Closing Cash</t>
  </si>
  <si>
    <t>Interest Rate</t>
  </si>
  <si>
    <t>Annual Interest Income</t>
  </si>
  <si>
    <t>Bank Overdraft</t>
  </si>
  <si>
    <t>Operating Cashflow</t>
  </si>
  <si>
    <t>Investing Cashflow</t>
  </si>
  <si>
    <t>Loan Issued/(Repayment)</t>
  </si>
  <si>
    <t>Equity Issuance/(Buyback)</t>
  </si>
  <si>
    <t>Dividends</t>
  </si>
  <si>
    <t>Opening Bank Overdraft</t>
  </si>
  <si>
    <t>Additions/(Repayments)</t>
  </si>
  <si>
    <t>Closing Bank Overdraft</t>
  </si>
  <si>
    <t>Bank Overdraft Interest Rate</t>
  </si>
  <si>
    <t>Bank Overdraft Interest Expense</t>
  </si>
  <si>
    <t>Total Interest Expense</t>
  </si>
  <si>
    <t>Total Interest Income</t>
  </si>
  <si>
    <t>Ordinary Shares</t>
  </si>
  <si>
    <t>Opening</t>
  </si>
  <si>
    <t>Issuance/(Buyback)</t>
  </si>
  <si>
    <t>Closing</t>
  </si>
  <si>
    <t>Preference Shares</t>
  </si>
  <si>
    <t>Net Income</t>
  </si>
  <si>
    <t>Preference Dividend Yield</t>
  </si>
  <si>
    <t>Preference Dividend</t>
  </si>
  <si>
    <t>Net Income to Ordinary Shares</t>
  </si>
  <si>
    <t>Ordinary Shares Dividend Payout Rate</t>
  </si>
  <si>
    <t>Ordinary Shares Dividend</t>
  </si>
  <si>
    <t>Retained Earning</t>
  </si>
  <si>
    <t>(Preference Dividend)</t>
  </si>
  <si>
    <t>(Ordinary Shares Dividend)</t>
  </si>
  <si>
    <t>Income Tax Rate</t>
  </si>
  <si>
    <t>Accounting EBT</t>
  </si>
  <si>
    <t>Government EBT</t>
  </si>
  <si>
    <t>Current Income Tax</t>
  </si>
  <si>
    <t xml:space="preserve">Increase/(Decrease) in Deffered Income Tax </t>
  </si>
  <si>
    <t>Total Income Tax</t>
  </si>
  <si>
    <t>Cash Available/(Cash Needed)</t>
  </si>
  <si>
    <t>Other Operating Expenses/Income</t>
  </si>
  <si>
    <t>EBITDA Margin</t>
  </si>
  <si>
    <t>Operating Profit excl D&amp;A (EBITDA)</t>
  </si>
  <si>
    <t>D&amp;A</t>
  </si>
  <si>
    <t>EBIT</t>
  </si>
  <si>
    <t>Operating Profit (EBIT) Margin</t>
  </si>
  <si>
    <t>Finance Income</t>
  </si>
  <si>
    <t>Finance Cost</t>
  </si>
  <si>
    <t>Profit Before Tax (PBT)</t>
  </si>
  <si>
    <t>Less: Timing Difference</t>
  </si>
  <si>
    <t>Intangibles (Patents, Licences, etc)</t>
  </si>
  <si>
    <t>PP&amp;E</t>
  </si>
  <si>
    <t>Other Fixed Assets</t>
  </si>
  <si>
    <t>Cash and Cash Equivalent</t>
  </si>
  <si>
    <t>Total Assets</t>
  </si>
  <si>
    <t>Long-term Debt</t>
  </si>
  <si>
    <t>Deferred Income Tax</t>
  </si>
  <si>
    <t>Other Non-Current Liabilities</t>
  </si>
  <si>
    <t>Short-term Loan</t>
  </si>
  <si>
    <t>Equities</t>
  </si>
  <si>
    <t>Share Capital</t>
  </si>
  <si>
    <t>Retained Earnings</t>
  </si>
  <si>
    <t>Other Equity Items</t>
  </si>
  <si>
    <t>Total Liabilities &amp; Equity</t>
  </si>
  <si>
    <t>Check</t>
  </si>
  <si>
    <t>Loan - Closing Value</t>
  </si>
  <si>
    <t>+ D&amp;A</t>
  </si>
  <si>
    <t>- Finance Income</t>
  </si>
  <si>
    <t>+ Finance Cost</t>
  </si>
  <si>
    <t>Change in Inventory</t>
  </si>
  <si>
    <t>Change in Trade Receivables</t>
  </si>
  <si>
    <t>Change in Other Current Assest</t>
  </si>
  <si>
    <t>Change in Trade Payables</t>
  </si>
  <si>
    <t>Change in Other Current Liabilities</t>
  </si>
  <si>
    <t>+ Tax Expense</t>
  </si>
  <si>
    <t>- Tax Paid</t>
  </si>
  <si>
    <t>Capital Expenditure</t>
  </si>
  <si>
    <t>Change in Other Fixed Assets</t>
  </si>
  <si>
    <t>Capital Assets Disposal</t>
  </si>
  <si>
    <t>Change in Deferred Income Tax</t>
  </si>
  <si>
    <t>Change in Other Non-Current Liabilities</t>
  </si>
  <si>
    <t>Bank Overdraft drawn/(repaid)</t>
  </si>
  <si>
    <t>(Finance Cost)</t>
  </si>
  <si>
    <t>Debt Issued</t>
  </si>
  <si>
    <t>(Debt Repaid)</t>
  </si>
  <si>
    <t>(Dividends)</t>
  </si>
  <si>
    <t>Equity Issued/(Buyback)</t>
  </si>
  <si>
    <t>Cash Interest rate</t>
  </si>
  <si>
    <t>&gt;&gt; Table of Contents</t>
  </si>
  <si>
    <t>Free Cashflow from Ops &amp; Investing</t>
  </si>
  <si>
    <t>Interest tax cover</t>
  </si>
  <si>
    <t>WACC</t>
  </si>
  <si>
    <t>perpetuity growth, g</t>
  </si>
  <si>
    <t>UFCF</t>
  </si>
  <si>
    <t>Discount Factor</t>
  </si>
  <si>
    <t>PV of UFCF</t>
  </si>
  <si>
    <t>Continuing Value</t>
  </si>
  <si>
    <t>Weighted Average Cost of Capital</t>
  </si>
  <si>
    <t>(E/E+D)*Ke + (D/E+D)*Kd*(1-t)</t>
  </si>
  <si>
    <t>E</t>
  </si>
  <si>
    <t>D</t>
  </si>
  <si>
    <t>Ke</t>
  </si>
  <si>
    <t>Kd</t>
  </si>
  <si>
    <t>t</t>
  </si>
  <si>
    <t>CAPM</t>
  </si>
  <si>
    <t>Rf</t>
  </si>
  <si>
    <t>Beta</t>
  </si>
  <si>
    <t>Rm</t>
  </si>
  <si>
    <t>RRI</t>
  </si>
  <si>
    <t>Rm (total market return, long-term)</t>
  </si>
  <si>
    <t>NSEASI</t>
  </si>
  <si>
    <t>Long term inflation</t>
  </si>
  <si>
    <t>Long term GDP growth rate</t>
  </si>
  <si>
    <t>Gross Income/yr_2020</t>
  </si>
  <si>
    <t>E+D</t>
  </si>
  <si>
    <t>UNIT ECONOMICS - unit price, units/volume, unit cost</t>
  </si>
  <si>
    <t>PV of continuing Value</t>
  </si>
  <si>
    <t>Entreprise Value</t>
  </si>
  <si>
    <t>Rf + Beta*(Rm - Rf)</t>
  </si>
  <si>
    <t>Liquidity Ratios</t>
  </si>
  <si>
    <t>Quick Ratio</t>
  </si>
  <si>
    <t>Cash Ratio</t>
  </si>
  <si>
    <t>Asset Management Ratios</t>
  </si>
  <si>
    <t>Average Collection Period (DSO)</t>
  </si>
  <si>
    <t>Days Inventory Outstanding</t>
  </si>
  <si>
    <t>Inventory Turnover</t>
  </si>
  <si>
    <t>Fixed Assets Turnover</t>
  </si>
  <si>
    <t>Total Assets Turnover</t>
  </si>
  <si>
    <t>Leverage Ratios</t>
  </si>
  <si>
    <t>Debt Ratio</t>
  </si>
  <si>
    <t>Debt to Equity Ratio</t>
  </si>
  <si>
    <t>Interest Coverage Ratio/Times Interest Earned</t>
  </si>
  <si>
    <t>Profitability Ratios</t>
  </si>
  <si>
    <t>Net Profit Margin</t>
  </si>
  <si>
    <t>Return on Assets</t>
  </si>
  <si>
    <t>Return on Equity</t>
  </si>
  <si>
    <t>Dashboard</t>
  </si>
  <si>
    <t>1.Summary Charts</t>
  </si>
  <si>
    <t>M-pharmaceutical</t>
  </si>
  <si>
    <t>USD</t>
  </si>
  <si>
    <t>Last Updated: 20-January-2025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</si>
</sst>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\ &quot;years&quot;"/>
    <numFmt numFmtId="166" formatCode="0.0&quot;x the Conservative&quot;"/>
    <numFmt numFmtId="167" formatCode="_(* #,##0.0_);_(* \(#,##0.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indexed="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lightGray"/>
    </fill>
    <fill>
      <patternFill patternType="mediumGray">
        <bgColor auto="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/>
    <xf numFmtId="0" fontId="0" fillId="0" borderId="9" xfId="0" applyBorder="1" applyAlignment="1">
      <alignment horizontal="right"/>
    </xf>
    <xf numFmtId="0" fontId="0" fillId="0" borderId="9" xfId="0" applyBorder="1"/>
    <xf numFmtId="0" fontId="5" fillId="0" borderId="0" xfId="0" applyFont="1"/>
    <xf numFmtId="0" fontId="6" fillId="2" borderId="0" xfId="0" applyFont="1" applyFill="1" applyAlignment="1">
      <alignment horizontal="centerContinuous"/>
    </xf>
    <xf numFmtId="0" fontId="7" fillId="2" borderId="0" xfId="0" applyFont="1" applyFill="1" applyAlignment="1">
      <alignment horizontal="centerContinuous"/>
    </xf>
    <xf numFmtId="0" fontId="8" fillId="0" borderId="0" xfId="2"/>
    <xf numFmtId="0" fontId="0" fillId="0" borderId="0" xfId="0" applyProtection="1">
      <protection locked="0"/>
    </xf>
    <xf numFmtId="0" fontId="0" fillId="0" borderId="10" xfId="0" applyBorder="1"/>
    <xf numFmtId="0" fontId="2" fillId="0" borderId="10" xfId="0" applyFont="1" applyBorder="1"/>
    <xf numFmtId="0" fontId="9" fillId="0" borderId="10" xfId="0" applyFont="1" applyBorder="1"/>
    <xf numFmtId="1" fontId="2" fillId="0" borderId="10" xfId="0" applyNumberFormat="1" applyFont="1" applyBorder="1"/>
    <xf numFmtId="164" fontId="2" fillId="0" borderId="0" xfId="0" applyNumberFormat="1" applyFon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quotePrefix="1" applyAlignment="1">
      <alignment horizontal="center"/>
    </xf>
    <xf numFmtId="43" fontId="0" fillId="0" borderId="0" xfId="1" applyFont="1" applyProtection="1"/>
    <xf numFmtId="164" fontId="0" fillId="0" borderId="0" xfId="1" applyNumberFormat="1" applyFont="1" applyProtection="1"/>
    <xf numFmtId="0" fontId="10" fillId="0" borderId="0" xfId="0" applyFont="1"/>
    <xf numFmtId="0" fontId="11" fillId="0" borderId="0" xfId="0" applyFont="1"/>
    <xf numFmtId="164" fontId="0" fillId="0" borderId="11" xfId="1" applyNumberFormat="1" applyFont="1" applyBorder="1" applyProtection="1"/>
    <xf numFmtId="9" fontId="0" fillId="0" borderId="0" xfId="0" applyNumberFormat="1"/>
    <xf numFmtId="164" fontId="11" fillId="0" borderId="0" xfId="1" applyNumberFormat="1" applyFont="1" applyProtection="1"/>
    <xf numFmtId="43" fontId="0" fillId="0" borderId="0" xfId="0" applyNumberFormat="1"/>
    <xf numFmtId="10" fontId="0" fillId="0" borderId="0" xfId="0" applyNumberFormat="1"/>
    <xf numFmtId="10" fontId="11" fillId="0" borderId="0" xfId="0" applyNumberFormat="1" applyFont="1"/>
    <xf numFmtId="165" fontId="0" fillId="0" borderId="0" xfId="0" applyNumberFormat="1"/>
    <xf numFmtId="1" fontId="0" fillId="0" borderId="0" xfId="1" applyNumberFormat="1" applyFont="1" applyProtection="1"/>
    <xf numFmtId="164" fontId="2" fillId="0" borderId="11" xfId="1" applyNumberFormat="1" applyFont="1" applyBorder="1" applyProtection="1"/>
    <xf numFmtId="3" fontId="0" fillId="0" borderId="0" xfId="0" applyNumberFormat="1"/>
    <xf numFmtId="164" fontId="0" fillId="0" borderId="0" xfId="1" applyNumberFormat="1" applyFont="1"/>
    <xf numFmtId="164" fontId="0" fillId="3" borderId="0" xfId="1" applyNumberFormat="1" applyFont="1" applyFill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43" fontId="0" fillId="0" borderId="0" xfId="1" applyFont="1"/>
    <xf numFmtId="0" fontId="12" fillId="0" borderId="0" xfId="0" applyFont="1"/>
    <xf numFmtId="0" fontId="0" fillId="0" borderId="12" xfId="0" applyBorder="1"/>
    <xf numFmtId="0" fontId="2" fillId="0" borderId="13" xfId="0" applyFont="1" applyBorder="1"/>
    <xf numFmtId="9" fontId="4" fillId="0" borderId="0" xfId="3" applyFont="1"/>
    <xf numFmtId="9" fontId="0" fillId="0" borderId="0" xfId="3" applyFont="1"/>
    <xf numFmtId="0" fontId="0" fillId="0" borderId="0" xfId="0" quotePrefix="1"/>
    <xf numFmtId="0" fontId="14" fillId="0" borderId="0" xfId="2" applyFont="1" applyProtection="1"/>
    <xf numFmtId="9" fontId="0" fillId="0" borderId="9" xfId="0" applyNumberFormat="1" applyBorder="1"/>
    <xf numFmtId="0" fontId="8" fillId="0" borderId="0" xfId="2" applyBorder="1"/>
    <xf numFmtId="164" fontId="0" fillId="0" borderId="9" xfId="0" applyNumberFormat="1" applyBorder="1"/>
    <xf numFmtId="164" fontId="2" fillId="0" borderId="0" xfId="1" applyNumberFormat="1" applyFont="1"/>
    <xf numFmtId="164" fontId="0" fillId="0" borderId="12" xfId="0" applyNumberFormat="1" applyBorder="1"/>
    <xf numFmtId="164" fontId="4" fillId="0" borderId="0" xfId="0" applyNumberFormat="1" applyFont="1"/>
    <xf numFmtId="164" fontId="2" fillId="0" borderId="13" xfId="0" applyNumberFormat="1" applyFont="1" applyBorder="1"/>
    <xf numFmtId="164" fontId="0" fillId="0" borderId="0" xfId="1" applyNumberFormat="1" applyFont="1" applyFill="1"/>
    <xf numFmtId="164" fontId="15" fillId="0" borderId="0" xfId="0" applyNumberFormat="1" applyFont="1"/>
    <xf numFmtId="0" fontId="0" fillId="4" borderId="0" xfId="0" applyFill="1"/>
    <xf numFmtId="0" fontId="0" fillId="4" borderId="10" xfId="0" applyFill="1" applyBorder="1"/>
    <xf numFmtId="9" fontId="13" fillId="2" borderId="14" xfId="0" applyNumberFormat="1" applyFont="1" applyFill="1" applyBorder="1"/>
    <xf numFmtId="9" fontId="13" fillId="2" borderId="0" xfId="0" applyNumberFormat="1" applyFont="1" applyFill="1"/>
    <xf numFmtId="43" fontId="0" fillId="0" borderId="10" xfId="0" applyNumberFormat="1" applyBorder="1"/>
    <xf numFmtId="167" fontId="0" fillId="0" borderId="0" xfId="1" applyNumberFormat="1" applyFont="1"/>
    <xf numFmtId="0" fontId="2" fillId="0" borderId="16" xfId="0" applyFont="1" applyBorder="1"/>
    <xf numFmtId="0" fontId="0" fillId="0" borderId="17" xfId="0" applyBorder="1"/>
    <xf numFmtId="0" fontId="0" fillId="0" borderId="15" xfId="0" applyBorder="1"/>
    <xf numFmtId="164" fontId="0" fillId="0" borderId="0" xfId="1" applyNumberFormat="1" applyFont="1" applyBorder="1"/>
    <xf numFmtId="167" fontId="0" fillId="0" borderId="0" xfId="1" applyNumberFormat="1" applyFont="1" applyBorder="1"/>
    <xf numFmtId="9" fontId="4" fillId="0" borderId="0" xfId="3" applyFont="1" applyBorder="1"/>
    <xf numFmtId="164" fontId="2" fillId="0" borderId="0" xfId="1" applyNumberFormat="1" applyFont="1" applyBorder="1"/>
    <xf numFmtId="164" fontId="0" fillId="3" borderId="0" xfId="1" applyNumberFormat="1" applyFont="1" applyFill="1" applyBorder="1"/>
    <xf numFmtId="164" fontId="0" fillId="0" borderId="0" xfId="1" applyNumberFormat="1" applyFont="1" applyBorder="1" applyProtection="1"/>
    <xf numFmtId="43" fontId="0" fillId="0" borderId="0" xfId="1" applyFont="1" applyBorder="1" applyProtection="1"/>
    <xf numFmtId="0" fontId="0" fillId="0" borderId="18" xfId="0" applyBorder="1"/>
    <xf numFmtId="0" fontId="2" fillId="0" borderId="9" xfId="0" applyFont="1" applyBorder="1"/>
    <xf numFmtId="167" fontId="0" fillId="0" borderId="9" xfId="0" applyNumberFormat="1" applyBorder="1"/>
    <xf numFmtId="164" fontId="0" fillId="0" borderId="10" xfId="0" applyNumberFormat="1" applyBorder="1"/>
    <xf numFmtId="0" fontId="15" fillId="0" borderId="2" xfId="0" applyFont="1" applyBorder="1"/>
    <xf numFmtId="0" fontId="4" fillId="5" borderId="23" xfId="0" applyFont="1" applyFill="1" applyBorder="1" applyAlignment="1">
      <alignment horizontal="center"/>
    </xf>
    <xf numFmtId="0" fontId="16" fillId="5" borderId="22" xfId="0" applyFont="1" applyFill="1" applyBorder="1"/>
    <xf numFmtId="0" fontId="6" fillId="2" borderId="19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/>
    </xf>
    <xf numFmtId="0" fontId="17" fillId="6" borderId="19" xfId="0" applyFont="1" applyFill="1" applyBorder="1" applyAlignment="1">
      <alignment horizontal="left"/>
    </xf>
    <xf numFmtId="0" fontId="17" fillId="6" borderId="20" xfId="0" applyFont="1" applyFill="1" applyBorder="1" applyAlignment="1">
      <alignment horizontal="left"/>
    </xf>
    <xf numFmtId="0" fontId="17" fillId="6" borderId="21" xfId="0" applyFont="1" applyFill="1" applyBorder="1" applyAlignment="1">
      <alignment horizontal="left"/>
    </xf>
    <xf numFmtId="0" fontId="0" fillId="5" borderId="0" xfId="0" applyFill="1" applyAlignment="1">
      <alignment horizontal="center"/>
    </xf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1"/>
                </a:solidFill>
              </a:rPr>
              <a:t>Cost of Sale</a:t>
            </a:r>
          </a:p>
        </c:rich>
      </c:tx>
      <c:layout>
        <c:manualLayout>
          <c:xMode val="edge"/>
          <c:yMode val="edge"/>
          <c:x val="0.40171979159950366"/>
          <c:y val="2.19178610818929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Summary!$E$12</c:f>
              <c:strCache>
                <c:ptCount val="1"/>
                <c:pt idx="0">
                  <c:v>2020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Summary!$D$14</c:f>
              <c:strCache>
                <c:ptCount val="1"/>
                <c:pt idx="0">
                  <c:v>COS</c:v>
                </c:pt>
              </c:strCache>
            </c:strRef>
          </c:cat>
          <c:val>
            <c:numRef>
              <c:f>Summary!$E$14</c:f>
              <c:numCache>
                <c:formatCode>_(* #,##0_);_(* \(#,##0\);_(* "-"??_);_(@_)</c:formatCode>
                <c:ptCount val="1"/>
                <c:pt idx="0">
                  <c:v>388800000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1C-4FDC-8A06-2577F04CABE1}"/>
            </c:ext>
          </c:extLst>
        </c:ser>
        <c:ser>
          <c:idx val="1"/>
          <c:order val="1"/>
          <c:tx>
            <c:strRef>
              <c:f>Summary!$F$12</c:f>
              <c:strCache>
                <c:ptCount val="1"/>
                <c:pt idx="0">
                  <c:v>2021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Summary!$D$14</c:f>
              <c:strCache>
                <c:ptCount val="1"/>
                <c:pt idx="0">
                  <c:v>COS</c:v>
                </c:pt>
              </c:strCache>
            </c:strRef>
          </c:cat>
          <c:val>
            <c:numRef>
              <c:f>Summary!$F$14</c:f>
              <c:numCache>
                <c:formatCode>_(* #,##0_);_(* \(#,##0\);_(* "-"??_);_(@_)</c:formatCode>
                <c:ptCount val="1"/>
                <c:pt idx="0">
                  <c:v>450360000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1C-4FDC-8A06-2577F04CABE1}"/>
            </c:ext>
          </c:extLst>
        </c:ser>
        <c:ser>
          <c:idx val="2"/>
          <c:order val="2"/>
          <c:tx>
            <c:strRef>
              <c:f>Summary!$G$12</c:f>
              <c:strCache>
                <c:ptCount val="1"/>
                <c:pt idx="0">
                  <c:v>2022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Summary!$D$14</c:f>
              <c:strCache>
                <c:ptCount val="1"/>
                <c:pt idx="0">
                  <c:v>COS</c:v>
                </c:pt>
              </c:strCache>
            </c:strRef>
          </c:cat>
          <c:val>
            <c:numRef>
              <c:f>Summary!$G$14</c:f>
              <c:numCache>
                <c:formatCode>_(* #,##0_);_(* \(#,##0\);_(* "-"??_);_(@_)</c:formatCode>
                <c:ptCount val="1"/>
                <c:pt idx="0">
                  <c:v>577476000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1C-4FDC-8A06-2577F04CABE1}"/>
            </c:ext>
          </c:extLst>
        </c:ser>
        <c:ser>
          <c:idx val="3"/>
          <c:order val="3"/>
          <c:tx>
            <c:strRef>
              <c:f>Summary!$H$12</c:f>
              <c:strCache>
                <c:ptCount val="1"/>
                <c:pt idx="0">
                  <c:v>2023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Summary!$D$14</c:f>
              <c:strCache>
                <c:ptCount val="1"/>
                <c:pt idx="0">
                  <c:v>COS</c:v>
                </c:pt>
              </c:strCache>
            </c:strRef>
          </c:cat>
          <c:val>
            <c:numRef>
              <c:f>Summary!$H$14</c:f>
              <c:numCache>
                <c:formatCode>_(* #,##0_);_(* \(#,##0\);_(* "-"??_);_(@_)</c:formatCode>
                <c:ptCount val="1"/>
                <c:pt idx="0">
                  <c:v>670464000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21C-4FDC-8A06-2577F04CABE1}"/>
            </c:ext>
          </c:extLst>
        </c:ser>
        <c:ser>
          <c:idx val="4"/>
          <c:order val="4"/>
          <c:tx>
            <c:strRef>
              <c:f>Summary!$I$12</c:f>
              <c:strCache>
                <c:ptCount val="1"/>
                <c:pt idx="0">
                  <c:v>2024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Summary!$D$14</c:f>
              <c:strCache>
                <c:ptCount val="1"/>
                <c:pt idx="0">
                  <c:v>COS</c:v>
                </c:pt>
              </c:strCache>
            </c:strRef>
          </c:cat>
          <c:val>
            <c:numRef>
              <c:f>Summary!$I$14</c:f>
              <c:numCache>
                <c:formatCode>_(* #,##0_);_(* \(#,##0\);_(* "-"??_);_(@_)</c:formatCode>
                <c:ptCount val="1"/>
                <c:pt idx="0">
                  <c:v>813240000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21C-4FDC-8A06-2577F04CA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0"/>
        <c:overlap val="-100"/>
        <c:axId val="1284716736"/>
        <c:axId val="1284729696"/>
      </c:barChart>
      <c:catAx>
        <c:axId val="12847167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84729696"/>
        <c:crosses val="autoZero"/>
        <c:auto val="1"/>
        <c:lblAlgn val="ctr"/>
        <c:lblOffset val="100"/>
        <c:noMultiLvlLbl val="0"/>
      </c:catAx>
      <c:valAx>
        <c:axId val="128472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71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888888888888889E-2"/>
          <c:y val="0.19432888597258677"/>
          <c:w val="0.93888888888888888"/>
          <c:h val="0.69827172645086033"/>
        </c:manualLayout>
      </c:layout>
      <c:lineChart>
        <c:grouping val="stacked"/>
        <c:varyColors val="0"/>
        <c:ser>
          <c:idx val="0"/>
          <c:order val="0"/>
          <c:tx>
            <c:strRef>
              <c:f>Summary!$D$18</c:f>
              <c:strCache>
                <c:ptCount val="1"/>
                <c:pt idx="0">
                  <c:v>Net Profit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0099321959755031"/>
                  <c:y val="-6.94444444444445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7DC-451E-9257-FB999FE198C6}"/>
                </c:ext>
              </c:extLst>
            </c:dLbl>
            <c:dLbl>
              <c:idx val="1"/>
              <c:layout>
                <c:manualLayout>
                  <c:x val="-0.11488210848643919"/>
                  <c:y val="-8.33333333333334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7DC-451E-9257-FB999FE198C6}"/>
                </c:ext>
              </c:extLst>
            </c:dLbl>
            <c:dLbl>
              <c:idx val="2"/>
              <c:layout>
                <c:manualLayout>
                  <c:x val="-0.1204376640419948"/>
                  <c:y val="-6.94444444444444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7DC-451E-9257-FB999FE198C6}"/>
                </c:ext>
              </c:extLst>
            </c:dLbl>
            <c:dLbl>
              <c:idx val="3"/>
              <c:layout>
                <c:manualLayout>
                  <c:x val="-0.12165988626421698"/>
                  <c:y val="-7.8703703703703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7DC-451E-9257-FB999FE198C6}"/>
                </c:ext>
              </c:extLst>
            </c:dLbl>
            <c:dLbl>
              <c:idx val="4"/>
              <c:layout>
                <c:manualLayout>
                  <c:x val="-3.4729221347331585E-2"/>
                  <c:y val="-6.94444444444444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7DC-451E-9257-FB999FE198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Summary!$E$12:$I$12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Summary!$E$18:$I$18</c:f>
              <c:numCache>
                <c:formatCode>_(* #,##0_);_(* \(#,##0\);_(* "-"??_);_(@_)</c:formatCode>
                <c:ptCount val="5"/>
                <c:pt idx="0">
                  <c:v>614000235.33343446</c:v>
                </c:pt>
                <c:pt idx="1">
                  <c:v>734122037.13357043</c:v>
                </c:pt>
                <c:pt idx="2">
                  <c:v>860178593.63374281</c:v>
                </c:pt>
                <c:pt idx="3">
                  <c:v>1199482929.8361959</c:v>
                </c:pt>
                <c:pt idx="4">
                  <c:v>1345191062.9880757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DC-451E-9257-FB999FE198C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0930080"/>
        <c:axId val="70930560"/>
      </c:lineChart>
      <c:catAx>
        <c:axId val="7093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30560"/>
        <c:crosses val="autoZero"/>
        <c:auto val="1"/>
        <c:lblAlgn val="ctr"/>
        <c:lblOffset val="100"/>
        <c:noMultiLvlLbl val="0"/>
      </c:catAx>
      <c:valAx>
        <c:axId val="7093056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crossAx val="7093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Summary!$D$22</c:f>
              <c:strCache>
                <c:ptCount val="1"/>
                <c:pt idx="0">
                  <c:v>Current Assets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Summary!$E$12:$I$12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Summary!$E$22:$I$22</c:f>
              <c:numCache>
                <c:formatCode>_(* #,##0_);_(* \(#,##0\);_(* "-"??_);_(@_)</c:formatCode>
                <c:ptCount val="5"/>
                <c:pt idx="0">
                  <c:v>670757792.66195083</c:v>
                </c:pt>
                <c:pt idx="1">
                  <c:v>1445416159.867276</c:v>
                </c:pt>
                <c:pt idx="2">
                  <c:v>2165687786.5826387</c:v>
                </c:pt>
                <c:pt idx="3">
                  <c:v>3195907590.6141129</c:v>
                </c:pt>
                <c:pt idx="4">
                  <c:v>4355358769.0383892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F6-4061-BD83-310AFC0BD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2187232"/>
        <c:axId val="1292183392"/>
      </c:areaChart>
      <c:catAx>
        <c:axId val="1292187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183392"/>
        <c:crosses val="autoZero"/>
        <c:auto val="1"/>
        <c:lblAlgn val="ctr"/>
        <c:lblOffset val="100"/>
        <c:noMultiLvlLbl val="0"/>
      </c:catAx>
      <c:valAx>
        <c:axId val="129218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187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Summary!$D$37</c:f>
              <c:strCache>
                <c:ptCount val="1"/>
                <c:pt idx="0">
                  <c:v>Net Margin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Summary!$E$12:$I$12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Summary!$E$37:$I$37</c:f>
              <c:numCache>
                <c:formatCode>0%</c:formatCode>
                <c:ptCount val="5"/>
                <c:pt idx="0">
                  <c:v>0.4584828519514893</c:v>
                </c:pt>
                <c:pt idx="1">
                  <c:v>0.47645511236602445</c:v>
                </c:pt>
                <c:pt idx="2">
                  <c:v>0.47183747676065407</c:v>
                </c:pt>
                <c:pt idx="3">
                  <c:v>0.50822102308156902</c:v>
                </c:pt>
                <c:pt idx="4">
                  <c:v>0.50632003274167259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D8-4A2A-AE59-C26E5ABD612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67991856"/>
        <c:axId val="467995696"/>
      </c:lineChart>
      <c:catAx>
        <c:axId val="46799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995696"/>
        <c:crosses val="autoZero"/>
        <c:auto val="1"/>
        <c:lblAlgn val="ctr"/>
        <c:lblOffset val="100"/>
        <c:noMultiLvlLbl val="0"/>
      </c:catAx>
      <c:valAx>
        <c:axId val="467995696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467991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ROA &amp; ROE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Summary!$D$41</c:f>
              <c:strCache>
                <c:ptCount val="1"/>
                <c:pt idx="0">
                  <c:v>Return on Assets (ROA)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Summary!$E$12:$I$12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Summary!$E$41:$I$41</c:f>
              <c:numCache>
                <c:formatCode>0%</c:formatCode>
                <c:ptCount val="5"/>
                <c:pt idx="0">
                  <c:v>1.3437840691412211</c:v>
                </c:pt>
                <c:pt idx="1">
                  <c:v>0.6400073820184029</c:v>
                </c:pt>
                <c:pt idx="2">
                  <c:v>0.45383580769441023</c:v>
                </c:pt>
                <c:pt idx="3">
                  <c:v>0.43263733817909589</c:v>
                </c:pt>
                <c:pt idx="4">
                  <c:v>0.34872602166460198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4E-423F-A42B-6306C6273FE6}"/>
            </c:ext>
          </c:extLst>
        </c:ser>
        <c:ser>
          <c:idx val="1"/>
          <c:order val="1"/>
          <c:tx>
            <c:strRef>
              <c:f>Summary!$D$42</c:f>
              <c:strCache>
                <c:ptCount val="1"/>
                <c:pt idx="0">
                  <c:v>Return on Equity (ROE)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Summary!$E$12:$I$12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Summary!$E$42:$I$42</c:f>
              <c:numCache>
                <c:formatCode>0%</c:formatCode>
                <c:ptCount val="5"/>
                <c:pt idx="0">
                  <c:v>0.8617212054486082</c:v>
                </c:pt>
                <c:pt idx="1">
                  <c:v>0.49884290717308244</c:v>
                </c:pt>
                <c:pt idx="2">
                  <c:v>0.38973206546743194</c:v>
                </c:pt>
                <c:pt idx="3">
                  <c:v>0.37105133260940582</c:v>
                </c:pt>
                <c:pt idx="4">
                  <c:v>0.30692513005874977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4E-423F-A42B-6306C6273FE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80712224"/>
        <c:axId val="480712704"/>
      </c:barChart>
      <c:catAx>
        <c:axId val="48071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712704"/>
        <c:crosses val="autoZero"/>
        <c:auto val="1"/>
        <c:lblAlgn val="ctr"/>
        <c:lblOffset val="100"/>
        <c:noMultiLvlLbl val="0"/>
      </c:catAx>
      <c:valAx>
        <c:axId val="48071270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48071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Summary!$D$35</c:f>
              <c:strCache>
                <c:ptCount val="1"/>
                <c:pt idx="0">
                  <c:v>Gross Profit Margin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dLbl>
              <c:idx val="0"/>
              <c:layout>
                <c:manualLayout>
                  <c:x val="0.41111111111111109"/>
                  <c:y val="-1.38888888888888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699-42AD-A2EE-8C435060D612}"/>
                </c:ext>
              </c:extLst>
            </c:dLbl>
            <c:dLbl>
              <c:idx val="1"/>
              <c:layout>
                <c:manualLayout>
                  <c:x val="0.39444444444444432"/>
                  <c:y val="-4.629629629629544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699-42AD-A2EE-8C435060D612}"/>
                </c:ext>
              </c:extLst>
            </c:dLbl>
            <c:dLbl>
              <c:idx val="2"/>
              <c:layout>
                <c:manualLayout>
                  <c:x val="0.22222222222222221"/>
                  <c:y val="-8.4875562720133283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699-42AD-A2EE-8C435060D612}"/>
                </c:ext>
              </c:extLst>
            </c:dLbl>
            <c:dLbl>
              <c:idx val="3"/>
              <c:layout>
                <c:manualLayout>
                  <c:x val="0.45555555555555555"/>
                  <c:y val="-1.38888888888888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699-42AD-A2EE-8C435060D612}"/>
                </c:ext>
              </c:extLst>
            </c:dLbl>
            <c:dLbl>
              <c:idx val="4"/>
              <c:layout>
                <c:manualLayout>
                  <c:x val="0.30555555555555558"/>
                  <c:y val="-1.85185185185185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699-42AD-A2EE-8C435060D61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Summary!$E$12:$I$12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Summary!$E$35:$I$35</c:f>
              <c:numCache>
                <c:formatCode>0%</c:formatCode>
                <c:ptCount val="5"/>
                <c:pt idx="0">
                  <c:v>0.70967741935483875</c:v>
                </c:pt>
                <c:pt idx="1">
                  <c:v>0.70771028037383177</c:v>
                </c:pt>
                <c:pt idx="2">
                  <c:v>0.68323459715639812</c:v>
                </c:pt>
                <c:pt idx="3">
                  <c:v>0.71592434411226358</c:v>
                </c:pt>
                <c:pt idx="4">
                  <c:v>0.69390243902439019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699-42AD-A2EE-8C435060D61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292186752"/>
        <c:axId val="1292192992"/>
        <c:axId val="0"/>
      </c:bar3DChart>
      <c:catAx>
        <c:axId val="1292186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192992"/>
        <c:crosses val="autoZero"/>
        <c:auto val="1"/>
        <c:lblAlgn val="ctr"/>
        <c:lblOffset val="100"/>
        <c:noMultiLvlLbl val="0"/>
      </c:catAx>
      <c:valAx>
        <c:axId val="129219299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92186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Summary!$D$13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9A-4815-9FCD-0F56AFDED6E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9A-4815-9FCD-0F56AFDED6E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9A-4815-9FCD-0F56AFDED6E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59A-4815-9FCD-0F56AFDED6EA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59A-4815-9FCD-0F56AFDED6EA}"/>
              </c:ext>
            </c:extLst>
          </c:dPt>
          <c:cat>
            <c:numRef>
              <c:f>Summary!$E$12:$I$12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Summary!$E$13:$I$13</c:f>
              <c:numCache>
                <c:formatCode>_(* #,##0_);_(* \(#,##0\);_(* "-"??_);_(@_)</c:formatCode>
                <c:ptCount val="5"/>
                <c:pt idx="0">
                  <c:v>1339200000</c:v>
                </c:pt>
                <c:pt idx="1">
                  <c:v>1540800000</c:v>
                </c:pt>
                <c:pt idx="2">
                  <c:v>1823040000</c:v>
                </c:pt>
                <c:pt idx="3">
                  <c:v>2360160000</c:v>
                </c:pt>
                <c:pt idx="4">
                  <c:v>2656800000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59A-4815-9FCD-0F56AFDED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9896399"/>
        <c:axId val="749900719"/>
      </c:barChart>
      <c:catAx>
        <c:axId val="749896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900719"/>
        <c:crosses val="autoZero"/>
        <c:auto val="1"/>
        <c:lblAlgn val="ctr"/>
        <c:lblOffset val="100"/>
        <c:noMultiLvlLbl val="0"/>
      </c:catAx>
      <c:valAx>
        <c:axId val="74990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896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35" fmlaLink="$BE$1" fmlaRange="$BF$1:$BF$3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2.png"/><Relationship Id="rId1" Type="http://schemas.openxmlformats.org/officeDocument/2006/relationships/customXml" Target="../ink/ink1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258536</xdr:colOff>
      <xdr:row>4</xdr:row>
      <xdr:rowOff>166686</xdr:rowOff>
    </xdr:from>
    <xdr:to>
      <xdr:col>25</xdr:col>
      <xdr:colOff>597012</xdr:colOff>
      <xdr:row>22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8CD586F-D7FD-4764-BE34-6E3C757E7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8504</xdr:colOff>
      <xdr:row>4</xdr:row>
      <xdr:rowOff>142874</xdr:rowOff>
    </xdr:from>
    <xdr:to>
      <xdr:col>9</xdr:col>
      <xdr:colOff>329973</xdr:colOff>
      <xdr:row>22</xdr:row>
      <xdr:rowOff>202405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E0D0703-C841-42F4-96B4-A9BF7233AC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142875</xdr:colOff>
      <xdr:row>24</xdr:row>
      <xdr:rowOff>10204</xdr:rowOff>
    </xdr:from>
    <xdr:to>
      <xdr:col>9</xdr:col>
      <xdr:colOff>353785</xdr:colOff>
      <xdr:row>41</xdr:row>
      <xdr:rowOff>122464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817B774-BCFC-4EF5-B542-EA496B8396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287450</xdr:colOff>
      <xdr:row>23</xdr:row>
      <xdr:rowOff>185397</xdr:rowOff>
    </xdr:from>
    <xdr:to>
      <xdr:col>25</xdr:col>
      <xdr:colOff>595314</xdr:colOff>
      <xdr:row>41</xdr:row>
      <xdr:rowOff>68035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5B58575-B6EB-4F0D-800E-7D1EC7FDDE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79941</xdr:colOff>
      <xdr:row>41</xdr:row>
      <xdr:rowOff>62933</xdr:rowOff>
    </xdr:from>
    <xdr:to>
      <xdr:col>18</xdr:col>
      <xdr:colOff>1</xdr:colOff>
      <xdr:row>59</xdr:row>
      <xdr:rowOff>49327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1D88104-2D74-4961-98EF-D8450A3F3E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81642</xdr:colOff>
      <xdr:row>23</xdr:row>
      <xdr:rowOff>190499</xdr:rowOff>
    </xdr:from>
    <xdr:to>
      <xdr:col>17</xdr:col>
      <xdr:colOff>598713</xdr:colOff>
      <xdr:row>41</xdr:row>
      <xdr:rowOff>54428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A41A9B6-5269-48D5-8E18-DD3E536BBF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83344</xdr:colOff>
      <xdr:row>4</xdr:row>
      <xdr:rowOff>166687</xdr:rowOff>
    </xdr:from>
    <xdr:to>
      <xdr:col>17</xdr:col>
      <xdr:colOff>595312</xdr:colOff>
      <xdr:row>22</xdr:row>
      <xdr:rowOff>202404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F3B7F4-51D2-4F61-8A18-E4AA91C3FF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333375</xdr:colOff>
          <xdr:row>3</xdr:row>
          <xdr:rowOff>180975</xdr:rowOff>
        </xdr:from>
        <xdr:to>
          <xdr:col>4</xdr:col>
          <xdr:colOff>257175</xdr:colOff>
          <xdr:row>5</xdr:row>
          <xdr:rowOff>9525</xdr:rowOff>
        </xdr:to>
        <xdr:sp macro="" textlink="">
          <xdr:nvSpPr>
            <xdr:cNvPr id="5122" name="Drop Down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3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2013555</xdr:colOff>
      <xdr:row>21</xdr:row>
      <xdr:rowOff>163153</xdr:rowOff>
    </xdr:from>
    <xdr:to>
      <xdr:col>2</xdr:col>
      <xdr:colOff>2013915</xdr:colOff>
      <xdr:row>21</xdr:row>
      <xdr:rowOff>163513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00000000-0008-0000-0800-000014000000}"/>
                </a:ext>
              </a:extLst>
            </xdr14:cNvPr>
            <xdr14:cNvContentPartPr/>
          </xdr14:nvContentPartPr>
          <xdr14:nvPr macro=""/>
          <xdr14:xfrm>
            <a:off x="2889360" y="4086958"/>
            <a:ext cx="360" cy="36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312C35A9-9F24-4897-9934-B5C45880241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885040" y="4082638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2122275</xdr:colOff>
      <xdr:row>30</xdr:row>
      <xdr:rowOff>14492</xdr:rowOff>
    </xdr:from>
    <xdr:to>
      <xdr:col>2</xdr:col>
      <xdr:colOff>2266275</xdr:colOff>
      <xdr:row>31</xdr:row>
      <xdr:rowOff>119053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00000000-0008-0000-0800-000018000000}"/>
                </a:ext>
              </a:extLst>
            </xdr14:cNvPr>
            <xdr14:cNvContentPartPr/>
          </xdr14:nvContentPartPr>
          <xdr14:nvPr macro=""/>
          <xdr14:xfrm>
            <a:off x="2998080" y="5585998"/>
            <a:ext cx="144000" cy="28764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3A6179C0-3E2A-4FD5-B16D-62AC85D85E6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993749" y="5581673"/>
              <a:ext cx="152662" cy="296291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5-29T13:13:17.588"/>
    </inkml:context>
    <inkml:brush xml:id="br0">
      <inkml:brushProperty name="width" value="0.025" units="cm"/>
      <inkml:brushProperty name="height" value="0.025" units="cm"/>
      <inkml:brushProperty name="color" value="#FF0066"/>
      <inkml:brushProperty name="ignorePressure" value="1"/>
    </inkml:brush>
  </inkml:definitions>
  <inkml:trace contextRef="#ctx0" brushRef="#br0">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5-29T13:13:19.094"/>
    </inkml:context>
    <inkml:brush xml:id="br0">
      <inkml:brushProperty name="width" value="0.025" units="cm"/>
      <inkml:brushProperty name="height" value="0.025" units="cm"/>
      <inkml:brushProperty name="color" value="#FF0066"/>
      <inkml:brushProperty name="ignorePressure" value="1"/>
    </inkml:brush>
  </inkml:definitions>
  <inkml:trace contextRef="#ctx0" brushRef="#br0">138 1</inkml:trace>
  <inkml:trace contextRef="#ctx0" brushRef="#br0" timeOffset="388.97">1 798,'0'0</inkml:trace>
  <inkml:trace contextRef="#ctx0" brushRef="#br0" timeOffset="869.69">399 536,'0'0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3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4CECF7C-506F-4228-9279-EC1F48532771}">
  <we:reference id="wa104380801" version="1.5.0.0" store="en-US" storeType="OMEX"/>
  <we:alternateReferences>
    <we:reference id="wa104380801" version="1.5.0.0" store="wa1043808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BD2D-26AA-479E-A203-430FA3A65306}">
  <sheetPr>
    <tabColor theme="4"/>
  </sheetPr>
  <dimension ref="B1:O43"/>
  <sheetViews>
    <sheetView showGridLines="0" zoomScale="80" zoomScaleNormal="80" workbookViewId="0">
      <selection activeCell="M8" sqref="M8"/>
    </sheetView>
  </sheetViews>
  <sheetFormatPr defaultRowHeight="15" x14ac:dyDescent="0.25"/>
  <cols>
    <col min="2" max="2" width="5.140625" customWidth="1"/>
    <col min="3" max="3" width="4.7109375" customWidth="1"/>
    <col min="4" max="4" width="36.28515625" customWidth="1"/>
    <col min="5" max="9" width="16.28515625" customWidth="1"/>
    <col min="10" max="10" width="18.140625" customWidth="1"/>
    <col min="14" max="14" width="11.140625" customWidth="1"/>
    <col min="15" max="15" width="11.85546875" customWidth="1"/>
  </cols>
  <sheetData>
    <row r="1" spans="2:15" ht="15.75" thickBot="1" x14ac:dyDescent="0.3"/>
    <row r="2" spans="2:15" s="11" customFormat="1" x14ac:dyDescent="0.25">
      <c r="B2" s="8"/>
      <c r="C2" s="9"/>
      <c r="D2" s="9"/>
      <c r="E2" s="9"/>
      <c r="F2" s="9"/>
      <c r="G2" s="9" t="str">
        <f>Scenarios!K1</f>
        <v>Currently running scenario: Optimistic</v>
      </c>
      <c r="H2" s="9"/>
      <c r="I2" s="9"/>
      <c r="J2" s="9"/>
      <c r="K2" s="9" t="s">
        <v>289</v>
      </c>
      <c r="L2" s="9"/>
      <c r="M2" s="9"/>
      <c r="N2" s="9"/>
      <c r="O2" s="10"/>
    </row>
    <row r="3" spans="2:15" ht="28.5" x14ac:dyDescent="0.45">
      <c r="B3" s="1"/>
      <c r="D3" s="7" t="s">
        <v>287</v>
      </c>
      <c r="O3" s="2"/>
    </row>
    <row r="4" spans="2:15" x14ac:dyDescent="0.25">
      <c r="B4" s="1"/>
      <c r="O4" s="2"/>
    </row>
    <row r="5" spans="2:15" x14ac:dyDescent="0.25">
      <c r="B5" s="1"/>
      <c r="D5" s="6" t="s">
        <v>44</v>
      </c>
      <c r="O5" s="2"/>
    </row>
    <row r="6" spans="2:15" x14ac:dyDescent="0.25">
      <c r="B6" s="1"/>
      <c r="N6" s="54"/>
      <c r="O6" s="2"/>
    </row>
    <row r="7" spans="2:15" x14ac:dyDescent="0.25">
      <c r="B7" s="1"/>
      <c r="D7" s="12" t="s">
        <v>0</v>
      </c>
      <c r="E7" s="55">
        <f>'Model Inputs'!J94+'Model Inputs'!J96</f>
        <v>100000000</v>
      </c>
      <c r="N7" s="51"/>
      <c r="O7" s="2"/>
    </row>
    <row r="8" spans="2:15" x14ac:dyDescent="0.25">
      <c r="B8" s="1"/>
      <c r="D8" s="12" t="s">
        <v>1</v>
      </c>
      <c r="E8" s="55">
        <f ca="1">'DCF Valuation '!C17</f>
        <v>5798286619.8830738</v>
      </c>
      <c r="N8" s="51"/>
      <c r="O8" s="2"/>
    </row>
    <row r="9" spans="2:15" x14ac:dyDescent="0.25">
      <c r="B9" s="1"/>
      <c r="D9" s="12"/>
      <c r="E9" s="55"/>
      <c r="N9" s="51"/>
      <c r="O9" s="2"/>
    </row>
    <row r="10" spans="2:15" x14ac:dyDescent="0.25">
      <c r="B10" s="1"/>
      <c r="N10" s="51"/>
      <c r="O10" s="2"/>
    </row>
    <row r="11" spans="2:15" x14ac:dyDescent="0.25">
      <c r="B11" s="1"/>
      <c r="D11" s="70"/>
      <c r="E11" s="70"/>
      <c r="F11" s="70"/>
      <c r="G11" s="70"/>
      <c r="H11" s="70"/>
      <c r="I11" s="70"/>
      <c r="J11" s="70"/>
      <c r="O11" s="2"/>
    </row>
    <row r="12" spans="2:15" x14ac:dyDescent="0.25">
      <c r="B12" s="1"/>
      <c r="C12" s="6" t="s">
        <v>2</v>
      </c>
      <c r="D12" s="79"/>
      <c r="E12" s="79">
        <v>2020</v>
      </c>
      <c r="F12" s="79">
        <v>2021</v>
      </c>
      <c r="G12" s="79">
        <v>2022</v>
      </c>
      <c r="H12" s="79">
        <v>2023</v>
      </c>
      <c r="I12" s="79">
        <v>2024</v>
      </c>
      <c r="J12" s="68"/>
      <c r="O12" s="2"/>
    </row>
    <row r="13" spans="2:15" x14ac:dyDescent="0.25">
      <c r="B13" s="1"/>
      <c r="D13" s="13" t="s">
        <v>3</v>
      </c>
      <c r="E13" s="55">
        <f>'Income Statement'!K11</f>
        <v>1339200000</v>
      </c>
      <c r="F13" s="55">
        <f>'Income Statement'!L11</f>
        <v>1540800000</v>
      </c>
      <c r="G13" s="55">
        <f>'Income Statement'!M11</f>
        <v>1823040000</v>
      </c>
      <c r="H13" s="55">
        <f>'Income Statement'!N11</f>
        <v>2360160000</v>
      </c>
      <c r="I13" s="55">
        <f>'Income Statement'!O11</f>
        <v>2656800000</v>
      </c>
      <c r="J13" s="69"/>
      <c r="O13" s="2"/>
    </row>
    <row r="14" spans="2:15" x14ac:dyDescent="0.25">
      <c r="B14" s="1"/>
      <c r="D14" s="13" t="s">
        <v>4</v>
      </c>
      <c r="E14" s="55">
        <f>-'Income Statement'!K13</f>
        <v>388800000</v>
      </c>
      <c r="F14" s="55">
        <f>-'Income Statement'!L13</f>
        <v>450360000</v>
      </c>
      <c r="G14" s="55">
        <f>-'Income Statement'!M13</f>
        <v>577476000</v>
      </c>
      <c r="H14" s="55">
        <f>-'Income Statement'!N13</f>
        <v>670464000</v>
      </c>
      <c r="I14" s="55">
        <f>-'Income Statement'!O13</f>
        <v>813240000</v>
      </c>
      <c r="J14" s="69"/>
      <c r="K14" s="78"/>
      <c r="O14" s="2"/>
    </row>
    <row r="15" spans="2:15" x14ac:dyDescent="0.25">
      <c r="B15" s="1"/>
      <c r="D15" s="13" t="s">
        <v>5</v>
      </c>
      <c r="E15" s="55">
        <f>'Income Statement'!K14</f>
        <v>950400000</v>
      </c>
      <c r="F15" s="55">
        <f>'Income Statement'!L14</f>
        <v>1090440000</v>
      </c>
      <c r="G15" s="55">
        <f>'Income Statement'!M14</f>
        <v>1245564000</v>
      </c>
      <c r="H15" s="55">
        <f>'Income Statement'!N14</f>
        <v>1689696000</v>
      </c>
      <c r="I15" s="55">
        <f>'Income Statement'!O14</f>
        <v>1843560000</v>
      </c>
      <c r="J15" s="69"/>
      <c r="O15" s="2"/>
    </row>
    <row r="16" spans="2:15" x14ac:dyDescent="0.25">
      <c r="B16" s="1"/>
      <c r="D16" s="13" t="s">
        <v>7</v>
      </c>
      <c r="E16" s="55">
        <f>'Income Statement'!K29</f>
        <v>870148610.30126333</v>
      </c>
      <c r="F16" s="55">
        <f>'Income Statement'!L29</f>
        <v>1007769610.3012633</v>
      </c>
      <c r="G16" s="55">
        <f>'Income Statement'!M29</f>
        <v>1149169760.9329445</v>
      </c>
      <c r="H16" s="55">
        <f>'Income Statement'!N29</f>
        <v>1589232760.9329445</v>
      </c>
      <c r="I16" s="55">
        <f>'Income Statement'!O29</f>
        <v>1741777760.9329445</v>
      </c>
      <c r="J16" s="69"/>
      <c r="O16" s="2"/>
    </row>
    <row r="17" spans="2:15" x14ac:dyDescent="0.25">
      <c r="B17" s="1"/>
      <c r="D17" s="13" t="s">
        <v>6</v>
      </c>
      <c r="E17" s="55">
        <f>'Income Statement'!K24</f>
        <v>882072419.82507288</v>
      </c>
      <c r="F17" s="55">
        <f>'Income Statement'!L24</f>
        <v>1019943419.8250729</v>
      </c>
      <c r="G17" s="55">
        <f>'Income Statement'!M24</f>
        <v>1164326903.7900875</v>
      </c>
      <c r="H17" s="55">
        <f>'Income Statement'!N24</f>
        <v>1606289903.7900875</v>
      </c>
      <c r="I17" s="55">
        <f>'Income Statement'!O24</f>
        <v>1757984903.7900875</v>
      </c>
      <c r="J17" s="69"/>
      <c r="O17" s="2"/>
    </row>
    <row r="18" spans="2:15" x14ac:dyDescent="0.25">
      <c r="B18" s="1"/>
      <c r="D18" s="13" t="s">
        <v>8</v>
      </c>
      <c r="E18" s="55">
        <f ca="1">'Income Statement'!K39</f>
        <v>614000235.33343446</v>
      </c>
      <c r="F18" s="55">
        <f ca="1">'Income Statement'!L39</f>
        <v>734122037.13357043</v>
      </c>
      <c r="G18" s="55">
        <f ca="1">'Income Statement'!M39</f>
        <v>860178593.63374281</v>
      </c>
      <c r="H18" s="55">
        <f ca="1">'Income Statement'!N39</f>
        <v>1199482929.8361959</v>
      </c>
      <c r="I18" s="55">
        <f ca="1">'Income Statement'!O39</f>
        <v>1345191062.9880757</v>
      </c>
      <c r="J18" s="69"/>
      <c r="O18" s="2"/>
    </row>
    <row r="19" spans="2:15" x14ac:dyDescent="0.25">
      <c r="B19" s="1"/>
      <c r="E19" s="25"/>
      <c r="F19" s="25"/>
      <c r="G19" s="25"/>
      <c r="H19" s="25"/>
      <c r="I19" s="25"/>
      <c r="O19" s="2"/>
    </row>
    <row r="20" spans="2:15" x14ac:dyDescent="0.25">
      <c r="B20" s="1"/>
      <c r="C20" s="6" t="s">
        <v>9</v>
      </c>
      <c r="E20" s="25"/>
      <c r="F20" s="25"/>
      <c r="G20" s="25"/>
      <c r="H20" s="25"/>
      <c r="I20" s="25"/>
      <c r="O20" s="2"/>
    </row>
    <row r="21" spans="2:15" x14ac:dyDescent="0.25">
      <c r="B21" s="1"/>
      <c r="D21" s="13" t="s">
        <v>10</v>
      </c>
      <c r="E21" s="55">
        <f>'Balance Sheet'!K8</f>
        <v>94552380.952380955</v>
      </c>
      <c r="F21" s="55">
        <f>'Balance Sheet'!L8</f>
        <v>83378571.428571433</v>
      </c>
      <c r="G21" s="55">
        <f>'Balance Sheet'!M8</f>
        <v>96221428.571428567</v>
      </c>
      <c r="H21" s="55">
        <f>'Balance Sheet'!N8</f>
        <v>87164285.714285702</v>
      </c>
      <c r="I21" s="55">
        <f>'Balance Sheet'!O8</f>
        <v>76457142.857142851</v>
      </c>
      <c r="J21" s="13"/>
      <c r="O21" s="2"/>
    </row>
    <row r="22" spans="2:15" x14ac:dyDescent="0.25">
      <c r="B22" s="1"/>
      <c r="D22" s="13" t="s">
        <v>11</v>
      </c>
      <c r="E22" s="55">
        <f ca="1">'Balance Sheet'!K13</f>
        <v>670757792.66195083</v>
      </c>
      <c r="F22" s="55">
        <f ca="1">'Balance Sheet'!L13</f>
        <v>1445416159.867276</v>
      </c>
      <c r="G22" s="55">
        <f ca="1">'Balance Sheet'!M13</f>
        <v>2165687786.5826387</v>
      </c>
      <c r="H22" s="55">
        <f ca="1">'Balance Sheet'!N13</f>
        <v>3195907590.6141129</v>
      </c>
      <c r="I22" s="55">
        <f ca="1">'Balance Sheet'!O13</f>
        <v>4355358769.0383892</v>
      </c>
      <c r="J22" s="13"/>
      <c r="O22" s="2"/>
    </row>
    <row r="23" spans="2:15" x14ac:dyDescent="0.25">
      <c r="B23" s="1"/>
      <c r="D23" s="13" t="s">
        <v>12</v>
      </c>
      <c r="E23" s="55">
        <f>'Balance Sheet'!K23</f>
        <v>40000000</v>
      </c>
      <c r="F23" s="55">
        <f>'Balance Sheet'!L23</f>
        <v>30000000</v>
      </c>
      <c r="G23" s="55">
        <f>'Balance Sheet'!M23</f>
        <v>20000000</v>
      </c>
      <c r="H23" s="55">
        <f>'Balance Sheet'!N23</f>
        <v>10000000</v>
      </c>
      <c r="I23" s="55">
        <f>'Balance Sheet'!O23</f>
        <v>0</v>
      </c>
      <c r="J23" s="13"/>
      <c r="O23" s="2"/>
    </row>
    <row r="24" spans="2:15" x14ac:dyDescent="0.25">
      <c r="B24" s="1"/>
      <c r="D24" s="13" t="s">
        <v>13</v>
      </c>
      <c r="E24" s="55">
        <f ca="1">'Balance Sheet'!K28</f>
        <v>12782465.753424658</v>
      </c>
      <c r="F24" s="55">
        <f ca="1">'Balance Sheet'!L28</f>
        <v>27144986.301369864</v>
      </c>
      <c r="G24" s="55">
        <f ca="1">'Balance Sheet'!M28</f>
        <v>34806772.602739729</v>
      </c>
      <c r="H24" s="55">
        <f ca="1">'Balance Sheet'!N28</f>
        <v>40411528.767123282</v>
      </c>
      <c r="I24" s="55">
        <f ca="1">'Balance Sheet'!O28</f>
        <v>49017205.479452059</v>
      </c>
      <c r="J24" s="13"/>
      <c r="O24" s="2"/>
    </row>
    <row r="25" spans="2:15" x14ac:dyDescent="0.25">
      <c r="B25" s="1"/>
      <c r="D25" s="13" t="s">
        <v>14</v>
      </c>
      <c r="E25" s="55">
        <f ca="1">'Balance Sheet'!K33</f>
        <v>712527707.86090696</v>
      </c>
      <c r="F25" s="55">
        <f ca="1">'Balance Sheet'!L33</f>
        <v>1471649744.9944773</v>
      </c>
      <c r="G25" s="55">
        <f ca="1">'Balance Sheet'!M33</f>
        <v>2207102442.5513272</v>
      </c>
      <c r="H25" s="55">
        <f ca="1">'Balance Sheet'!N33</f>
        <v>3232660347.5612745</v>
      </c>
      <c r="I25" s="55">
        <f ca="1">'Balance Sheet'!O33</f>
        <v>4382798706.4160805</v>
      </c>
      <c r="J25" s="13"/>
      <c r="O25" s="2"/>
    </row>
    <row r="26" spans="2:15" x14ac:dyDescent="0.25">
      <c r="B26" s="1"/>
      <c r="E26" s="25"/>
      <c r="F26" s="25"/>
      <c r="G26" s="25"/>
      <c r="H26" s="25"/>
      <c r="I26" s="25"/>
      <c r="O26" s="2"/>
    </row>
    <row r="27" spans="2:15" x14ac:dyDescent="0.25">
      <c r="B27" s="1"/>
      <c r="C27" s="6" t="s">
        <v>15</v>
      </c>
      <c r="E27" s="25"/>
      <c r="F27" s="25"/>
      <c r="G27" s="25"/>
      <c r="H27" s="25"/>
      <c r="I27" s="25"/>
      <c r="O27" s="2"/>
    </row>
    <row r="28" spans="2:15" x14ac:dyDescent="0.25">
      <c r="B28" s="1"/>
      <c r="D28" s="13" t="s">
        <v>16</v>
      </c>
      <c r="E28" s="55">
        <f ca="1">Cashflow!K8</f>
        <v>558686174.15379679</v>
      </c>
      <c r="F28" s="55">
        <f ca="1">Cashflow!L8</f>
        <v>708606045.7893548</v>
      </c>
      <c r="G28" s="55">
        <f ca="1">Cashflow!M8</f>
        <v>786712666.59676099</v>
      </c>
      <c r="H28" s="55">
        <f ca="1">Cashflow!N8</f>
        <v>1070266382.7839681</v>
      </c>
      <c r="I28" s="55">
        <f ca="1">Cashflow!O8</f>
        <v>1172352344.1141801</v>
      </c>
      <c r="J28" s="13"/>
      <c r="O28" s="2"/>
    </row>
    <row r="29" spans="2:15" x14ac:dyDescent="0.25">
      <c r="B29" s="1"/>
      <c r="D29" s="13" t="s">
        <v>17</v>
      </c>
      <c r="E29" s="55">
        <f ca="1">Cashflow!K21</f>
        <v>-23005416.967785615</v>
      </c>
      <c r="F29" s="55">
        <f ca="1">Cashflow!L21</f>
        <v>47976157.032408752</v>
      </c>
      <c r="G29" s="55">
        <f ca="1">Cashflow!M21</f>
        <v>57656801.400973901</v>
      </c>
      <c r="H29" s="55">
        <f ca="1">Cashflow!N21</f>
        <v>120314281.69019276</v>
      </c>
      <c r="I29" s="55">
        <f ca="1">Cashflow!O21</f>
        <v>176423757.62144956</v>
      </c>
      <c r="J29" s="13"/>
      <c r="O29" s="2"/>
    </row>
    <row r="30" spans="2:15" x14ac:dyDescent="0.25">
      <c r="B30" s="1"/>
      <c r="D30" s="13" t="s">
        <v>18</v>
      </c>
      <c r="E30" s="55">
        <f ca="1">Cashflow!K29</f>
        <v>-20000000</v>
      </c>
      <c r="F30" s="55">
        <f ca="1">Cashflow!L29</f>
        <v>7000000</v>
      </c>
      <c r="G30" s="55">
        <f ca="1">Cashflow!M29</f>
        <v>-140725896.07689273</v>
      </c>
      <c r="H30" s="55">
        <f ca="1">Cashflow!N29</f>
        <v>-187925024.82624841</v>
      </c>
      <c r="I30" s="55">
        <f ca="1">Cashflow!O29</f>
        <v>-207052704.13327098</v>
      </c>
      <c r="J30" s="13"/>
      <c r="O30" s="2"/>
    </row>
    <row r="31" spans="2:15" x14ac:dyDescent="0.25">
      <c r="B31" s="1"/>
      <c r="D31" s="13" t="s">
        <v>19</v>
      </c>
      <c r="E31" s="55">
        <f ca="1">Cashflow!K38</f>
        <v>515680757.1860112</v>
      </c>
      <c r="F31" s="55">
        <f ca="1">Cashflow!L38</f>
        <v>763582202.82176352</v>
      </c>
      <c r="G31" s="55">
        <f ca="1">Cashflow!M38</f>
        <v>703643571.92084217</v>
      </c>
      <c r="H31" s="55">
        <f ca="1">Cashflow!N38</f>
        <v>1002655639.6479125</v>
      </c>
      <c r="I31" s="55">
        <f ca="1">Cashflow!O38</f>
        <v>1141723397.6023586</v>
      </c>
      <c r="J31" s="13"/>
      <c r="O31" s="2"/>
    </row>
    <row r="32" spans="2:15" x14ac:dyDescent="0.25">
      <c r="B32" s="1"/>
      <c r="D32" s="13" t="s">
        <v>20</v>
      </c>
      <c r="E32" s="55">
        <f ca="1">Cashflow!K47</f>
        <v>532680757.1860112</v>
      </c>
      <c r="F32" s="55">
        <f ca="1">Cashflow!L47</f>
        <v>754182202.82176352</v>
      </c>
      <c r="G32" s="55">
        <f ca="1">Cashflow!M47</f>
        <v>842569467.9977349</v>
      </c>
      <c r="H32" s="55">
        <f ca="1">Cashflow!N47</f>
        <v>1189380664.4741609</v>
      </c>
      <c r="I32" s="55">
        <f ca="1">Cashflow!O47</f>
        <v>1348176101.7356296</v>
      </c>
      <c r="J32" s="13"/>
      <c r="O32" s="2"/>
    </row>
    <row r="33" spans="2:15" x14ac:dyDescent="0.25">
      <c r="B33" s="1"/>
      <c r="O33" s="2"/>
    </row>
    <row r="34" spans="2:15" x14ac:dyDescent="0.25">
      <c r="B34" s="1"/>
      <c r="C34" s="6" t="s">
        <v>21</v>
      </c>
      <c r="O34" s="2"/>
    </row>
    <row r="35" spans="2:15" x14ac:dyDescent="0.25">
      <c r="B35" s="1"/>
      <c r="D35" s="13" t="s">
        <v>22</v>
      </c>
      <c r="E35" s="53">
        <f>'Financial Ratios '!K29</f>
        <v>0.70967741935483875</v>
      </c>
      <c r="F35" s="53">
        <f>'Financial Ratios '!L29</f>
        <v>0.70771028037383177</v>
      </c>
      <c r="G35" s="53">
        <f>'Financial Ratios '!M29</f>
        <v>0.68323459715639812</v>
      </c>
      <c r="H35" s="53">
        <f>'Financial Ratios '!N29</f>
        <v>0.71592434411226358</v>
      </c>
      <c r="I35" s="53">
        <f>'Financial Ratios '!O29</f>
        <v>0.69390243902439019</v>
      </c>
      <c r="J35" s="13"/>
      <c r="O35" s="2"/>
    </row>
    <row r="36" spans="2:15" x14ac:dyDescent="0.25">
      <c r="B36" s="1"/>
      <c r="D36" s="13" t="s">
        <v>23</v>
      </c>
      <c r="E36" s="53">
        <f>'Financial Ratios '!K30</f>
        <v>0.64975254652125403</v>
      </c>
      <c r="F36" s="53">
        <f>'Financial Ratios '!L30</f>
        <v>0.6540560814520141</v>
      </c>
      <c r="G36" s="53">
        <f>'Financial Ratios '!M30</f>
        <v>0.63035904913383389</v>
      </c>
      <c r="H36" s="53">
        <f>'Financial Ratios '!N30</f>
        <v>0.67335806086576522</v>
      </c>
      <c r="I36" s="53">
        <f>'Financial Ratios '!O30</f>
        <v>0.65559235205244826</v>
      </c>
      <c r="J36" s="13"/>
      <c r="O36" s="2"/>
    </row>
    <row r="37" spans="2:15" x14ac:dyDescent="0.25">
      <c r="B37" s="1"/>
      <c r="D37" s="13" t="s">
        <v>24</v>
      </c>
      <c r="E37" s="53">
        <f ca="1">'Financial Ratios '!K31</f>
        <v>0.4584828519514893</v>
      </c>
      <c r="F37" s="53">
        <f ca="1">'Financial Ratios '!L31</f>
        <v>0.47645511236602445</v>
      </c>
      <c r="G37" s="53">
        <f ca="1">'Financial Ratios '!M31</f>
        <v>0.47183747676065407</v>
      </c>
      <c r="H37" s="53">
        <f ca="1">'Financial Ratios '!N31</f>
        <v>0.50822102308156902</v>
      </c>
      <c r="I37" s="53">
        <f ca="1">'Financial Ratios '!O31</f>
        <v>0.50632003274167259</v>
      </c>
      <c r="J37" s="13"/>
      <c r="O37" s="2"/>
    </row>
    <row r="38" spans="2:15" x14ac:dyDescent="0.25">
      <c r="B38" s="1"/>
      <c r="D38" s="13" t="s">
        <v>25</v>
      </c>
      <c r="E38" s="80">
        <f ca="1">'Financial Ratios '!K25</f>
        <v>87.01486103012634</v>
      </c>
      <c r="F38" s="80">
        <f ca="1">'Financial Ratios '!L25</f>
        <v>125.97120128765792</v>
      </c>
      <c r="G38" s="80">
        <f ca="1">'Financial Ratios '!M25</f>
        <v>191.52829348882409</v>
      </c>
      <c r="H38" s="80">
        <f ca="1">'Financial Ratios '!N25</f>
        <v>397.30819023323613</v>
      </c>
      <c r="I38" s="80">
        <f ca="1">'Financial Ratios '!O25</f>
        <v>870.8888804664723</v>
      </c>
      <c r="J38" s="13"/>
      <c r="O38" s="2"/>
    </row>
    <row r="39" spans="2:15" x14ac:dyDescent="0.25">
      <c r="B39" s="1"/>
      <c r="D39" s="13" t="s">
        <v>26</v>
      </c>
      <c r="E39" s="80">
        <f ca="1">'Financial Ratios '!K8</f>
        <v>52.474835888548533</v>
      </c>
      <c r="F39" s="80">
        <f ca="1">'Financial Ratios '!L8</f>
        <v>53.247997395170295</v>
      </c>
      <c r="G39" s="80">
        <f ca="1">'Financial Ratios '!M8</f>
        <v>62.220298655675187</v>
      </c>
      <c r="H39" s="80">
        <f ca="1">'Financial Ratios '!N8</f>
        <v>79.084055667157457</v>
      </c>
      <c r="I39" s="80">
        <f ca="1">'Financial Ratios '!O8</f>
        <v>88.85367344868628</v>
      </c>
      <c r="J39" s="13"/>
      <c r="O39" s="2"/>
    </row>
    <row r="40" spans="2:15" x14ac:dyDescent="0.25">
      <c r="B40" s="1"/>
      <c r="D40" s="13" t="s">
        <v>27</v>
      </c>
      <c r="E40" s="80">
        <f ca="1">'Financial Ratios '!J24</f>
        <v>0.50747267454829359</v>
      </c>
      <c r="F40" s="80">
        <f ca="1">'Financial Ratios '!K24</f>
        <v>7.4077772935853839E-2</v>
      </c>
      <c r="G40" s="80">
        <f ca="1">'Financial Ratios '!L24</f>
        <v>3.8830561752711282E-2</v>
      </c>
      <c r="H40" s="80">
        <f ca="1">'Financial Ratios '!M24</f>
        <v>2.4832002151828153E-2</v>
      </c>
      <c r="I40" s="80">
        <f ca="1">'Financial Ratios '!N24</f>
        <v>1.5594440289761292E-2</v>
      </c>
      <c r="J40" s="13"/>
      <c r="O40" s="2"/>
    </row>
    <row r="41" spans="2:15" x14ac:dyDescent="0.25">
      <c r="B41" s="1"/>
      <c r="D41" s="13" t="s">
        <v>28</v>
      </c>
      <c r="E41" s="53">
        <f ca="1">'Financial Ratios '!K32</f>
        <v>1.3437840691412211</v>
      </c>
      <c r="F41" s="53">
        <f ca="1">'Financial Ratios '!L32</f>
        <v>0.6400073820184029</v>
      </c>
      <c r="G41" s="53">
        <f ca="1">'Financial Ratios '!M32</f>
        <v>0.45383580769441023</v>
      </c>
      <c r="H41" s="53">
        <f ca="1">'Financial Ratios '!N32</f>
        <v>0.43263733817909589</v>
      </c>
      <c r="I41" s="53">
        <f ca="1">'Financial Ratios '!O32</f>
        <v>0.34872602166460198</v>
      </c>
      <c r="J41" s="13"/>
      <c r="O41" s="2"/>
    </row>
    <row r="42" spans="2:15" x14ac:dyDescent="0.25">
      <c r="B42" s="1"/>
      <c r="D42" s="13" t="s">
        <v>29</v>
      </c>
      <c r="E42" s="53">
        <f ca="1">'Financial Ratios '!K33</f>
        <v>0.8617212054486082</v>
      </c>
      <c r="F42" s="53">
        <f ca="1">'Financial Ratios '!L33</f>
        <v>0.49884290717308244</v>
      </c>
      <c r="G42" s="53">
        <f ca="1">'Financial Ratios '!M33</f>
        <v>0.38973206546743194</v>
      </c>
      <c r="H42" s="53">
        <f ca="1">'Financial Ratios '!N33</f>
        <v>0.37105133260940582</v>
      </c>
      <c r="I42" s="53">
        <f ca="1">'Financial Ratios '!O33</f>
        <v>0.30692513005874977</v>
      </c>
      <c r="J42" s="13"/>
      <c r="O42" s="2"/>
    </row>
    <row r="43" spans="2:15" ht="15.75" thickBot="1" x14ac:dyDescent="0.3"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5"/>
    </row>
  </sheetData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5B1D8BF1-1D68-456E-B20F-B8195E7B2F20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Summary!E35:I35</xm:f>
              <xm:sqref>J35</xm:sqref>
            </x14:sparkline>
            <x14:sparkline>
              <xm:f>Summary!E36:I36</xm:f>
              <xm:sqref>J36</xm:sqref>
            </x14:sparkline>
            <x14:sparkline>
              <xm:f>Summary!E37:I37</xm:f>
              <xm:sqref>J37</xm:sqref>
            </x14:sparkline>
            <x14:sparkline>
              <xm:f>Summary!E38:I38</xm:f>
              <xm:sqref>J38</xm:sqref>
            </x14:sparkline>
            <x14:sparkline>
              <xm:f>Summary!E39:I39</xm:f>
              <xm:sqref>J39</xm:sqref>
            </x14:sparkline>
            <x14:sparkline>
              <xm:f>Summary!E40:I40</xm:f>
              <xm:sqref>J40</xm:sqref>
            </x14:sparkline>
            <x14:sparkline>
              <xm:f>Summary!E41:I41</xm:f>
              <xm:sqref>J41</xm:sqref>
            </x14:sparkline>
            <x14:sparkline>
              <xm:f>Summary!E42:I42</xm:f>
              <xm:sqref>J42</xm:sqref>
            </x14:sparkline>
          </x14:sparklines>
        </x14:sparklineGroup>
        <x14:sparklineGroup displayEmptyCellsAs="gap" xr2:uid="{297E7FD5-6915-4CFC-AF4A-F055415D87D9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Summary!E28:I28</xm:f>
              <xm:sqref>J28</xm:sqref>
            </x14:sparkline>
            <x14:sparkline>
              <xm:f>Summary!E29:I29</xm:f>
              <xm:sqref>J29</xm:sqref>
            </x14:sparkline>
            <x14:sparkline>
              <xm:f>Summary!E30:I30</xm:f>
              <xm:sqref>J30</xm:sqref>
            </x14:sparkline>
            <x14:sparkline>
              <xm:f>Summary!E31:I31</xm:f>
              <xm:sqref>J31</xm:sqref>
            </x14:sparkline>
            <x14:sparkline>
              <xm:f>Summary!E32:I32</xm:f>
              <xm:sqref>J32</xm:sqref>
            </x14:sparkline>
          </x14:sparklines>
        </x14:sparklineGroup>
        <x14:sparklineGroup displayEmptyCellsAs="gap" xr2:uid="{6A1D1654-D0F9-448F-AA59-DBEAC2FB7A3A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Summary!E21:I21</xm:f>
              <xm:sqref>J21</xm:sqref>
            </x14:sparkline>
            <x14:sparkline>
              <xm:f>Summary!E22:I22</xm:f>
              <xm:sqref>J22</xm:sqref>
            </x14:sparkline>
            <x14:sparkline>
              <xm:f>Summary!E23:I23</xm:f>
              <xm:sqref>J23</xm:sqref>
            </x14:sparkline>
            <x14:sparkline>
              <xm:f>Summary!E24:I24</xm:f>
              <xm:sqref>J24</xm:sqref>
            </x14:sparkline>
            <x14:sparkline>
              <xm:f>Summary!E25:I25</xm:f>
              <xm:sqref>J25</xm:sqref>
            </x14:sparkline>
          </x14:sparklines>
        </x14:sparklineGroup>
        <x14:sparklineGroup displayEmptyCellsAs="gap" xr2:uid="{F3C80B5D-BB70-4E95-9FBC-77A7747FCD48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Summary!E13:I13</xm:f>
              <xm:sqref>J13</xm:sqref>
            </x14:sparkline>
            <x14:sparkline>
              <xm:f>Summary!E14:I14</xm:f>
              <xm:sqref>J14</xm:sqref>
            </x14:sparkline>
            <x14:sparkline>
              <xm:f>Summary!E15:I15</xm:f>
              <xm:sqref>J15</xm:sqref>
            </x14:sparkline>
            <x14:sparkline>
              <xm:f>Summary!E16:I16</xm:f>
              <xm:sqref>J16</xm:sqref>
            </x14:sparkline>
            <x14:sparkline>
              <xm:f>Summary!E17:I17</xm:f>
              <xm:sqref>J17</xm:sqref>
            </x14:sparkline>
            <x14:sparkline>
              <xm:f>Summary!E18:I18</xm:f>
              <xm:sqref>J18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9B3C-491A-4D3B-A2D6-93C778B68482}">
  <sheetPr>
    <tabColor theme="4"/>
  </sheetPr>
  <dimension ref="B1:T19"/>
  <sheetViews>
    <sheetView showGridLines="0" tabSelected="1" zoomScale="80" zoomScaleNormal="80" workbookViewId="0">
      <selection activeCell="C8" sqref="C8"/>
    </sheetView>
  </sheetViews>
  <sheetFormatPr defaultRowHeight="15" x14ac:dyDescent="0.25"/>
  <sheetData>
    <row r="1" spans="2:20" s="11" customFormat="1" x14ac:dyDescent="0.25">
      <c r="C1" s="11" t="str">
        <f>Summary!D3</f>
        <v>M-pharmaceutical</v>
      </c>
      <c r="K1" s="11" t="str">
        <f>Scenarios!K1</f>
        <v>Currently running scenario: Optimistic</v>
      </c>
      <c r="T1" s="11" t="str">
        <f>Summary!K2</f>
        <v>Last Updated: 20-January-2025</v>
      </c>
    </row>
    <row r="3" spans="2:20" ht="21" x14ac:dyDescent="0.35">
      <c r="B3" s="15" t="s">
        <v>30</v>
      </c>
      <c r="C3" s="15"/>
      <c r="D3" s="15"/>
      <c r="E3" s="15"/>
      <c r="F3" s="15"/>
      <c r="G3" s="15"/>
      <c r="H3" s="15"/>
    </row>
    <row r="5" spans="2:20" x14ac:dyDescent="0.25">
      <c r="B5">
        <v>1</v>
      </c>
      <c r="C5" s="17" t="s">
        <v>31</v>
      </c>
    </row>
    <row r="6" spans="2:20" x14ac:dyDescent="0.25">
      <c r="B6">
        <v>2</v>
      </c>
      <c r="C6" s="17" t="s">
        <v>32</v>
      </c>
    </row>
    <row r="7" spans="2:20" x14ac:dyDescent="0.25">
      <c r="B7">
        <v>3</v>
      </c>
      <c r="C7" s="17" t="s">
        <v>33</v>
      </c>
    </row>
    <row r="8" spans="2:20" x14ac:dyDescent="0.25">
      <c r="B8">
        <v>4</v>
      </c>
      <c r="C8" s="17" t="s">
        <v>34</v>
      </c>
    </row>
    <row r="9" spans="2:20" x14ac:dyDescent="0.25">
      <c r="B9">
        <v>5</v>
      </c>
      <c r="C9" s="17" t="s">
        <v>35</v>
      </c>
    </row>
    <row r="10" spans="2:20" x14ac:dyDescent="0.25">
      <c r="B10">
        <v>6</v>
      </c>
      <c r="C10" s="17" t="s">
        <v>36</v>
      </c>
    </row>
    <row r="11" spans="2:20" x14ac:dyDescent="0.25">
      <c r="B11">
        <v>7</v>
      </c>
      <c r="C11" s="17" t="s">
        <v>37</v>
      </c>
    </row>
    <row r="12" spans="2:20" x14ac:dyDescent="0.25">
      <c r="B12">
        <v>8</v>
      </c>
      <c r="C12" s="17" t="s">
        <v>38</v>
      </c>
    </row>
    <row r="13" spans="2:20" x14ac:dyDescent="0.25">
      <c r="B13">
        <v>9</v>
      </c>
      <c r="C13" s="17" t="s">
        <v>39</v>
      </c>
    </row>
    <row r="14" spans="2:20" x14ac:dyDescent="0.25">
      <c r="B14">
        <v>10</v>
      </c>
      <c r="C14" s="17" t="s">
        <v>40</v>
      </c>
    </row>
    <row r="15" spans="2:20" x14ac:dyDescent="0.25">
      <c r="B15">
        <v>11</v>
      </c>
      <c r="C15" s="17" t="s">
        <v>2</v>
      </c>
    </row>
    <row r="16" spans="2:20" x14ac:dyDescent="0.25">
      <c r="B16">
        <v>12</v>
      </c>
      <c r="C16" s="17" t="s">
        <v>9</v>
      </c>
    </row>
    <row r="17" spans="2:3" x14ac:dyDescent="0.25">
      <c r="B17">
        <v>13</v>
      </c>
      <c r="C17" s="17" t="s">
        <v>41</v>
      </c>
    </row>
    <row r="18" spans="2:3" x14ac:dyDescent="0.25">
      <c r="B18">
        <v>14</v>
      </c>
      <c r="C18" s="17" t="s">
        <v>42</v>
      </c>
    </row>
    <row r="19" spans="2:3" x14ac:dyDescent="0.25">
      <c r="B19">
        <v>15</v>
      </c>
      <c r="C19" s="17" t="s">
        <v>43</v>
      </c>
    </row>
  </sheetData>
  <hyperlinks>
    <hyperlink ref="C5" location="'Model Inputs'!A1" display="Model Inputs and Financial Plans" xr:uid="{D91F8E8F-EF9E-4E06-8B36-CD4AD0F12966}"/>
    <hyperlink ref="C6" location="'Director and Staff Costs'!A1" display="Director and Staff Costs" xr:uid="{B5FC9785-E518-4B92-BB91-66BB4113425A}"/>
    <hyperlink ref="C7" location="Scenarios!A1" display="Scenarios" xr:uid="{50092991-C62A-40E5-A3C1-2FE0EF6162E6}"/>
    <hyperlink ref="C8" location="Revenue!A1" display="Revenue Schedule" xr:uid="{799B0A27-653F-43BA-9614-715F61079AB8}"/>
    <hyperlink ref="C9" location="'Cost of Sales'!A1" display="Cost of Sales Schedule" xr:uid="{0C33790E-38EE-4E4D-85B8-F472AA5409E1}"/>
    <hyperlink ref="C10" location="'Working Capital'!A1" display="Working Capital Schedule" xr:uid="{AC5BF149-932E-46E0-A248-5D681C034C55}"/>
    <hyperlink ref="C11" location="Depreciation!A1" display="Depreciation Schedule" xr:uid="{8E88331E-53B4-4B50-B967-F13DEF896193}"/>
    <hyperlink ref="C12" location="Debt!A1" display="Debt Schedule" xr:uid="{1423DA8E-0D87-4B20-AD95-F71AD859A9A1}"/>
    <hyperlink ref="C13" location="Equity!A1" display="Equity Schedule" xr:uid="{82B0B78E-8D36-4568-812A-858565CBE601}"/>
    <hyperlink ref="C14" location="Tax!A1" display="Tax Schedule" xr:uid="{A3CE582C-EF84-43EE-A3B3-7F198ADD909D}"/>
    <hyperlink ref="C15" location="'Income Statement'!A1" display="Income Statement" xr:uid="{43F0C1FC-C25F-4EA3-AB25-CCA145F1BA6E}"/>
    <hyperlink ref="C16" location="'Balance Sheet'!A1" display="Balance Sheet" xr:uid="{FBD258E7-D3A3-4066-906E-03499F505C42}"/>
    <hyperlink ref="C17" location="Cashflow!A1" display="Cashflow Statement" xr:uid="{39E1FEB4-DEC7-4304-B337-091B262DFF52}"/>
    <hyperlink ref="C18" location="'DCF Valuation'!A1" display="DCF Valuation" xr:uid="{2C6B043B-CF3E-4CAC-AD26-4912D7B2BC4F}"/>
    <hyperlink ref="C19" location="'Financial Ratios'!A1" display="Financial Ratios &amp; Charts" xr:uid="{A6FE7907-3528-47FF-949E-6352975D25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348E3-55C7-4136-9BF2-386DA77BCFE5}">
  <sheetPr>
    <tabColor theme="7"/>
  </sheetPr>
  <dimension ref="B1:AA24"/>
  <sheetViews>
    <sheetView showGridLines="0" zoomScale="80" zoomScaleNormal="80" workbookViewId="0">
      <selection activeCell="C24" sqref="C24:Z24"/>
    </sheetView>
  </sheetViews>
  <sheetFormatPr defaultRowHeight="15" x14ac:dyDescent="0.25"/>
  <cols>
    <col min="1" max="1" width="2.7109375" customWidth="1"/>
    <col min="2" max="2" width="2.42578125" style="83" customWidth="1"/>
    <col min="19" max="19" width="6.85546875" customWidth="1"/>
    <col min="27" max="27" width="2.85546875" style="84" customWidth="1"/>
    <col min="29" max="30" width="9.140625" customWidth="1"/>
    <col min="31" max="31" width="18.5703125" customWidth="1"/>
  </cols>
  <sheetData>
    <row r="1" spans="2:27" s="11" customFormat="1" x14ac:dyDescent="0.25">
      <c r="B1" s="83"/>
      <c r="C1" s="8"/>
      <c r="D1" s="82" t="str">
        <f>Summary!D3</f>
        <v>M-pharmaceutical</v>
      </c>
      <c r="E1" s="9"/>
      <c r="F1" s="9"/>
      <c r="G1" s="9"/>
      <c r="H1" s="9"/>
      <c r="I1" s="9"/>
      <c r="J1" s="9"/>
      <c r="K1" s="9"/>
      <c r="L1" s="82" t="str">
        <f>Scenarios!K1</f>
        <v>Currently running scenario: Optimistic</v>
      </c>
      <c r="M1" s="9"/>
      <c r="N1" s="9"/>
      <c r="O1" s="9"/>
      <c r="P1" s="9"/>
      <c r="Q1" s="9"/>
      <c r="R1" s="9"/>
      <c r="S1" s="9"/>
      <c r="T1" s="9"/>
      <c r="U1" s="82" t="str">
        <f>Summary!K2</f>
        <v>Last Updated: 20-January-2025</v>
      </c>
      <c r="V1" s="9"/>
      <c r="W1" s="9"/>
      <c r="X1" s="9"/>
      <c r="Y1" s="9"/>
      <c r="Z1" s="10"/>
      <c r="AA1" s="84"/>
    </row>
    <row r="2" spans="2:27" x14ac:dyDescent="0.25"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</row>
    <row r="3" spans="2:27" ht="21" x14ac:dyDescent="0.35">
      <c r="C3" s="85" t="s">
        <v>285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7"/>
    </row>
    <row r="4" spans="2:27" ht="15.75" x14ac:dyDescent="0.25">
      <c r="C4" s="88" t="s">
        <v>286</v>
      </c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90"/>
    </row>
    <row r="24" spans="3:26" x14ac:dyDescent="0.25"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</row>
  </sheetData>
  <mergeCells count="5">
    <mergeCell ref="B1:B1048576"/>
    <mergeCell ref="AA1:AA1048576"/>
    <mergeCell ref="C3:Z3"/>
    <mergeCell ref="C4:Z4"/>
    <mergeCell ref="C24:Z2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C67-C58D-486C-8981-F0F554C35EBF}">
  <sheetPr>
    <tabColor theme="7"/>
  </sheetPr>
  <dimension ref="A1:BF88"/>
  <sheetViews>
    <sheetView showGridLines="0" zoomScale="80" zoomScaleNormal="80" workbookViewId="0">
      <selection activeCell="E6" sqref="E6"/>
    </sheetView>
  </sheetViews>
  <sheetFormatPr defaultRowHeight="15" x14ac:dyDescent="0.25"/>
  <cols>
    <col min="5" max="5" width="11.42578125" bestFit="1" customWidth="1"/>
    <col min="8" max="8" width="9.42578125" customWidth="1"/>
    <col min="9" max="9" width="20.85546875" bestFit="1" customWidth="1"/>
    <col min="10" max="10" width="8.7109375" customWidth="1"/>
    <col min="11" max="14" width="9.28515625" bestFit="1" customWidth="1"/>
    <col min="15" max="15" width="20.28515625" bestFit="1" customWidth="1"/>
    <col min="16" max="18" width="12.28515625" bestFit="1" customWidth="1"/>
    <col min="19" max="19" width="13.42578125" bestFit="1" customWidth="1"/>
  </cols>
  <sheetData>
    <row r="1" spans="1:58" s="14" customFormat="1" x14ac:dyDescent="0.25">
      <c r="C1" s="14" t="str">
        <f>Summary!D3</f>
        <v>M-pharmaceutical</v>
      </c>
      <c r="K1" s="14" t="str" cm="1">
        <f t="array" ref="K1">"Currently running scenario: "&amp;INDEX($BF$1:$BF$3,$BE$1)</f>
        <v>Currently running scenario: Optimistic</v>
      </c>
      <c r="O1" s="52" t="s">
        <v>237</v>
      </c>
      <c r="X1" s="14" t="str">
        <f>Summary!K2</f>
        <v>Last Updated: 20-January-2025</v>
      </c>
      <c r="BE1" s="14">
        <v>1</v>
      </c>
      <c r="BF1" s="14" t="s">
        <v>127</v>
      </c>
    </row>
    <row r="2" spans="1:58" x14ac:dyDescent="0.25">
      <c r="BF2" t="s">
        <v>128</v>
      </c>
    </row>
    <row r="3" spans="1:58" ht="21" x14ac:dyDescent="0.35">
      <c r="B3" s="16" t="s">
        <v>33</v>
      </c>
      <c r="C3" s="16"/>
      <c r="D3" s="16"/>
      <c r="E3" s="16"/>
      <c r="F3" s="16"/>
      <c r="G3" s="16"/>
      <c r="H3" s="16"/>
      <c r="I3" s="16"/>
      <c r="J3" s="16"/>
      <c r="K3" s="16"/>
      <c r="L3" s="16"/>
      <c r="BF3" t="s">
        <v>129</v>
      </c>
    </row>
    <row r="5" spans="1:58" x14ac:dyDescent="0.25">
      <c r="B5" t="s">
        <v>126</v>
      </c>
      <c r="D5" t="s">
        <v>128</v>
      </c>
    </row>
    <row r="7" spans="1:58" x14ac:dyDescent="0.25">
      <c r="A7" s="18"/>
      <c r="B7" s="19"/>
      <c r="C7" s="20"/>
      <c r="D7" s="20"/>
      <c r="E7" s="20"/>
      <c r="F7" s="21"/>
      <c r="G7" s="21"/>
      <c r="H7" s="21"/>
      <c r="I7" s="21"/>
      <c r="J7" s="21"/>
      <c r="K7" s="22">
        <v>2016</v>
      </c>
      <c r="L7" s="22">
        <v>2017</v>
      </c>
      <c r="M7" s="22">
        <v>2018</v>
      </c>
      <c r="N7" s="22">
        <v>2019</v>
      </c>
      <c r="O7" s="22">
        <v>2020</v>
      </c>
      <c r="P7" s="22">
        <v>2021</v>
      </c>
      <c r="Q7" s="22">
        <v>2022</v>
      </c>
      <c r="R7" s="22">
        <v>2023</v>
      </c>
      <c r="S7" s="22">
        <v>2024</v>
      </c>
      <c r="T7" s="18"/>
    </row>
    <row r="8" spans="1:58" x14ac:dyDescent="0.25">
      <c r="A8" s="18"/>
      <c r="T8" s="18"/>
    </row>
    <row r="9" spans="1:58" x14ac:dyDescent="0.25">
      <c r="B9" t="s">
        <v>133</v>
      </c>
    </row>
    <row r="10" spans="1:58" x14ac:dyDescent="0.25">
      <c r="C10" t="s">
        <v>45</v>
      </c>
      <c r="K10" s="41">
        <f>'Model Inputs'!G9</f>
        <v>0</v>
      </c>
      <c r="L10" s="41">
        <f>'Model Inputs'!H9</f>
        <v>0</v>
      </c>
      <c r="M10" s="41">
        <f>'Model Inputs'!I9</f>
        <v>0</v>
      </c>
      <c r="N10" s="41">
        <f>'Model Inputs'!J9</f>
        <v>0</v>
      </c>
      <c r="O10" s="41">
        <f>INDEX(O11:O13,$BE$1)</f>
        <v>600000</v>
      </c>
      <c r="P10" s="41" cm="1">
        <f t="array" ref="P10">INDEX(P11:P13,$BE$1)</f>
        <v>720000</v>
      </c>
      <c r="Q10" s="41" cm="1">
        <f t="array" ref="Q10">INDEX(Q11:Q13,$BE$1)</f>
        <v>900000</v>
      </c>
      <c r="R10" s="41" cm="1">
        <f t="array" ref="R10">INDEX(R11:R13,$BE$1)</f>
        <v>1080000</v>
      </c>
      <c r="S10" s="41" cm="1">
        <f t="array" ref="S10">INDEX(S11:S13,$BE$1)</f>
        <v>1200000</v>
      </c>
    </row>
    <row r="11" spans="1:58" x14ac:dyDescent="0.25">
      <c r="E11" t="s">
        <v>127</v>
      </c>
      <c r="G11" t="s">
        <v>114</v>
      </c>
      <c r="I11" s="43">
        <v>1.2</v>
      </c>
      <c r="K11" s="42"/>
      <c r="L11" s="42"/>
      <c r="M11" s="42"/>
      <c r="N11" s="42"/>
      <c r="O11" s="41">
        <f>$I11*O12</f>
        <v>600000</v>
      </c>
      <c r="P11" s="41">
        <f t="shared" ref="P11:S11" si="0">$I11*P12</f>
        <v>720000</v>
      </c>
      <c r="Q11" s="41">
        <f t="shared" si="0"/>
        <v>900000</v>
      </c>
      <c r="R11" s="41">
        <f t="shared" si="0"/>
        <v>1080000</v>
      </c>
      <c r="S11" s="41">
        <f t="shared" si="0"/>
        <v>1200000</v>
      </c>
    </row>
    <row r="12" spans="1:58" x14ac:dyDescent="0.25">
      <c r="E12" t="s">
        <v>128</v>
      </c>
      <c r="G12" t="s">
        <v>114</v>
      </c>
      <c r="I12" s="44" t="s">
        <v>130</v>
      </c>
      <c r="K12" s="42"/>
      <c r="L12" s="42"/>
      <c r="M12" s="42"/>
      <c r="N12" s="75"/>
      <c r="O12" s="41">
        <f>'Model Inputs'!K9</f>
        <v>500000</v>
      </c>
      <c r="P12" s="41">
        <f>'Model Inputs'!L9</f>
        <v>600000</v>
      </c>
      <c r="Q12" s="41">
        <f>'Model Inputs'!M9</f>
        <v>750000</v>
      </c>
      <c r="R12" s="41">
        <f>'Model Inputs'!N9</f>
        <v>900000</v>
      </c>
      <c r="S12" s="41">
        <f>'Model Inputs'!O9</f>
        <v>1000000</v>
      </c>
    </row>
    <row r="13" spans="1:58" x14ac:dyDescent="0.25">
      <c r="E13" t="s">
        <v>129</v>
      </c>
      <c r="G13" t="s">
        <v>114</v>
      </c>
      <c r="I13" s="43">
        <v>0.9</v>
      </c>
      <c r="K13" s="42"/>
      <c r="L13" s="42"/>
      <c r="M13" s="42"/>
      <c r="N13" s="75"/>
      <c r="O13" s="71">
        <f>$I13*O12</f>
        <v>450000</v>
      </c>
      <c r="P13" s="41">
        <f t="shared" ref="P13:S13" si="1">$I13*P12</f>
        <v>540000</v>
      </c>
      <c r="Q13" s="41">
        <f t="shared" si="1"/>
        <v>675000</v>
      </c>
      <c r="R13" s="41">
        <f t="shared" si="1"/>
        <v>810000</v>
      </c>
      <c r="S13" s="41">
        <f t="shared" si="1"/>
        <v>900000</v>
      </c>
    </row>
    <row r="15" spans="1:58" x14ac:dyDescent="0.25">
      <c r="C15" t="s">
        <v>46</v>
      </c>
      <c r="K15" s="41">
        <f>'Model Inputs'!G10</f>
        <v>0</v>
      </c>
      <c r="L15" s="41">
        <f>'Model Inputs'!H10</f>
        <v>0</v>
      </c>
      <c r="M15" s="41">
        <f>'Model Inputs'!I10</f>
        <v>0</v>
      </c>
      <c r="N15" s="71">
        <f>'Model Inputs'!J10</f>
        <v>0</v>
      </c>
      <c r="O15" s="71" cm="1">
        <f t="array" ref="O15">INDEX(O16:O18,$BE$1)</f>
        <v>1200</v>
      </c>
      <c r="P15" s="41" cm="1">
        <f t="array" ref="P15">INDEX(P16:P18,$BE$1)</f>
        <v>1200</v>
      </c>
      <c r="Q15" s="41" cm="1">
        <f t="array" ref="Q15">INDEX(Q16:Q18,$BE$1)</f>
        <v>1200</v>
      </c>
      <c r="R15" s="41" cm="1">
        <f t="array" ref="R15">INDEX(R16:R18,$BE$1)</f>
        <v>1440</v>
      </c>
      <c r="S15" s="41" cm="1">
        <f t="array" ref="S15">INDEX(S16:S18,$BE$1)</f>
        <v>1440</v>
      </c>
    </row>
    <row r="16" spans="1:58" x14ac:dyDescent="0.25">
      <c r="E16" t="s">
        <v>127</v>
      </c>
      <c r="G16" t="s">
        <v>288</v>
      </c>
      <c r="I16" s="43">
        <v>1.2</v>
      </c>
      <c r="K16" s="42"/>
      <c r="L16" s="42"/>
      <c r="M16" s="42"/>
      <c r="N16" s="75"/>
      <c r="O16" s="71">
        <f>$I16*O17</f>
        <v>1200</v>
      </c>
      <c r="P16" s="41">
        <f t="shared" ref="P16" si="2">$I16*P17</f>
        <v>1200</v>
      </c>
      <c r="Q16" s="41">
        <f t="shared" ref="Q16" si="3">$I16*Q17</f>
        <v>1200</v>
      </c>
      <c r="R16" s="41">
        <f t="shared" ref="R16" si="4">$I16*R17</f>
        <v>1440</v>
      </c>
      <c r="S16" s="41">
        <f t="shared" ref="S16" si="5">$I16*S17</f>
        <v>1440</v>
      </c>
    </row>
    <row r="17" spans="2:19" x14ac:dyDescent="0.25">
      <c r="E17" t="s">
        <v>128</v>
      </c>
      <c r="G17" t="s">
        <v>288</v>
      </c>
      <c r="I17" s="44" t="s">
        <v>130</v>
      </c>
      <c r="K17" s="42"/>
      <c r="L17" s="42"/>
      <c r="M17" s="42"/>
      <c r="N17" s="75"/>
      <c r="O17" s="71">
        <f>'Model Inputs'!K10</f>
        <v>1000</v>
      </c>
      <c r="P17" s="41">
        <f>'Model Inputs'!L10</f>
        <v>1000</v>
      </c>
      <c r="Q17" s="41">
        <f>'Model Inputs'!M10</f>
        <v>1000</v>
      </c>
      <c r="R17" s="41">
        <f>'Model Inputs'!N10</f>
        <v>1200</v>
      </c>
      <c r="S17" s="41">
        <f>'Model Inputs'!O10</f>
        <v>1200</v>
      </c>
    </row>
    <row r="18" spans="2:19" x14ac:dyDescent="0.25">
      <c r="E18" t="s">
        <v>129</v>
      </c>
      <c r="G18" t="s">
        <v>288</v>
      </c>
      <c r="I18" s="43">
        <v>0.9</v>
      </c>
      <c r="K18" s="42"/>
      <c r="L18" s="42"/>
      <c r="M18" s="42"/>
      <c r="N18" s="75"/>
      <c r="O18" s="71">
        <f>$I18*O17</f>
        <v>900</v>
      </c>
      <c r="P18" s="41">
        <f t="shared" ref="P18" si="6">$I18*P17</f>
        <v>900</v>
      </c>
      <c r="Q18" s="41">
        <f t="shared" ref="Q18" si="7">$I18*Q17</f>
        <v>900</v>
      </c>
      <c r="R18" s="41">
        <f t="shared" ref="R18" si="8">$I18*R17</f>
        <v>1080</v>
      </c>
      <c r="S18" s="41">
        <f t="shared" ref="S18" si="9">$I18*S17</f>
        <v>1080</v>
      </c>
    </row>
    <row r="20" spans="2:19" x14ac:dyDescent="0.25">
      <c r="C20" t="s">
        <v>47</v>
      </c>
      <c r="K20" s="41">
        <f>'Model Inputs'!G11</f>
        <v>0</v>
      </c>
      <c r="L20" s="41">
        <f>'Model Inputs'!H11</f>
        <v>0</v>
      </c>
      <c r="M20" s="41">
        <f>'Model Inputs'!I11</f>
        <v>0</v>
      </c>
      <c r="N20" s="41">
        <f>'Model Inputs'!J11</f>
        <v>0</v>
      </c>
      <c r="O20" s="41" cm="1">
        <f t="array" ref="O20">INDEX(O21:O23,$BE$1)</f>
        <v>360</v>
      </c>
      <c r="P20" s="41" cm="1">
        <f t="array" ref="P20">INDEX(P21:P23,$BE$1)</f>
        <v>360</v>
      </c>
      <c r="Q20" s="41" cm="1">
        <f t="array" ref="Q20">INDEX(Q21:Q23,$BE$1)</f>
        <v>405</v>
      </c>
      <c r="R20" s="41" cm="1">
        <f t="array" ref="R20">INDEX(R21:R23,$BE$1)</f>
        <v>405</v>
      </c>
      <c r="S20" s="41" cm="1">
        <f t="array" ref="S20">INDEX(S21:S23,$BE$1)</f>
        <v>450</v>
      </c>
    </row>
    <row r="21" spans="2:19" x14ac:dyDescent="0.25">
      <c r="E21" t="s">
        <v>127</v>
      </c>
      <c r="G21" t="s">
        <v>288</v>
      </c>
      <c r="I21" s="43">
        <v>0.9</v>
      </c>
      <c r="K21" s="42"/>
      <c r="L21" s="42"/>
      <c r="M21" s="42"/>
      <c r="N21" s="42"/>
      <c r="O21" s="41">
        <f>$I21*O22</f>
        <v>360</v>
      </c>
      <c r="P21" s="41">
        <f t="shared" ref="P21" si="10">$I21*P22</f>
        <v>360</v>
      </c>
      <c r="Q21" s="41">
        <f t="shared" ref="Q21" si="11">$I21*Q22</f>
        <v>405</v>
      </c>
      <c r="R21" s="41">
        <f t="shared" ref="R21" si="12">$I21*R22</f>
        <v>405</v>
      </c>
      <c r="S21" s="41">
        <f t="shared" ref="S21" si="13">$I21*S22</f>
        <v>450</v>
      </c>
    </row>
    <row r="22" spans="2:19" x14ac:dyDescent="0.25">
      <c r="E22" t="s">
        <v>128</v>
      </c>
      <c r="G22" t="s">
        <v>288</v>
      </c>
      <c r="I22" s="44" t="s">
        <v>130</v>
      </c>
      <c r="K22" s="42"/>
      <c r="L22" s="42"/>
      <c r="M22" s="42"/>
      <c r="N22" s="42"/>
      <c r="O22" s="41">
        <f>'Model Inputs'!K11</f>
        <v>400</v>
      </c>
      <c r="P22" s="41">
        <f>'Model Inputs'!L11</f>
        <v>400</v>
      </c>
      <c r="Q22" s="41">
        <f>'Model Inputs'!M11</f>
        <v>450</v>
      </c>
      <c r="R22" s="41">
        <f>'Model Inputs'!N11</f>
        <v>450</v>
      </c>
      <c r="S22" s="41">
        <f>'Model Inputs'!O11</f>
        <v>500</v>
      </c>
    </row>
    <row r="23" spans="2:19" x14ac:dyDescent="0.25">
      <c r="E23" t="s">
        <v>129</v>
      </c>
      <c r="G23" t="s">
        <v>288</v>
      </c>
      <c r="I23" s="43">
        <v>1.1000000000000001</v>
      </c>
      <c r="K23" s="42"/>
      <c r="L23" s="42"/>
      <c r="M23" s="42"/>
      <c r="N23" s="42"/>
      <c r="O23" s="41">
        <f>$I23*O22</f>
        <v>440.00000000000006</v>
      </c>
      <c r="P23" s="41">
        <f t="shared" ref="P23" si="14">$I23*P22</f>
        <v>440.00000000000006</v>
      </c>
      <c r="Q23" s="41">
        <f t="shared" ref="Q23" si="15">$I23*Q22</f>
        <v>495.00000000000006</v>
      </c>
      <c r="R23" s="41">
        <f t="shared" ref="R23" si="16">$I23*R22</f>
        <v>495.00000000000006</v>
      </c>
      <c r="S23" s="41">
        <f t="shared" ref="S23" si="17">$I23*S22</f>
        <v>550</v>
      </c>
    </row>
    <row r="26" spans="2:19" x14ac:dyDescent="0.25">
      <c r="B26" t="s">
        <v>111</v>
      </c>
    </row>
    <row r="27" spans="2:19" x14ac:dyDescent="0.25">
      <c r="C27" t="s">
        <v>45</v>
      </c>
      <c r="K27" s="41">
        <f>'Model Inputs'!G14</f>
        <v>0</v>
      </c>
      <c r="L27" s="41">
        <f>'Model Inputs'!H14</f>
        <v>0</v>
      </c>
      <c r="M27" s="41">
        <f>'Model Inputs'!I14</f>
        <v>0</v>
      </c>
      <c r="N27" s="41">
        <f>'Model Inputs'!J14</f>
        <v>0</v>
      </c>
      <c r="O27" s="41" cm="1">
        <f t="array" ref="O27">INDEX(O28:O30,$BE$1)</f>
        <v>960000</v>
      </c>
      <c r="P27" s="41" cm="1">
        <f t="array" ref="P27">INDEX(P28:P30,$BE$1)</f>
        <v>1020000</v>
      </c>
      <c r="Q27" s="41" cm="1">
        <f t="array" ref="Q27">INDEX(Q28:Q30,$BE$1)</f>
        <v>1080000</v>
      </c>
      <c r="R27" s="41" cm="1">
        <f t="array" ref="R27">INDEX(R28:R30,$BE$1)</f>
        <v>1140000</v>
      </c>
      <c r="S27" s="41" cm="1">
        <f t="array" ref="S27">INDEX(S28:S30,$BE$1)</f>
        <v>1260000</v>
      </c>
    </row>
    <row r="28" spans="2:19" x14ac:dyDescent="0.25">
      <c r="E28" t="s">
        <v>127</v>
      </c>
      <c r="G28" t="s">
        <v>114</v>
      </c>
      <c r="I28" s="43">
        <v>1.2</v>
      </c>
      <c r="K28" s="42"/>
      <c r="L28" s="42"/>
      <c r="M28" s="42"/>
      <c r="N28" s="42"/>
      <c r="O28" s="41">
        <f>$I28*O29</f>
        <v>960000</v>
      </c>
      <c r="P28" s="41">
        <f t="shared" ref="P28" si="18">$I28*P29</f>
        <v>1020000</v>
      </c>
      <c r="Q28" s="41">
        <f t="shared" ref="Q28" si="19">$I28*Q29</f>
        <v>1080000</v>
      </c>
      <c r="R28" s="41">
        <f t="shared" ref="R28" si="20">$I28*R29</f>
        <v>1140000</v>
      </c>
      <c r="S28" s="41">
        <f t="shared" ref="S28" si="21">$I28*S29</f>
        <v>1260000</v>
      </c>
    </row>
    <row r="29" spans="2:19" x14ac:dyDescent="0.25">
      <c r="E29" t="s">
        <v>128</v>
      </c>
      <c r="G29" t="s">
        <v>114</v>
      </c>
      <c r="I29" s="44" t="s">
        <v>130</v>
      </c>
      <c r="K29" s="42"/>
      <c r="L29" s="42"/>
      <c r="M29" s="42"/>
      <c r="N29" s="42"/>
      <c r="O29" s="41">
        <f>'Model Inputs'!K14</f>
        <v>800000</v>
      </c>
      <c r="P29" s="41">
        <f>'Model Inputs'!L14</f>
        <v>850000</v>
      </c>
      <c r="Q29" s="41">
        <f>'Model Inputs'!M14</f>
        <v>900000</v>
      </c>
      <c r="R29" s="41">
        <f>'Model Inputs'!N14</f>
        <v>950000</v>
      </c>
      <c r="S29" s="41">
        <f>'Model Inputs'!O14</f>
        <v>1050000</v>
      </c>
    </row>
    <row r="30" spans="2:19" x14ac:dyDescent="0.25">
      <c r="E30" t="s">
        <v>129</v>
      </c>
      <c r="G30" t="s">
        <v>114</v>
      </c>
      <c r="I30" s="43">
        <v>0.9</v>
      </c>
      <c r="K30" s="42"/>
      <c r="L30" s="42"/>
      <c r="M30" s="42"/>
      <c r="N30" s="42"/>
      <c r="O30" s="41">
        <f>$I30*O29</f>
        <v>720000</v>
      </c>
      <c r="P30" s="41">
        <f t="shared" ref="P30" si="22">$I30*P29</f>
        <v>765000</v>
      </c>
      <c r="Q30" s="41">
        <f t="shared" ref="Q30" si="23">$I30*Q29</f>
        <v>810000</v>
      </c>
      <c r="R30" s="41">
        <f t="shared" ref="R30" si="24">$I30*R29</f>
        <v>855000</v>
      </c>
      <c r="S30" s="41">
        <f t="shared" ref="S30" si="25">$I30*S29</f>
        <v>945000</v>
      </c>
    </row>
    <row r="32" spans="2:19" x14ac:dyDescent="0.25">
      <c r="C32" t="s">
        <v>46</v>
      </c>
      <c r="K32" s="41">
        <f>'Model Inputs'!G15</f>
        <v>0</v>
      </c>
      <c r="L32" s="41">
        <f>'Model Inputs'!H15</f>
        <v>0</v>
      </c>
      <c r="M32" s="41">
        <f>'Model Inputs'!I15</f>
        <v>0</v>
      </c>
      <c r="N32" s="41">
        <f>'Model Inputs'!J15</f>
        <v>0</v>
      </c>
      <c r="O32" s="41" cm="1">
        <f t="array" ref="O32">INDEX(O33:O35,$BE$1)</f>
        <v>600</v>
      </c>
      <c r="P32" s="41" cm="1">
        <f t="array" ref="P32">INDEX(P33:P35,$BE$1)</f>
        <v>600</v>
      </c>
      <c r="Q32" s="41" cm="1">
        <f t="array" ref="Q32">INDEX(Q33:Q35,$BE$1)</f>
        <v>600</v>
      </c>
      <c r="R32" s="41" cm="1">
        <f t="array" ref="R32">INDEX(R33:R35,$BE$1)</f>
        <v>600</v>
      </c>
      <c r="S32" s="41" cm="1">
        <f t="array" ref="S32">INDEX(S33:S35,$BE$1)</f>
        <v>600</v>
      </c>
    </row>
    <row r="33" spans="2:19" x14ac:dyDescent="0.25">
      <c r="E33" t="s">
        <v>127</v>
      </c>
      <c r="G33" t="s">
        <v>288</v>
      </c>
      <c r="I33" s="43">
        <v>1.2</v>
      </c>
      <c r="K33" s="42"/>
      <c r="L33" s="42"/>
      <c r="M33" s="42"/>
      <c r="N33" s="42"/>
      <c r="O33" s="41">
        <f>$I33*O34</f>
        <v>600</v>
      </c>
      <c r="P33" s="41">
        <f t="shared" ref="P33" si="26">$I33*P34</f>
        <v>600</v>
      </c>
      <c r="Q33" s="41">
        <f t="shared" ref="Q33" si="27">$I33*Q34</f>
        <v>600</v>
      </c>
      <c r="R33" s="41">
        <f t="shared" ref="R33" si="28">$I33*R34</f>
        <v>600</v>
      </c>
      <c r="S33" s="41">
        <f t="shared" ref="S33" si="29">$I33*S34</f>
        <v>600</v>
      </c>
    </row>
    <row r="34" spans="2:19" x14ac:dyDescent="0.25">
      <c r="E34" t="s">
        <v>128</v>
      </c>
      <c r="G34" t="s">
        <v>288</v>
      </c>
      <c r="I34" s="44" t="s">
        <v>130</v>
      </c>
      <c r="K34" s="42"/>
      <c r="L34" s="42"/>
      <c r="M34" s="42"/>
      <c r="N34" s="42"/>
      <c r="O34" s="41">
        <f>'Model Inputs'!K15</f>
        <v>500</v>
      </c>
      <c r="P34" s="41">
        <f>'Model Inputs'!L15</f>
        <v>500</v>
      </c>
      <c r="Q34" s="41">
        <f>'Model Inputs'!M15</f>
        <v>500</v>
      </c>
      <c r="R34" s="41">
        <f>'Model Inputs'!N15</f>
        <v>500</v>
      </c>
      <c r="S34" s="41">
        <f>'Model Inputs'!O15</f>
        <v>500</v>
      </c>
    </row>
    <row r="35" spans="2:19" x14ac:dyDescent="0.25">
      <c r="E35" t="s">
        <v>129</v>
      </c>
      <c r="G35" t="s">
        <v>288</v>
      </c>
      <c r="I35" s="43">
        <v>0.9</v>
      </c>
      <c r="K35" s="42"/>
      <c r="L35" s="42"/>
      <c r="M35" s="42"/>
      <c r="N35" s="42"/>
      <c r="O35" s="41">
        <f>$I35*O34</f>
        <v>450</v>
      </c>
      <c r="P35" s="41">
        <f t="shared" ref="P35" si="30">$I35*P34</f>
        <v>450</v>
      </c>
      <c r="Q35" s="41">
        <f t="shared" ref="Q35" si="31">$I35*Q34</f>
        <v>450</v>
      </c>
      <c r="R35" s="41">
        <f t="shared" ref="R35" si="32">$I35*R34</f>
        <v>450</v>
      </c>
      <c r="S35" s="41">
        <f t="shared" ref="S35" si="33">$I35*S34</f>
        <v>450</v>
      </c>
    </row>
    <row r="37" spans="2:19" x14ac:dyDescent="0.25">
      <c r="C37" t="s">
        <v>47</v>
      </c>
      <c r="K37" s="41">
        <f>'Model Inputs'!G16</f>
        <v>0</v>
      </c>
      <c r="L37" s="41">
        <f>'Model Inputs'!H16</f>
        <v>0</v>
      </c>
      <c r="M37" s="41">
        <f>'Model Inputs'!I16</f>
        <v>0</v>
      </c>
      <c r="N37" s="41">
        <f>'Model Inputs'!J16</f>
        <v>0</v>
      </c>
      <c r="O37" s="41" cm="1">
        <f t="array" ref="O37">INDEX(O38:O40,$BE$1)</f>
        <v>162</v>
      </c>
      <c r="P37" s="41" cm="1">
        <f t="array" ref="P37">INDEX(P38:P40,$BE$1)</f>
        <v>162</v>
      </c>
      <c r="Q37" s="41" cm="1">
        <f t="array" ref="Q37">INDEX(Q38:Q40,$BE$1)</f>
        <v>162</v>
      </c>
      <c r="R37" s="41" cm="1">
        <f t="array" ref="R37">INDEX(R38:R40,$BE$1)</f>
        <v>162</v>
      </c>
      <c r="S37" s="41" cm="1">
        <f t="array" ref="S37">INDEX(S38:S40,$BE$1)</f>
        <v>162</v>
      </c>
    </row>
    <row r="38" spans="2:19" x14ac:dyDescent="0.25">
      <c r="E38" t="s">
        <v>127</v>
      </c>
      <c r="G38" t="s">
        <v>288</v>
      </c>
      <c r="I38" s="43">
        <v>0.9</v>
      </c>
      <c r="K38" s="42"/>
      <c r="L38" s="42"/>
      <c r="M38" s="42"/>
      <c r="N38" s="42"/>
      <c r="O38" s="41">
        <f>$I38*O39</f>
        <v>162</v>
      </c>
      <c r="P38" s="41">
        <f t="shared" ref="P38" si="34">$I38*P39</f>
        <v>162</v>
      </c>
      <c r="Q38" s="41">
        <f t="shared" ref="Q38" si="35">$I38*Q39</f>
        <v>162</v>
      </c>
      <c r="R38" s="41">
        <f t="shared" ref="R38" si="36">$I38*R39</f>
        <v>162</v>
      </c>
      <c r="S38" s="41">
        <f t="shared" ref="S38" si="37">$I38*S39</f>
        <v>162</v>
      </c>
    </row>
    <row r="39" spans="2:19" x14ac:dyDescent="0.25">
      <c r="E39" t="s">
        <v>128</v>
      </c>
      <c r="G39" t="s">
        <v>288</v>
      </c>
      <c r="I39" s="44" t="s">
        <v>130</v>
      </c>
      <c r="K39" s="42"/>
      <c r="L39" s="42"/>
      <c r="M39" s="42"/>
      <c r="N39" s="42"/>
      <c r="O39" s="41">
        <f>'Model Inputs'!K16</f>
        <v>180</v>
      </c>
      <c r="P39" s="41">
        <f>'Model Inputs'!L16</f>
        <v>180</v>
      </c>
      <c r="Q39" s="41">
        <f>'Model Inputs'!M16</f>
        <v>180</v>
      </c>
      <c r="R39" s="41">
        <f>'Model Inputs'!N16</f>
        <v>180</v>
      </c>
      <c r="S39" s="41">
        <f>'Model Inputs'!O16</f>
        <v>180</v>
      </c>
    </row>
    <row r="40" spans="2:19" x14ac:dyDescent="0.25">
      <c r="E40" t="s">
        <v>129</v>
      </c>
      <c r="G40" t="s">
        <v>288</v>
      </c>
      <c r="I40" s="43">
        <v>1.1000000000000001</v>
      </c>
      <c r="K40" s="42"/>
      <c r="L40" s="42"/>
      <c r="M40" s="42"/>
      <c r="N40" s="42"/>
      <c r="O40" s="41">
        <f>$I40*O39</f>
        <v>198.00000000000003</v>
      </c>
      <c r="P40" s="41">
        <f t="shared" ref="P40" si="38">$I40*P39</f>
        <v>198.00000000000003</v>
      </c>
      <c r="Q40" s="41">
        <f t="shared" ref="Q40" si="39">$I40*Q39</f>
        <v>198.00000000000003</v>
      </c>
      <c r="R40" s="41">
        <f t="shared" ref="R40" si="40">$I40*R39</f>
        <v>198.00000000000003</v>
      </c>
      <c r="S40" s="41">
        <f t="shared" ref="S40" si="41">$I40*S39</f>
        <v>198.00000000000003</v>
      </c>
    </row>
    <row r="43" spans="2:19" x14ac:dyDescent="0.25">
      <c r="B43" t="s">
        <v>112</v>
      </c>
    </row>
    <row r="44" spans="2:19" x14ac:dyDescent="0.25">
      <c r="C44" t="s">
        <v>45</v>
      </c>
      <c r="K44" s="41">
        <f>'Model Inputs'!G19</f>
        <v>0</v>
      </c>
      <c r="L44" s="41">
        <f>'Model Inputs'!H19</f>
        <v>0</v>
      </c>
      <c r="M44" s="41">
        <f>'Model Inputs'!I19</f>
        <v>0</v>
      </c>
      <c r="N44" s="41">
        <f>'Model Inputs'!J19</f>
        <v>0</v>
      </c>
      <c r="O44" s="41" cm="1">
        <f t="array" ref="O44">INDEX(O45:O47,$BE$1)</f>
        <v>1200000</v>
      </c>
      <c r="P44" s="41" cm="1">
        <f t="array" ref="P44">INDEX(P45:P47,$BE$1)</f>
        <v>1800000</v>
      </c>
      <c r="Q44" s="41" cm="1">
        <f t="array" ref="Q44">INDEX(Q45:Q47,$BE$1)</f>
        <v>2640000</v>
      </c>
      <c r="R44" s="41" cm="1">
        <f t="array" ref="R44">INDEX(R45:R47,$BE$1)</f>
        <v>3360000</v>
      </c>
      <c r="S44" s="41" cm="1">
        <f t="array" ref="S44">INDEX(S45:S47,$BE$1)</f>
        <v>4800000</v>
      </c>
    </row>
    <row r="45" spans="2:19" x14ac:dyDescent="0.25">
      <c r="E45" t="s">
        <v>127</v>
      </c>
      <c r="G45" t="s">
        <v>114</v>
      </c>
      <c r="I45" s="43">
        <v>1.2</v>
      </c>
      <c r="K45" s="42"/>
      <c r="L45" s="42"/>
      <c r="M45" s="42"/>
      <c r="N45" s="42"/>
      <c r="O45" s="41">
        <f>$I45*O46</f>
        <v>1200000</v>
      </c>
      <c r="P45" s="41">
        <f t="shared" ref="P45" si="42">$I45*P46</f>
        <v>1800000</v>
      </c>
      <c r="Q45" s="41">
        <f t="shared" ref="Q45" si="43">$I45*Q46</f>
        <v>2640000</v>
      </c>
      <c r="R45" s="41">
        <f t="shared" ref="R45" si="44">$I45*R46</f>
        <v>3360000</v>
      </c>
      <c r="S45" s="41">
        <f t="shared" ref="S45" si="45">$I45*S46</f>
        <v>4800000</v>
      </c>
    </row>
    <row r="46" spans="2:19" x14ac:dyDescent="0.25">
      <c r="E46" t="s">
        <v>128</v>
      </c>
      <c r="G46" t="s">
        <v>114</v>
      </c>
      <c r="I46" s="44" t="s">
        <v>130</v>
      </c>
      <c r="K46" s="42"/>
      <c r="L46" s="42"/>
      <c r="M46" s="42"/>
      <c r="N46" s="42"/>
      <c r="O46" s="41">
        <f>'Model Inputs'!K19</f>
        <v>1000000</v>
      </c>
      <c r="P46" s="41">
        <f>'Model Inputs'!L19</f>
        <v>1500000</v>
      </c>
      <c r="Q46" s="41">
        <f>'Model Inputs'!M19</f>
        <v>2200000</v>
      </c>
      <c r="R46" s="41">
        <f>'Model Inputs'!N19</f>
        <v>2800000</v>
      </c>
      <c r="S46" s="41">
        <f>'Model Inputs'!O19</f>
        <v>4000000</v>
      </c>
    </row>
    <row r="47" spans="2:19" x14ac:dyDescent="0.25">
      <c r="E47" t="s">
        <v>129</v>
      </c>
      <c r="G47" t="s">
        <v>114</v>
      </c>
      <c r="I47" s="43">
        <v>0.9</v>
      </c>
      <c r="K47" s="42"/>
      <c r="L47" s="42"/>
      <c r="M47" s="42"/>
      <c r="N47" s="42"/>
      <c r="O47" s="41">
        <f>$I47*O46</f>
        <v>900000</v>
      </c>
      <c r="P47" s="41">
        <f t="shared" ref="P47" si="46">$I47*P46</f>
        <v>1350000</v>
      </c>
      <c r="Q47" s="41">
        <f t="shared" ref="Q47" si="47">$I47*Q46</f>
        <v>1980000</v>
      </c>
      <c r="R47" s="41">
        <f t="shared" ref="R47" si="48">$I47*R46</f>
        <v>2520000</v>
      </c>
      <c r="S47" s="41">
        <f t="shared" ref="S47" si="49">$I47*S46</f>
        <v>3600000</v>
      </c>
    </row>
    <row r="49" spans="2:19" x14ac:dyDescent="0.25">
      <c r="C49" t="s">
        <v>46</v>
      </c>
      <c r="K49" s="41">
        <f>'Model Inputs'!G20</f>
        <v>0</v>
      </c>
      <c r="L49" s="41">
        <f>'Model Inputs'!H20</f>
        <v>0</v>
      </c>
      <c r="M49" s="41">
        <f>'Model Inputs'!I20</f>
        <v>0</v>
      </c>
      <c r="N49" s="41">
        <f>'Model Inputs'!J20</f>
        <v>0</v>
      </c>
      <c r="O49" s="41" cm="1">
        <f t="array" ref="O49">INDEX(O50:O52,$BE$1)</f>
        <v>24</v>
      </c>
      <c r="P49" s="41" cm="1">
        <f t="array" ref="P49">INDEX(P50:P52,$BE$1)</f>
        <v>24</v>
      </c>
      <c r="Q49" s="41" cm="1">
        <f t="array" ref="Q49">INDEX(Q50:Q52,$BE$1)</f>
        <v>24</v>
      </c>
      <c r="R49" s="41" cm="1">
        <f t="array" ref="R49">INDEX(R50:R52,$BE$1)</f>
        <v>24</v>
      </c>
      <c r="S49" s="41" cm="1">
        <f t="array" ref="S49">INDEX(S50:S52,$BE$1)</f>
        <v>24</v>
      </c>
    </row>
    <row r="50" spans="2:19" x14ac:dyDescent="0.25">
      <c r="E50" t="s">
        <v>127</v>
      </c>
      <c r="G50" t="s">
        <v>288</v>
      </c>
      <c r="I50" s="43">
        <v>1.2</v>
      </c>
      <c r="K50" s="42"/>
      <c r="L50" s="42"/>
      <c r="M50" s="42"/>
      <c r="N50" s="42"/>
      <c r="O50" s="41">
        <f>$I50*O51</f>
        <v>24</v>
      </c>
      <c r="P50" s="41">
        <f t="shared" ref="P50" si="50">$I50*P51</f>
        <v>24</v>
      </c>
      <c r="Q50" s="41">
        <f t="shared" ref="Q50" si="51">$I50*Q51</f>
        <v>24</v>
      </c>
      <c r="R50" s="41">
        <f t="shared" ref="R50" si="52">$I50*R51</f>
        <v>24</v>
      </c>
      <c r="S50" s="41">
        <f t="shared" ref="S50" si="53">$I50*S51</f>
        <v>24</v>
      </c>
    </row>
    <row r="51" spans="2:19" x14ac:dyDescent="0.25">
      <c r="E51" t="s">
        <v>128</v>
      </c>
      <c r="G51" t="s">
        <v>288</v>
      </c>
      <c r="I51" s="44" t="s">
        <v>130</v>
      </c>
      <c r="K51" s="42"/>
      <c r="L51" s="42"/>
      <c r="M51" s="42"/>
      <c r="N51" s="42"/>
      <c r="O51" s="41">
        <f>'Model Inputs'!K20</f>
        <v>20</v>
      </c>
      <c r="P51" s="41">
        <f>'Model Inputs'!L20</f>
        <v>20</v>
      </c>
      <c r="Q51" s="41">
        <f>'Model Inputs'!M20</f>
        <v>20</v>
      </c>
      <c r="R51" s="41">
        <f>'Model Inputs'!N20</f>
        <v>20</v>
      </c>
      <c r="S51" s="41">
        <f>'Model Inputs'!O20</f>
        <v>20</v>
      </c>
    </row>
    <row r="52" spans="2:19" x14ac:dyDescent="0.25">
      <c r="E52" t="s">
        <v>129</v>
      </c>
      <c r="G52" t="s">
        <v>288</v>
      </c>
      <c r="I52" s="43">
        <v>0.9</v>
      </c>
      <c r="K52" s="42"/>
      <c r="L52" s="42"/>
      <c r="M52" s="42"/>
      <c r="N52" s="42"/>
      <c r="O52" s="41">
        <f>$I52*O51</f>
        <v>18</v>
      </c>
      <c r="P52" s="41">
        <f t="shared" ref="P52" si="54">$I52*P51</f>
        <v>18</v>
      </c>
      <c r="Q52" s="41">
        <f t="shared" ref="Q52" si="55">$I52*Q51</f>
        <v>18</v>
      </c>
      <c r="R52" s="41">
        <f t="shared" ref="R52" si="56">$I52*R51</f>
        <v>18</v>
      </c>
      <c r="S52" s="41">
        <f t="shared" ref="S52" si="57">$I52*S51</f>
        <v>18</v>
      </c>
    </row>
    <row r="54" spans="2:19" x14ac:dyDescent="0.25">
      <c r="C54" t="s">
        <v>47</v>
      </c>
      <c r="K54" s="41">
        <f>'Model Inputs'!G21</f>
        <v>0</v>
      </c>
      <c r="L54" s="41">
        <f>'Model Inputs'!H21</f>
        <v>0</v>
      </c>
      <c r="M54" s="41">
        <f>'Model Inputs'!I21</f>
        <v>0</v>
      </c>
      <c r="N54" s="41">
        <f>'Model Inputs'!J21</f>
        <v>0</v>
      </c>
      <c r="O54" s="41" cm="1">
        <f t="array" ref="O54">INDEX(O55:O57,$BE$1)</f>
        <v>9</v>
      </c>
      <c r="P54" s="41" cm="1">
        <f t="array" ref="P54">INDEX(P55:P57,$BE$1)</f>
        <v>9</v>
      </c>
      <c r="Q54" s="41" cm="1">
        <f t="array" ref="Q54">INDEX(Q55:Q57,$BE$1)</f>
        <v>9</v>
      </c>
      <c r="R54" s="41" cm="1">
        <f t="array" ref="R54">INDEX(R55:R57,$BE$1)</f>
        <v>9</v>
      </c>
      <c r="S54" s="41" cm="1">
        <f t="array" ref="S54">INDEX(S55:S57,$BE$1)</f>
        <v>9</v>
      </c>
    </row>
    <row r="55" spans="2:19" x14ac:dyDescent="0.25">
      <c r="E55" t="s">
        <v>127</v>
      </c>
      <c r="G55" t="s">
        <v>288</v>
      </c>
      <c r="I55" s="43">
        <v>0.9</v>
      </c>
      <c r="K55" s="42"/>
      <c r="L55" s="42"/>
      <c r="M55" s="42"/>
      <c r="N55" s="42"/>
      <c r="O55" s="41">
        <f>$I55*O56</f>
        <v>9</v>
      </c>
      <c r="P55" s="41">
        <f t="shared" ref="P55" si="58">$I55*P56</f>
        <v>9</v>
      </c>
      <c r="Q55" s="41">
        <f t="shared" ref="Q55" si="59">$I55*Q56</f>
        <v>9</v>
      </c>
      <c r="R55" s="41">
        <f t="shared" ref="R55" si="60">$I55*R56</f>
        <v>9</v>
      </c>
      <c r="S55" s="41">
        <f t="shared" ref="S55" si="61">$I55*S56</f>
        <v>9</v>
      </c>
    </row>
    <row r="56" spans="2:19" x14ac:dyDescent="0.25">
      <c r="E56" t="s">
        <v>128</v>
      </c>
      <c r="G56" t="s">
        <v>288</v>
      </c>
      <c r="I56" s="44" t="s">
        <v>130</v>
      </c>
      <c r="K56" s="42"/>
      <c r="L56" s="42"/>
      <c r="M56" s="42"/>
      <c r="N56" s="42"/>
      <c r="O56" s="41">
        <f>'Model Inputs'!K21</f>
        <v>10</v>
      </c>
      <c r="P56" s="41">
        <f>'Model Inputs'!L21</f>
        <v>10</v>
      </c>
      <c r="Q56" s="41">
        <f>'Model Inputs'!M21</f>
        <v>10</v>
      </c>
      <c r="R56" s="41">
        <f>'Model Inputs'!N21</f>
        <v>10</v>
      </c>
      <c r="S56" s="41">
        <f>'Model Inputs'!O21</f>
        <v>10</v>
      </c>
    </row>
    <row r="57" spans="2:19" x14ac:dyDescent="0.25">
      <c r="E57" t="s">
        <v>129</v>
      </c>
      <c r="G57" t="s">
        <v>288</v>
      </c>
      <c r="I57" s="43">
        <v>1.1000000000000001</v>
      </c>
      <c r="K57" s="42"/>
      <c r="L57" s="42"/>
      <c r="M57" s="42"/>
      <c r="N57" s="42"/>
      <c r="O57" s="41">
        <f>$I57*O56</f>
        <v>11</v>
      </c>
      <c r="P57" s="41">
        <f t="shared" ref="P57" si="62">$I57*P56</f>
        <v>11</v>
      </c>
      <c r="Q57" s="41">
        <f t="shared" ref="Q57" si="63">$I57*Q56</f>
        <v>11</v>
      </c>
      <c r="R57" s="41">
        <f t="shared" ref="R57" si="64">$I57*R56</f>
        <v>11</v>
      </c>
      <c r="S57" s="41">
        <f t="shared" ref="S57" si="65">$I57*S56</f>
        <v>11</v>
      </c>
    </row>
    <row r="60" spans="2:19" x14ac:dyDescent="0.25">
      <c r="B60" t="s">
        <v>113</v>
      </c>
    </row>
    <row r="61" spans="2:19" x14ac:dyDescent="0.25">
      <c r="C61" t="s">
        <v>45</v>
      </c>
      <c r="K61" s="41">
        <f>'Model Inputs'!G24</f>
        <v>0</v>
      </c>
      <c r="L61" s="41">
        <f>'Model Inputs'!H24</f>
        <v>0</v>
      </c>
      <c r="M61" s="41">
        <f>'Model Inputs'!I24</f>
        <v>0</v>
      </c>
      <c r="N61" s="41">
        <f>'Model Inputs'!J24</f>
        <v>0</v>
      </c>
      <c r="O61" s="41" cm="1">
        <f t="array" ref="O61">INDEX(O62:O64,$BE$1)</f>
        <v>1200000</v>
      </c>
      <c r="P61" s="41" cm="1">
        <f t="array" ref="P61">INDEX(P62:P64,$BE$1)</f>
        <v>1800000</v>
      </c>
      <c r="Q61" s="41" cm="1">
        <f t="array" ref="Q61">INDEX(Q62:Q64,$BE$1)</f>
        <v>2640000</v>
      </c>
      <c r="R61" s="41" cm="1">
        <f t="array" ref="R61">INDEX(R62:R64,$BE$1)</f>
        <v>3360000</v>
      </c>
      <c r="S61" s="41" cm="1">
        <f t="array" ref="S61">INDEX(S62:S64,$BE$1)</f>
        <v>4800000</v>
      </c>
    </row>
    <row r="62" spans="2:19" x14ac:dyDescent="0.25">
      <c r="E62" t="s">
        <v>127</v>
      </c>
      <c r="G62" t="s">
        <v>114</v>
      </c>
      <c r="I62" s="43">
        <v>1.2</v>
      </c>
      <c r="K62" s="42"/>
      <c r="L62" s="42"/>
      <c r="M62" s="42"/>
      <c r="N62" s="42"/>
      <c r="O62" s="41">
        <f>$I62*O63</f>
        <v>1200000</v>
      </c>
      <c r="P62" s="41">
        <f t="shared" ref="P62" si="66">$I62*P63</f>
        <v>1800000</v>
      </c>
      <c r="Q62" s="41">
        <f t="shared" ref="Q62" si="67">$I62*Q63</f>
        <v>2640000</v>
      </c>
      <c r="R62" s="41">
        <f t="shared" ref="R62" si="68">$I62*R63</f>
        <v>3360000</v>
      </c>
      <c r="S62" s="41">
        <f t="shared" ref="S62" si="69">$I62*S63</f>
        <v>4800000</v>
      </c>
    </row>
    <row r="63" spans="2:19" x14ac:dyDescent="0.25">
      <c r="E63" t="s">
        <v>128</v>
      </c>
      <c r="G63" t="s">
        <v>114</v>
      </c>
      <c r="I63" s="44" t="s">
        <v>130</v>
      </c>
      <c r="K63" s="42"/>
      <c r="L63" s="42"/>
      <c r="M63" s="42"/>
      <c r="N63" s="42"/>
      <c r="O63" s="41">
        <f>'Model Inputs'!K24</f>
        <v>1000000</v>
      </c>
      <c r="P63" s="41">
        <f>'Model Inputs'!L24</f>
        <v>1500000</v>
      </c>
      <c r="Q63" s="41">
        <f>'Model Inputs'!M24</f>
        <v>2200000</v>
      </c>
      <c r="R63" s="41">
        <f>'Model Inputs'!N24</f>
        <v>2800000</v>
      </c>
      <c r="S63" s="41">
        <f>'Model Inputs'!O24</f>
        <v>4000000</v>
      </c>
    </row>
    <row r="64" spans="2:19" x14ac:dyDescent="0.25">
      <c r="E64" t="s">
        <v>129</v>
      </c>
      <c r="G64" t="s">
        <v>114</v>
      </c>
      <c r="I64" s="43">
        <v>0.9</v>
      </c>
      <c r="K64" s="42"/>
      <c r="L64" s="42"/>
      <c r="M64" s="42"/>
      <c r="N64" s="42"/>
      <c r="O64" s="41">
        <f>$I64*O63</f>
        <v>900000</v>
      </c>
      <c r="P64" s="41">
        <f t="shared" ref="P64" si="70">$I64*P63</f>
        <v>1350000</v>
      </c>
      <c r="Q64" s="41">
        <f t="shared" ref="Q64" si="71">$I64*Q63</f>
        <v>1980000</v>
      </c>
      <c r="R64" s="41">
        <f t="shared" ref="R64" si="72">$I64*R63</f>
        <v>2520000</v>
      </c>
      <c r="S64" s="41">
        <f t="shared" ref="S64" si="73">$I64*S63</f>
        <v>3600000</v>
      </c>
    </row>
    <row r="66" spans="2:19" x14ac:dyDescent="0.25">
      <c r="C66" t="s">
        <v>46</v>
      </c>
      <c r="K66" s="41">
        <f>'Model Inputs'!G25</f>
        <v>0</v>
      </c>
      <c r="L66" s="41">
        <f>'Model Inputs'!H25</f>
        <v>0</v>
      </c>
      <c r="M66" s="41">
        <f>'Model Inputs'!I25</f>
        <v>0</v>
      </c>
      <c r="N66" s="41">
        <f>'Model Inputs'!J25</f>
        <v>0</v>
      </c>
      <c r="O66" s="41" cm="1">
        <f t="array" ref="O66">INDEX(O67:O69,$BE$1)</f>
        <v>12</v>
      </c>
      <c r="P66" s="41" cm="1">
        <f t="array" ref="P66">INDEX(P67:P69,$BE$1)</f>
        <v>12</v>
      </c>
      <c r="Q66" s="41" cm="1">
        <f t="array" ref="Q66">INDEX(Q67:Q69,$BE$1)</f>
        <v>12</v>
      </c>
      <c r="R66" s="41" cm="1">
        <f t="array" ref="R66">INDEX(R67:R69,$BE$1)</f>
        <v>12</v>
      </c>
      <c r="S66" s="41" cm="1">
        <f t="array" ref="S66">INDEX(S67:S69,$BE$1)</f>
        <v>12</v>
      </c>
    </row>
    <row r="67" spans="2:19" x14ac:dyDescent="0.25">
      <c r="E67" t="s">
        <v>127</v>
      </c>
      <c r="G67" t="s">
        <v>288</v>
      </c>
      <c r="I67" s="43">
        <v>1.2</v>
      </c>
      <c r="K67" s="42"/>
      <c r="L67" s="42"/>
      <c r="M67" s="42"/>
      <c r="N67" s="42"/>
      <c r="O67" s="41">
        <f>$I67*O68</f>
        <v>12</v>
      </c>
      <c r="P67" s="41">
        <f t="shared" ref="P67" si="74">$I67*P68</f>
        <v>12</v>
      </c>
      <c r="Q67" s="41">
        <f t="shared" ref="Q67" si="75">$I67*Q68</f>
        <v>12</v>
      </c>
      <c r="R67" s="41">
        <f t="shared" ref="R67" si="76">$I67*R68</f>
        <v>12</v>
      </c>
      <c r="S67" s="41">
        <f t="shared" ref="S67" si="77">$I67*S68</f>
        <v>12</v>
      </c>
    </row>
    <row r="68" spans="2:19" x14ac:dyDescent="0.25">
      <c r="E68" t="s">
        <v>128</v>
      </c>
      <c r="G68" t="s">
        <v>288</v>
      </c>
      <c r="I68" s="44" t="s">
        <v>130</v>
      </c>
      <c r="K68" s="42"/>
      <c r="L68" s="42"/>
      <c r="M68" s="42"/>
      <c r="N68" s="42"/>
      <c r="O68" s="41">
        <f>'Model Inputs'!K25</f>
        <v>10</v>
      </c>
      <c r="P68" s="41">
        <f>'Model Inputs'!L25</f>
        <v>10</v>
      </c>
      <c r="Q68" s="41">
        <f>'Model Inputs'!M25</f>
        <v>10</v>
      </c>
      <c r="R68" s="41">
        <f>'Model Inputs'!N25</f>
        <v>10</v>
      </c>
      <c r="S68" s="41">
        <f>'Model Inputs'!O25</f>
        <v>10</v>
      </c>
    </row>
    <row r="69" spans="2:19" x14ac:dyDescent="0.25">
      <c r="E69" t="s">
        <v>129</v>
      </c>
      <c r="G69" t="s">
        <v>288</v>
      </c>
      <c r="I69" s="43">
        <v>0.9</v>
      </c>
      <c r="K69" s="42"/>
      <c r="L69" s="42"/>
      <c r="M69" s="42"/>
      <c r="N69" s="42"/>
      <c r="O69" s="41">
        <f>$I69*O68</f>
        <v>9</v>
      </c>
      <c r="P69" s="41">
        <f t="shared" ref="P69" si="78">$I69*P68</f>
        <v>9</v>
      </c>
      <c r="Q69" s="41">
        <f t="shared" ref="Q69" si="79">$I69*Q68</f>
        <v>9</v>
      </c>
      <c r="R69" s="41">
        <f t="shared" ref="R69" si="80">$I69*R68</f>
        <v>9</v>
      </c>
      <c r="S69" s="41">
        <f t="shared" ref="S69" si="81">$I69*S68</f>
        <v>9</v>
      </c>
    </row>
    <row r="71" spans="2:19" x14ac:dyDescent="0.25">
      <c r="C71" t="s">
        <v>47</v>
      </c>
      <c r="K71" s="41">
        <f>'Model Inputs'!G26</f>
        <v>0</v>
      </c>
      <c r="L71" s="41">
        <f>'Model Inputs'!H26</f>
        <v>0</v>
      </c>
      <c r="M71" s="41">
        <f>'Model Inputs'!I26</f>
        <v>0</v>
      </c>
      <c r="N71" s="41">
        <f>'Model Inputs'!J26</f>
        <v>0</v>
      </c>
      <c r="O71" s="41" cm="1">
        <f t="array" ref="O71">INDEX(O72:O74,$BE$1)</f>
        <v>5.4</v>
      </c>
      <c r="P71" s="41" cm="1">
        <f t="array" ref="P71">INDEX(P72:P74,$BE$1)</f>
        <v>5.4</v>
      </c>
      <c r="Q71" s="41" cm="1">
        <f t="array" ref="Q71">INDEX(Q72:Q74,$BE$1)</f>
        <v>5.4</v>
      </c>
      <c r="R71" s="41" cm="1">
        <f t="array" ref="R71">INDEX(R72:R74,$BE$1)</f>
        <v>5.4</v>
      </c>
      <c r="S71" s="41" cm="1">
        <f t="array" ref="S71">INDEX(S72:S74,$BE$1)</f>
        <v>5.4</v>
      </c>
    </row>
    <row r="72" spans="2:19" x14ac:dyDescent="0.25">
      <c r="E72" t="s">
        <v>127</v>
      </c>
      <c r="G72" t="s">
        <v>288</v>
      </c>
      <c r="I72" s="43">
        <v>0.9</v>
      </c>
      <c r="K72" s="42"/>
      <c r="L72" s="42"/>
      <c r="M72" s="42"/>
      <c r="N72" s="42"/>
      <c r="O72" s="41">
        <f>$I72*O73</f>
        <v>5.4</v>
      </c>
      <c r="P72" s="41">
        <f t="shared" ref="P72" si="82">$I72*P73</f>
        <v>5.4</v>
      </c>
      <c r="Q72" s="41">
        <f t="shared" ref="Q72" si="83">$I72*Q73</f>
        <v>5.4</v>
      </c>
      <c r="R72" s="41">
        <f t="shared" ref="R72" si="84">$I72*R73</f>
        <v>5.4</v>
      </c>
      <c r="S72" s="41">
        <f t="shared" ref="S72" si="85">$I72*S73</f>
        <v>5.4</v>
      </c>
    </row>
    <row r="73" spans="2:19" x14ac:dyDescent="0.25">
      <c r="E73" t="s">
        <v>128</v>
      </c>
      <c r="G73" t="s">
        <v>288</v>
      </c>
      <c r="I73" s="44" t="s">
        <v>130</v>
      </c>
      <c r="K73" s="42"/>
      <c r="L73" s="42"/>
      <c r="M73" s="42"/>
      <c r="N73" s="42"/>
      <c r="O73" s="41">
        <f>'Model Inputs'!K26</f>
        <v>6</v>
      </c>
      <c r="P73" s="41">
        <f>'Model Inputs'!L26</f>
        <v>6</v>
      </c>
      <c r="Q73" s="41">
        <f>'Model Inputs'!M26</f>
        <v>6</v>
      </c>
      <c r="R73" s="41">
        <f>'Model Inputs'!N26</f>
        <v>6</v>
      </c>
      <c r="S73" s="41">
        <f>'Model Inputs'!O26</f>
        <v>6</v>
      </c>
    </row>
    <row r="74" spans="2:19" x14ac:dyDescent="0.25">
      <c r="E74" t="s">
        <v>129</v>
      </c>
      <c r="G74" t="s">
        <v>288</v>
      </c>
      <c r="I74" s="43">
        <v>1.1000000000000001</v>
      </c>
      <c r="K74" s="42"/>
      <c r="L74" s="42"/>
      <c r="M74" s="42"/>
      <c r="N74" s="42"/>
      <c r="O74" s="41">
        <f>$I74*O73</f>
        <v>6.6000000000000005</v>
      </c>
      <c r="P74" s="41">
        <f t="shared" ref="P74" si="86">$I74*P73</f>
        <v>6.6000000000000005</v>
      </c>
      <c r="Q74" s="41">
        <f t="shared" ref="Q74" si="87">$I74*Q73</f>
        <v>6.6000000000000005</v>
      </c>
      <c r="R74" s="41">
        <f t="shared" ref="R74" si="88">$I74*R73</f>
        <v>6.6000000000000005</v>
      </c>
      <c r="S74" s="41">
        <f t="shared" ref="S74" si="89">$I74*S73</f>
        <v>6.6000000000000005</v>
      </c>
    </row>
    <row r="77" spans="2:19" x14ac:dyDescent="0.25">
      <c r="B77" t="s">
        <v>48</v>
      </c>
    </row>
    <row r="78" spans="2:19" x14ac:dyDescent="0.25">
      <c r="C78" t="s">
        <v>131</v>
      </c>
      <c r="K78" s="41">
        <f>'Model Inputs'!G47</f>
        <v>0</v>
      </c>
      <c r="L78" s="41">
        <f>'Model Inputs'!H47</f>
        <v>0</v>
      </c>
      <c r="M78" s="41">
        <f>'Model Inputs'!I47</f>
        <v>0</v>
      </c>
      <c r="N78" s="41">
        <f>'Model Inputs'!J47</f>
        <v>0</v>
      </c>
      <c r="O78" s="41" cm="1">
        <f t="array" ref="O78">INDEX(O79:O81,$BE$1)</f>
        <v>66347580.174927108</v>
      </c>
      <c r="P78" s="41">
        <f>INDEX(P79:P81,$BE$1)</f>
        <v>68516580.174927115</v>
      </c>
      <c r="Q78" s="41" cm="1">
        <f t="array" ref="Q78">INDEX(Q79:Q81,$BE$1)</f>
        <v>79257096.209912524</v>
      </c>
      <c r="R78" s="41" cm="1">
        <f t="array" ref="R78">INDEX(R79:R81,$BE$1)</f>
        <v>81426096.209912524</v>
      </c>
      <c r="S78" s="41" cm="1">
        <f t="array" ref="S78">INDEX(S79:S81,$BE$1)</f>
        <v>83595096.209912524</v>
      </c>
    </row>
    <row r="79" spans="2:19" x14ac:dyDescent="0.25">
      <c r="E79" t="s">
        <v>127</v>
      </c>
      <c r="G79" t="s">
        <v>288</v>
      </c>
      <c r="I79" s="43">
        <v>0.9</v>
      </c>
      <c r="K79" s="42"/>
      <c r="L79" s="42"/>
      <c r="M79" s="42"/>
      <c r="N79" s="42"/>
      <c r="O79" s="41">
        <f>$I79*O80</f>
        <v>66347580.174927108</v>
      </c>
      <c r="P79" s="41">
        <f t="shared" ref="P79" si="90">$I79*P80</f>
        <v>68516580.174927115</v>
      </c>
      <c r="Q79" s="41">
        <f t="shared" ref="Q79" si="91">$I79*Q80</f>
        <v>79257096.209912524</v>
      </c>
      <c r="R79" s="41">
        <f t="shared" ref="R79" si="92">$I79*R80</f>
        <v>81426096.209912524</v>
      </c>
      <c r="S79" s="41">
        <f t="shared" ref="S79" si="93">$I79*S80</f>
        <v>83595096.209912524</v>
      </c>
    </row>
    <row r="80" spans="2:19" x14ac:dyDescent="0.25">
      <c r="E80" t="s">
        <v>128</v>
      </c>
      <c r="G80" t="s">
        <v>288</v>
      </c>
      <c r="I80" s="44" t="s">
        <v>130</v>
      </c>
      <c r="K80" s="42"/>
      <c r="L80" s="42"/>
      <c r="M80" s="42"/>
      <c r="N80" s="42"/>
      <c r="O80" s="41">
        <f>'Model Inputs'!K47</f>
        <v>73719533.527696788</v>
      </c>
      <c r="P80" s="41">
        <f>'Model Inputs'!L47</f>
        <v>76129533.527696788</v>
      </c>
      <c r="Q80" s="41">
        <f>'Model Inputs'!M47</f>
        <v>88063440.233236134</v>
      </c>
      <c r="R80" s="41">
        <f>'Model Inputs'!N47</f>
        <v>90473440.233236134</v>
      </c>
      <c r="S80" s="41">
        <f>'Model Inputs'!O47</f>
        <v>92883440.233236134</v>
      </c>
    </row>
    <row r="81" spans="2:19" x14ac:dyDescent="0.25">
      <c r="E81" t="s">
        <v>129</v>
      </c>
      <c r="G81" t="s">
        <v>288</v>
      </c>
      <c r="I81" s="43">
        <v>1.1000000000000001</v>
      </c>
      <c r="K81" s="42"/>
      <c r="L81" s="42"/>
      <c r="M81" s="42"/>
      <c r="N81" s="42"/>
      <c r="O81" s="41">
        <f>$I81*O80</f>
        <v>81091486.880466476</v>
      </c>
      <c r="P81" s="41">
        <f t="shared" ref="P81" si="94">$I81*P80</f>
        <v>83742486.880466476</v>
      </c>
      <c r="Q81" s="41">
        <f t="shared" ref="Q81" si="95">$I81*Q80</f>
        <v>96869784.256559759</v>
      </c>
      <c r="R81" s="41">
        <f t="shared" ref="R81" si="96">$I81*R80</f>
        <v>99520784.256559759</v>
      </c>
      <c r="S81" s="41">
        <f t="shared" ref="S81" si="97">$I81*S80</f>
        <v>102171784.25655976</v>
      </c>
    </row>
    <row r="84" spans="2:19" x14ac:dyDescent="0.25">
      <c r="B84" t="s">
        <v>65</v>
      </c>
    </row>
    <row r="85" spans="2:19" x14ac:dyDescent="0.25">
      <c r="C85" t="s">
        <v>65</v>
      </c>
      <c r="K85" s="41">
        <f>'Model Inputs'!G54</f>
        <v>0</v>
      </c>
      <c r="L85" s="41">
        <f>'Model Inputs'!H54</f>
        <v>0</v>
      </c>
      <c r="M85" s="41">
        <f>'Model Inputs'!I54</f>
        <v>0</v>
      </c>
      <c r="N85" s="41">
        <f>'Model Inputs'!J54</f>
        <v>0</v>
      </c>
      <c r="O85" s="41" cm="1">
        <f t="array" ref="O85">INDEX(O86:O88,$BE$1)</f>
        <v>1980000</v>
      </c>
      <c r="P85" s="41" cm="1">
        <f t="array" ref="P85">INDEX(P86:P88,$BE$1)</f>
        <v>1980000</v>
      </c>
      <c r="Q85" s="41" cm="1">
        <f t="array" ref="Q85">INDEX(Q86:Q88,$BE$1)</f>
        <v>1980000</v>
      </c>
      <c r="R85" s="41" cm="1">
        <f t="array" ref="R85">INDEX(R86:R88,$BE$1)</f>
        <v>1980000</v>
      </c>
      <c r="S85" s="41" cm="1">
        <f t="array" ref="S85">INDEX(S86:S88,$BE$1)</f>
        <v>1980000</v>
      </c>
    </row>
    <row r="86" spans="2:19" x14ac:dyDescent="0.25">
      <c r="E86" t="s">
        <v>127</v>
      </c>
      <c r="G86" t="s">
        <v>288</v>
      </c>
      <c r="I86" s="43">
        <v>0.9</v>
      </c>
      <c r="K86" s="42"/>
      <c r="L86" s="42"/>
      <c r="M86" s="42"/>
      <c r="N86" s="42"/>
      <c r="O86" s="41">
        <f>$I86*O87</f>
        <v>1980000</v>
      </c>
      <c r="P86" s="41">
        <f t="shared" ref="P86" si="98">$I86*P87</f>
        <v>1980000</v>
      </c>
      <c r="Q86" s="41">
        <f t="shared" ref="Q86" si="99">$I86*Q87</f>
        <v>1980000</v>
      </c>
      <c r="R86" s="41">
        <f t="shared" ref="R86" si="100">$I86*R87</f>
        <v>1980000</v>
      </c>
      <c r="S86" s="41">
        <f t="shared" ref="S86" si="101">$I86*S87</f>
        <v>1980000</v>
      </c>
    </row>
    <row r="87" spans="2:19" x14ac:dyDescent="0.25">
      <c r="E87" t="s">
        <v>128</v>
      </c>
      <c r="G87" t="s">
        <v>288</v>
      </c>
      <c r="I87" s="44" t="s">
        <v>130</v>
      </c>
      <c r="K87" s="42"/>
      <c r="L87" s="42"/>
      <c r="M87" s="42"/>
      <c r="N87" s="42"/>
      <c r="O87" s="41">
        <f>'Model Inputs'!K54</f>
        <v>2200000</v>
      </c>
      <c r="P87" s="41">
        <f>'Model Inputs'!L54</f>
        <v>2200000</v>
      </c>
      <c r="Q87" s="41">
        <f>'Model Inputs'!M54</f>
        <v>2200000</v>
      </c>
      <c r="R87" s="41">
        <f>'Model Inputs'!N54</f>
        <v>2200000</v>
      </c>
      <c r="S87" s="41">
        <f>'Model Inputs'!O54</f>
        <v>2200000</v>
      </c>
    </row>
    <row r="88" spans="2:19" x14ac:dyDescent="0.25">
      <c r="E88" t="s">
        <v>129</v>
      </c>
      <c r="G88" t="s">
        <v>288</v>
      </c>
      <c r="I88" s="43">
        <v>1.1000000000000001</v>
      </c>
      <c r="K88" s="42"/>
      <c r="L88" s="42"/>
      <c r="M88" s="42"/>
      <c r="N88" s="42"/>
      <c r="O88" s="41">
        <f>$I88*O87</f>
        <v>2420000</v>
      </c>
      <c r="P88" s="41">
        <f t="shared" ref="P88" si="102">$I88*P87</f>
        <v>2420000</v>
      </c>
      <c r="Q88" s="41">
        <f t="shared" ref="Q88" si="103">$I88*Q87</f>
        <v>2420000</v>
      </c>
      <c r="R88" s="41">
        <f t="shared" ref="R88" si="104">$I88*R87</f>
        <v>2420000</v>
      </c>
      <c r="S88" s="41">
        <f t="shared" ref="S88" si="105">$I88*S87</f>
        <v>2420000</v>
      </c>
    </row>
  </sheetData>
  <dataValidations disablePrompts="1" count="1">
    <dataValidation type="list" allowBlank="1" showInputMessage="1" showErrorMessage="1" sqref="D5" xr:uid="{3C3BF844-CBD5-422A-A0B4-92F18AF9668D}">
      <formula1>"Optimistic,Conservative,Pessimistic"</formula1>
    </dataValidation>
  </dataValidations>
  <hyperlinks>
    <hyperlink ref="O1" location="'Table of Content'!A1" display="&gt;&gt; Table of Contents" xr:uid="{73E7718C-E42C-49C4-B7F5-D34CE4A2290A}"/>
  </hyperlinks>
  <pageMargins left="0.7" right="0.7" top="0.75" bottom="0.75" header="0.3" footer="0.3"/>
  <pageSetup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4" name="Drop Down 2">
              <controlPr defaultSize="0" autoLine="0" autoPict="0">
                <anchor moveWithCells="1">
                  <from>
                    <xdr:col>2</xdr:col>
                    <xdr:colOff>333375</xdr:colOff>
                    <xdr:row>3</xdr:row>
                    <xdr:rowOff>180975</xdr:rowOff>
                  </from>
                  <to>
                    <xdr:col>4</xdr:col>
                    <xdr:colOff>257175</xdr:colOff>
                    <xdr:row>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A8DD2-B0DD-464A-9B3C-7B46D40246A5}">
  <sheetPr>
    <tabColor theme="7"/>
  </sheetPr>
  <dimension ref="B1:T116"/>
  <sheetViews>
    <sheetView showGridLines="0" topLeftCell="A85" zoomScale="80" zoomScaleNormal="80" workbookViewId="0">
      <selection activeCell="G106" sqref="G106"/>
    </sheetView>
  </sheetViews>
  <sheetFormatPr defaultColWidth="9.28515625" defaultRowHeight="15" x14ac:dyDescent="0.25"/>
  <cols>
    <col min="1" max="1" width="4.7109375" customWidth="1"/>
    <col min="2" max="2" width="3.140625" customWidth="1"/>
    <col min="3" max="3" width="47.42578125" customWidth="1"/>
    <col min="5" max="5" width="3.5703125" customWidth="1"/>
    <col min="6" max="6" width="11.42578125" customWidth="1"/>
    <col min="7" max="7" width="8.5703125" bestFit="1" customWidth="1"/>
    <col min="8" max="8" width="8.5703125" customWidth="1"/>
    <col min="9" max="9" width="9.42578125" bestFit="1" customWidth="1"/>
    <col min="10" max="10" width="14.42578125" customWidth="1"/>
    <col min="11" max="15" width="14.28515625" bestFit="1" customWidth="1"/>
    <col min="16" max="16" width="11.7109375" bestFit="1" customWidth="1"/>
  </cols>
  <sheetData>
    <row r="1" spans="2:20" s="14" customFormat="1" x14ac:dyDescent="0.25">
      <c r="C1" s="14" t="str">
        <f>Summary!D3</f>
        <v>M-pharmaceutical</v>
      </c>
      <c r="K1" s="14" t="str">
        <f>Scenarios!K1</f>
        <v>Currently running scenario: Optimistic</v>
      </c>
      <c r="O1" s="52" t="s">
        <v>237</v>
      </c>
      <c r="T1" s="14" t="str">
        <f>Summary!K2</f>
        <v>Last Updated: 20-January-2025</v>
      </c>
    </row>
    <row r="3" spans="2:20" ht="21" x14ac:dyDescent="0.35">
      <c r="B3" s="16" t="s">
        <v>31</v>
      </c>
      <c r="C3" s="16"/>
      <c r="D3" s="16"/>
      <c r="E3" s="16"/>
      <c r="F3" s="16"/>
      <c r="G3" s="16"/>
      <c r="H3" s="16"/>
    </row>
    <row r="6" spans="2:20" x14ac:dyDescent="0.25">
      <c r="B6" s="19"/>
      <c r="C6" s="20" t="s">
        <v>264</v>
      </c>
      <c r="D6" s="20"/>
      <c r="E6" s="20"/>
      <c r="F6" s="21"/>
      <c r="G6" s="22">
        <v>2016</v>
      </c>
      <c r="H6" s="22">
        <v>2017</v>
      </c>
      <c r="I6" s="22">
        <v>2018</v>
      </c>
      <c r="J6" s="22">
        <v>2019</v>
      </c>
      <c r="K6" s="22">
        <v>2020</v>
      </c>
      <c r="L6" s="22">
        <v>2021</v>
      </c>
      <c r="M6" s="22">
        <v>2022</v>
      </c>
      <c r="N6" s="22">
        <v>2023</v>
      </c>
      <c r="O6" s="22">
        <v>2024</v>
      </c>
    </row>
    <row r="7" spans="2:20" x14ac:dyDescent="0.25">
      <c r="F7" s="29"/>
    </row>
    <row r="8" spans="2:20" x14ac:dyDescent="0.25">
      <c r="B8" t="s">
        <v>133</v>
      </c>
      <c r="F8" s="30"/>
    </row>
    <row r="9" spans="2:20" x14ac:dyDescent="0.25">
      <c r="C9" t="s">
        <v>45</v>
      </c>
      <c r="D9" t="s">
        <v>114</v>
      </c>
      <c r="F9" s="30"/>
      <c r="G9" s="28"/>
      <c r="H9" s="28"/>
      <c r="I9" s="28"/>
      <c r="J9" s="28"/>
      <c r="K9" s="28">
        <v>500000</v>
      </c>
      <c r="L9" s="28">
        <v>600000</v>
      </c>
      <c r="M9" s="28">
        <v>750000</v>
      </c>
      <c r="N9" s="28">
        <v>900000</v>
      </c>
      <c r="O9" s="28">
        <v>1000000</v>
      </c>
    </row>
    <row r="10" spans="2:20" x14ac:dyDescent="0.25">
      <c r="C10" t="s">
        <v>46</v>
      </c>
      <c r="D10" t="s">
        <v>288</v>
      </c>
      <c r="F10" s="30"/>
      <c r="G10" s="27"/>
      <c r="H10" s="27"/>
      <c r="I10" s="27"/>
      <c r="J10" s="27"/>
      <c r="K10" s="27">
        <v>1000</v>
      </c>
      <c r="L10" s="27">
        <v>1000</v>
      </c>
      <c r="M10" s="27">
        <v>1000</v>
      </c>
      <c r="N10" s="27">
        <v>1200</v>
      </c>
      <c r="O10" s="27">
        <v>1200</v>
      </c>
    </row>
    <row r="11" spans="2:20" x14ac:dyDescent="0.25">
      <c r="C11" t="s">
        <v>47</v>
      </c>
      <c r="D11" t="s">
        <v>288</v>
      </c>
      <c r="F11" s="30"/>
      <c r="G11" s="27"/>
      <c r="H11" s="27"/>
      <c r="I11" s="27"/>
      <c r="J11" s="27"/>
      <c r="K11" s="27">
        <v>400</v>
      </c>
      <c r="L11" s="27">
        <v>400</v>
      </c>
      <c r="M11" s="27">
        <v>450</v>
      </c>
      <c r="N11" s="27">
        <v>450</v>
      </c>
      <c r="O11" s="27">
        <v>500</v>
      </c>
    </row>
    <row r="12" spans="2:20" x14ac:dyDescent="0.25">
      <c r="F12" s="30"/>
    </row>
    <row r="13" spans="2:20" x14ac:dyDescent="0.25">
      <c r="B13" t="s">
        <v>111</v>
      </c>
      <c r="F13" s="30"/>
    </row>
    <row r="14" spans="2:20" x14ac:dyDescent="0.25">
      <c r="C14" t="s">
        <v>45</v>
      </c>
      <c r="D14" t="s">
        <v>114</v>
      </c>
      <c r="F14" s="30"/>
      <c r="G14" s="28"/>
      <c r="H14" s="28"/>
      <c r="I14" s="28"/>
      <c r="J14" s="28"/>
      <c r="K14" s="28">
        <v>800000</v>
      </c>
      <c r="L14" s="28">
        <v>850000</v>
      </c>
      <c r="M14" s="28">
        <v>900000</v>
      </c>
      <c r="N14" s="76">
        <v>950000</v>
      </c>
      <c r="O14" s="76">
        <v>1050000</v>
      </c>
    </row>
    <row r="15" spans="2:20" x14ac:dyDescent="0.25">
      <c r="C15" t="s">
        <v>46</v>
      </c>
      <c r="D15" t="s">
        <v>288</v>
      </c>
      <c r="F15" s="30"/>
      <c r="G15" s="27"/>
      <c r="H15" s="27"/>
      <c r="I15" s="27"/>
      <c r="J15" s="27"/>
      <c r="K15" s="27">
        <v>500</v>
      </c>
      <c r="L15" s="27">
        <v>500</v>
      </c>
      <c r="M15" s="27">
        <v>500</v>
      </c>
      <c r="N15" s="77">
        <v>500</v>
      </c>
      <c r="O15" s="77">
        <v>500</v>
      </c>
    </row>
    <row r="16" spans="2:20" x14ac:dyDescent="0.25">
      <c r="C16" t="s">
        <v>47</v>
      </c>
      <c r="D16" t="s">
        <v>288</v>
      </c>
      <c r="F16" s="30"/>
      <c r="G16" s="27"/>
      <c r="H16" s="27"/>
      <c r="I16" s="27"/>
      <c r="J16" s="27"/>
      <c r="K16" s="27">
        <v>180</v>
      </c>
      <c r="L16" s="27">
        <v>180</v>
      </c>
      <c r="M16" s="27">
        <v>180</v>
      </c>
      <c r="N16" s="77">
        <v>180</v>
      </c>
      <c r="O16" s="77">
        <v>180</v>
      </c>
    </row>
    <row r="17" spans="2:15" x14ac:dyDescent="0.25">
      <c r="F17" s="30"/>
    </row>
    <row r="18" spans="2:15" x14ac:dyDescent="0.25">
      <c r="B18" t="s">
        <v>112</v>
      </c>
      <c r="F18" s="30"/>
    </row>
    <row r="19" spans="2:15" x14ac:dyDescent="0.25">
      <c r="C19" t="s">
        <v>45</v>
      </c>
      <c r="D19" t="s">
        <v>114</v>
      </c>
      <c r="F19" s="30"/>
      <c r="G19" s="28"/>
      <c r="H19" s="28"/>
      <c r="I19" s="28"/>
      <c r="J19" s="28"/>
      <c r="K19" s="28">
        <v>1000000</v>
      </c>
      <c r="L19" s="28">
        <v>1500000</v>
      </c>
      <c r="M19" s="28">
        <v>2200000</v>
      </c>
      <c r="N19" s="28">
        <v>2800000</v>
      </c>
      <c r="O19" s="76">
        <v>4000000</v>
      </c>
    </row>
    <row r="20" spans="2:15" x14ac:dyDescent="0.25">
      <c r="C20" t="s">
        <v>46</v>
      </c>
      <c r="D20" t="s">
        <v>288</v>
      </c>
      <c r="F20" s="30"/>
      <c r="G20" s="27"/>
      <c r="H20" s="27"/>
      <c r="I20" s="27"/>
      <c r="J20" s="27"/>
      <c r="K20" s="27">
        <v>20</v>
      </c>
      <c r="L20" s="27">
        <v>20</v>
      </c>
      <c r="M20" s="27">
        <v>20</v>
      </c>
      <c r="N20" s="27">
        <v>20</v>
      </c>
      <c r="O20" s="27">
        <v>20</v>
      </c>
    </row>
    <row r="21" spans="2:15" x14ac:dyDescent="0.25">
      <c r="C21" t="s">
        <v>47</v>
      </c>
      <c r="D21" t="s">
        <v>288</v>
      </c>
      <c r="F21" s="30"/>
      <c r="G21" s="27"/>
      <c r="H21" s="27"/>
      <c r="I21" s="27"/>
      <c r="J21" s="27"/>
      <c r="K21" s="27">
        <v>10</v>
      </c>
      <c r="L21" s="27">
        <v>10</v>
      </c>
      <c r="M21" s="27">
        <v>10</v>
      </c>
      <c r="N21" s="27">
        <v>10</v>
      </c>
      <c r="O21" s="27">
        <v>10</v>
      </c>
    </row>
    <row r="22" spans="2:15" x14ac:dyDescent="0.25">
      <c r="F22" s="30"/>
    </row>
    <row r="23" spans="2:15" x14ac:dyDescent="0.25">
      <c r="B23" t="s">
        <v>113</v>
      </c>
      <c r="F23" s="30"/>
    </row>
    <row r="24" spans="2:15" x14ac:dyDescent="0.25">
      <c r="C24" t="s">
        <v>45</v>
      </c>
      <c r="F24" s="30"/>
      <c r="G24" s="28"/>
      <c r="H24" s="28"/>
      <c r="I24" s="28"/>
      <c r="J24" s="28"/>
      <c r="K24" s="28">
        <v>1000000</v>
      </c>
      <c r="L24" s="28">
        <v>1500000</v>
      </c>
      <c r="M24" s="28">
        <v>2200000</v>
      </c>
      <c r="N24" s="28">
        <v>2800000</v>
      </c>
      <c r="O24" s="28">
        <v>4000000</v>
      </c>
    </row>
    <row r="25" spans="2:15" x14ac:dyDescent="0.25">
      <c r="C25" t="s">
        <v>46</v>
      </c>
      <c r="D25" t="s">
        <v>288</v>
      </c>
      <c r="F25" s="30"/>
      <c r="G25" s="27"/>
      <c r="H25" s="27"/>
      <c r="I25" s="27"/>
      <c r="J25" s="27"/>
      <c r="K25" s="27">
        <v>10</v>
      </c>
      <c r="L25" s="27">
        <v>10</v>
      </c>
      <c r="M25" s="27">
        <v>10</v>
      </c>
      <c r="N25" s="27">
        <v>10</v>
      </c>
      <c r="O25" s="27">
        <v>10</v>
      </c>
    </row>
    <row r="26" spans="2:15" x14ac:dyDescent="0.25">
      <c r="C26" t="s">
        <v>47</v>
      </c>
      <c r="D26" t="s">
        <v>288</v>
      </c>
      <c r="F26" s="30"/>
      <c r="G26" s="27"/>
      <c r="H26" s="27"/>
      <c r="I26" s="27"/>
      <c r="J26" s="27"/>
      <c r="K26" s="27">
        <v>6</v>
      </c>
      <c r="L26" s="27">
        <v>6</v>
      </c>
      <c r="M26" s="27">
        <v>6</v>
      </c>
      <c r="N26" s="27">
        <v>6</v>
      </c>
      <c r="O26" s="27">
        <v>6</v>
      </c>
    </row>
    <row r="27" spans="2:15" x14ac:dyDescent="0.25">
      <c r="F27" s="30"/>
    </row>
    <row r="28" spans="2:15" x14ac:dyDescent="0.25">
      <c r="F28" s="30"/>
    </row>
    <row r="29" spans="2:15" x14ac:dyDescent="0.25">
      <c r="B29" t="s">
        <v>48</v>
      </c>
      <c r="F29" s="30"/>
    </row>
    <row r="30" spans="2:15" x14ac:dyDescent="0.25">
      <c r="C30" t="s">
        <v>49</v>
      </c>
      <c r="D30" t="s">
        <v>288</v>
      </c>
      <c r="F30" s="30"/>
      <c r="G30" s="28"/>
      <c r="H30" s="28"/>
      <c r="I30" s="28"/>
      <c r="J30" s="28"/>
      <c r="K30" s="28">
        <v>2000000</v>
      </c>
      <c r="L30" s="28">
        <v>2000000</v>
      </c>
      <c r="M30" s="28">
        <v>2000000</v>
      </c>
      <c r="N30" s="28">
        <v>2000000</v>
      </c>
      <c r="O30" s="28">
        <v>2000000</v>
      </c>
    </row>
    <row r="31" spans="2:15" x14ac:dyDescent="0.25">
      <c r="C31" t="s">
        <v>50</v>
      </c>
      <c r="D31" t="s">
        <v>288</v>
      </c>
      <c r="F31" s="30"/>
      <c r="G31" s="28"/>
      <c r="H31" s="28"/>
      <c r="I31" s="28"/>
      <c r="J31" s="28"/>
      <c r="K31" s="28">
        <f>'Directors and Staff Costs'!K9</f>
        <v>6500000</v>
      </c>
      <c r="L31" s="28">
        <f>('Directors and Staff Costs'!L9)*1.1</f>
        <v>7150000.0000000009</v>
      </c>
      <c r="M31" s="28">
        <f>('Directors and Staff Costs'!M9)*1.2</f>
        <v>7800000</v>
      </c>
      <c r="N31" s="28">
        <f>('Directors and Staff Costs'!N9)*1.3</f>
        <v>8450000</v>
      </c>
      <c r="O31" s="28">
        <f>('Directors and Staff Costs'!O9)*1.4</f>
        <v>9100000</v>
      </c>
    </row>
    <row r="32" spans="2:15" x14ac:dyDescent="0.25">
      <c r="C32" t="s">
        <v>51</v>
      </c>
      <c r="D32" t="s">
        <v>288</v>
      </c>
      <c r="F32" s="30"/>
      <c r="G32" s="28"/>
      <c r="H32" s="28"/>
      <c r="I32" s="28"/>
      <c r="J32" s="28"/>
      <c r="K32" s="28">
        <v>1500000</v>
      </c>
      <c r="L32" s="28">
        <v>1650000.0000000002</v>
      </c>
      <c r="M32" s="28">
        <v>1800000</v>
      </c>
      <c r="N32" s="28">
        <v>1950000</v>
      </c>
      <c r="O32" s="28">
        <v>2100000</v>
      </c>
    </row>
    <row r="33" spans="3:15" x14ac:dyDescent="0.25">
      <c r="C33" t="s">
        <v>52</v>
      </c>
      <c r="D33" t="s">
        <v>288</v>
      </c>
      <c r="F33" s="30"/>
      <c r="G33" s="28"/>
      <c r="H33" s="28"/>
      <c r="I33" s="28"/>
      <c r="J33" s="28"/>
      <c r="K33" s="28">
        <v>1200000</v>
      </c>
      <c r="L33" s="28">
        <v>1320000</v>
      </c>
      <c r="M33" s="28">
        <v>1440000</v>
      </c>
      <c r="N33" s="28">
        <v>1560000</v>
      </c>
      <c r="O33" s="28">
        <v>1680000</v>
      </c>
    </row>
    <row r="34" spans="3:15" x14ac:dyDescent="0.25">
      <c r="C34" t="s">
        <v>53</v>
      </c>
      <c r="D34" t="s">
        <v>288</v>
      </c>
      <c r="F34" s="30"/>
      <c r="G34" s="28"/>
      <c r="H34" s="28"/>
      <c r="I34" s="28"/>
      <c r="J34" s="28"/>
      <c r="K34" s="28">
        <v>2000000</v>
      </c>
      <c r="L34" s="28">
        <v>2200000</v>
      </c>
      <c r="M34" s="28">
        <v>2400000</v>
      </c>
      <c r="N34" s="28">
        <v>2600000</v>
      </c>
      <c r="O34" s="28">
        <v>2800000</v>
      </c>
    </row>
    <row r="35" spans="3:15" x14ac:dyDescent="0.25">
      <c r="C35" t="s">
        <v>54</v>
      </c>
      <c r="D35" t="s">
        <v>288</v>
      </c>
      <c r="F35" s="30"/>
      <c r="G35" s="28"/>
      <c r="H35" s="28"/>
      <c r="I35" s="28"/>
      <c r="J35" s="28"/>
      <c r="K35" s="28">
        <v>5000000</v>
      </c>
      <c r="L35" s="28">
        <v>5500000</v>
      </c>
      <c r="M35" s="28">
        <v>6000000</v>
      </c>
      <c r="N35" s="28">
        <v>6500000</v>
      </c>
      <c r="O35" s="28">
        <v>7000000</v>
      </c>
    </row>
    <row r="36" spans="3:15" x14ac:dyDescent="0.25">
      <c r="C36" t="s">
        <v>55</v>
      </c>
      <c r="D36" t="s">
        <v>288</v>
      </c>
      <c r="F36" s="30"/>
      <c r="G36" s="28"/>
      <c r="H36" s="28"/>
      <c r="I36" s="28"/>
      <c r="J36" s="28"/>
      <c r="K36" s="28">
        <v>1000000</v>
      </c>
      <c r="L36" s="28">
        <v>1100000</v>
      </c>
      <c r="M36" s="28">
        <v>1200000</v>
      </c>
      <c r="N36" s="28">
        <v>1300000</v>
      </c>
      <c r="O36" s="28">
        <v>1400000</v>
      </c>
    </row>
    <row r="37" spans="3:15" x14ac:dyDescent="0.25">
      <c r="C37" t="s">
        <v>123</v>
      </c>
      <c r="D37" t="s">
        <v>288</v>
      </c>
      <c r="F37" s="30"/>
      <c r="G37" s="28"/>
      <c r="H37" s="28"/>
      <c r="I37" s="28"/>
      <c r="J37" s="28"/>
      <c r="K37" s="28">
        <v>400000</v>
      </c>
      <c r="L37" s="28">
        <v>440000.00000000006</v>
      </c>
      <c r="M37" s="28">
        <v>480000</v>
      </c>
      <c r="N37" s="28">
        <v>520000</v>
      </c>
      <c r="O37" s="28">
        <v>560000</v>
      </c>
    </row>
    <row r="38" spans="3:15" x14ac:dyDescent="0.25">
      <c r="C38" t="s">
        <v>56</v>
      </c>
      <c r="D38" t="s">
        <v>288</v>
      </c>
      <c r="F38" s="30"/>
      <c r="G38" s="28"/>
      <c r="H38" s="28"/>
      <c r="I38" s="28"/>
      <c r="J38" s="28"/>
      <c r="K38" s="28">
        <v>800000</v>
      </c>
      <c r="L38" s="28">
        <v>880000.00000000012</v>
      </c>
      <c r="M38" s="28">
        <v>960000</v>
      </c>
      <c r="N38" s="28">
        <v>1040000</v>
      </c>
      <c r="O38" s="28">
        <v>1120000</v>
      </c>
    </row>
    <row r="39" spans="3:15" x14ac:dyDescent="0.25">
      <c r="C39" t="s">
        <v>57</v>
      </c>
      <c r="D39" t="s">
        <v>288</v>
      </c>
      <c r="F39" s="30"/>
      <c r="G39" s="28"/>
      <c r="H39" s="28"/>
      <c r="I39" s="28"/>
      <c r="J39" s="28"/>
      <c r="K39" s="28">
        <v>500000</v>
      </c>
      <c r="L39" s="28">
        <v>550000</v>
      </c>
      <c r="M39" s="28">
        <v>600000</v>
      </c>
      <c r="N39" s="28">
        <v>650000</v>
      </c>
      <c r="O39" s="28">
        <v>700000</v>
      </c>
    </row>
    <row r="40" spans="3:15" x14ac:dyDescent="0.25">
      <c r="C40" t="s">
        <v>58</v>
      </c>
      <c r="D40" t="s">
        <v>288</v>
      </c>
      <c r="F40" s="30"/>
      <c r="G40" s="28"/>
      <c r="H40" s="28"/>
      <c r="I40" s="28"/>
      <c r="J40" s="28"/>
      <c r="K40" s="28">
        <v>300000</v>
      </c>
      <c r="L40" s="28">
        <v>330000</v>
      </c>
      <c r="M40" s="28">
        <v>360000</v>
      </c>
      <c r="N40" s="28">
        <v>390000</v>
      </c>
      <c r="O40" s="28">
        <v>420000</v>
      </c>
    </row>
    <row r="41" spans="3:15" x14ac:dyDescent="0.25">
      <c r="C41" t="s">
        <v>59</v>
      </c>
      <c r="D41" t="s">
        <v>288</v>
      </c>
      <c r="F41" s="30"/>
      <c r="G41" s="28"/>
      <c r="H41" s="28"/>
      <c r="I41" s="28"/>
      <c r="J41" s="28"/>
      <c r="K41" s="28">
        <f>'Directors and Staff Costs'!K10</f>
        <v>47619533.527696788</v>
      </c>
      <c r="L41" s="28">
        <f>'Directors and Staff Costs'!L10</f>
        <v>47619533.527696788</v>
      </c>
      <c r="M41" s="28">
        <f>'Directors and Staff Costs'!M10</f>
        <v>57143440.233236142</v>
      </c>
      <c r="N41" s="28">
        <f>'Directors and Staff Costs'!N10</f>
        <v>57143440.233236142</v>
      </c>
      <c r="O41" s="28">
        <f>'Directors and Staff Costs'!O10</f>
        <v>57143440.233236142</v>
      </c>
    </row>
    <row r="42" spans="3:15" x14ac:dyDescent="0.25">
      <c r="C42" t="s">
        <v>60</v>
      </c>
      <c r="D42" t="s">
        <v>288</v>
      </c>
      <c r="F42" s="30"/>
      <c r="G42" s="28"/>
      <c r="H42" s="28"/>
      <c r="I42" s="28"/>
      <c r="J42" s="28"/>
      <c r="K42" s="28">
        <v>500000</v>
      </c>
      <c r="L42" s="28">
        <v>550000</v>
      </c>
      <c r="M42" s="28">
        <v>600000</v>
      </c>
      <c r="N42" s="28">
        <v>650000</v>
      </c>
      <c r="O42" s="28">
        <v>700000</v>
      </c>
    </row>
    <row r="43" spans="3:15" x14ac:dyDescent="0.25">
      <c r="C43" t="s">
        <v>61</v>
      </c>
      <c r="D43" t="s">
        <v>288</v>
      </c>
      <c r="F43" s="30"/>
      <c r="G43" s="28"/>
      <c r="H43" s="28"/>
      <c r="I43" s="28"/>
      <c r="J43" s="28"/>
      <c r="K43" s="28">
        <v>1200000</v>
      </c>
      <c r="L43" s="28">
        <v>1320000</v>
      </c>
      <c r="M43" s="28">
        <v>1440000</v>
      </c>
      <c r="N43" s="28">
        <v>1560000</v>
      </c>
      <c r="O43" s="28">
        <v>1680000</v>
      </c>
    </row>
    <row r="44" spans="3:15" x14ac:dyDescent="0.25">
      <c r="C44" t="s">
        <v>62</v>
      </c>
      <c r="D44" t="s">
        <v>288</v>
      </c>
      <c r="F44" s="30"/>
      <c r="G44" s="28"/>
      <c r="H44" s="28"/>
      <c r="I44" s="28"/>
      <c r="J44" s="28"/>
      <c r="K44" s="28">
        <v>1500000</v>
      </c>
      <c r="L44" s="28">
        <v>1650000.0000000002</v>
      </c>
      <c r="M44" s="28">
        <v>1800000</v>
      </c>
      <c r="N44" s="28">
        <v>1950000</v>
      </c>
      <c r="O44" s="28">
        <v>2100000</v>
      </c>
    </row>
    <row r="45" spans="3:15" x14ac:dyDescent="0.25">
      <c r="C45" t="s">
        <v>63</v>
      </c>
      <c r="D45" t="s">
        <v>288</v>
      </c>
      <c r="F45" s="30"/>
      <c r="G45" s="28"/>
      <c r="H45" s="28"/>
      <c r="I45" s="28"/>
      <c r="J45" s="28"/>
      <c r="K45" s="28">
        <v>1200000</v>
      </c>
      <c r="L45" s="28">
        <v>1320000</v>
      </c>
      <c r="M45" s="28">
        <v>1440000</v>
      </c>
      <c r="N45" s="28">
        <v>1560000</v>
      </c>
      <c r="O45" s="28">
        <v>1680000</v>
      </c>
    </row>
    <row r="46" spans="3:15" x14ac:dyDescent="0.25">
      <c r="C46" t="s">
        <v>64</v>
      </c>
      <c r="D46" t="s">
        <v>288</v>
      </c>
      <c r="F46" s="30"/>
      <c r="G46" s="28"/>
      <c r="H46" s="28"/>
      <c r="I46" s="28"/>
      <c r="J46" s="28"/>
      <c r="K46" s="28">
        <v>500000</v>
      </c>
      <c r="L46" s="28">
        <v>550000</v>
      </c>
      <c r="M46" s="28">
        <v>600000</v>
      </c>
      <c r="N46" s="28">
        <v>650000</v>
      </c>
      <c r="O46" s="28">
        <v>700000</v>
      </c>
    </row>
    <row r="47" spans="3:15" ht="15.75" thickBot="1" x14ac:dyDescent="0.3">
      <c r="F47" s="30"/>
      <c r="G47" s="31"/>
      <c r="H47" s="31"/>
      <c r="I47" s="31"/>
      <c r="J47" s="31"/>
      <c r="K47" s="39">
        <f>SUM(K30:K46)</f>
        <v>73719533.527696788</v>
      </c>
      <c r="L47" s="39">
        <f t="shared" ref="L47:O47" si="0">SUM(L30:L46)</f>
        <v>76129533.527696788</v>
      </c>
      <c r="M47" s="39">
        <f t="shared" si="0"/>
        <v>88063440.233236134</v>
      </c>
      <c r="N47" s="39">
        <f t="shared" si="0"/>
        <v>90473440.233236134</v>
      </c>
      <c r="O47" s="39">
        <f t="shared" si="0"/>
        <v>92883440.233236134</v>
      </c>
    </row>
    <row r="48" spans="3:15" ht="15.75" thickTop="1" x14ac:dyDescent="0.25">
      <c r="F48" s="30"/>
      <c r="J48" s="25"/>
    </row>
    <row r="49" spans="2:15" x14ac:dyDescent="0.25">
      <c r="B49" t="s">
        <v>65</v>
      </c>
      <c r="F49" s="30"/>
    </row>
    <row r="50" spans="2:15" x14ac:dyDescent="0.25">
      <c r="C50" t="s">
        <v>66</v>
      </c>
      <c r="D50" t="s">
        <v>288</v>
      </c>
      <c r="F50" s="30"/>
      <c r="G50" s="28"/>
      <c r="H50" s="28"/>
      <c r="I50" s="28"/>
      <c r="J50" s="28"/>
      <c r="K50" s="28">
        <v>1500000</v>
      </c>
      <c r="L50" s="28">
        <v>1500000</v>
      </c>
      <c r="M50" s="28">
        <v>1500000</v>
      </c>
      <c r="N50" s="28">
        <v>1500000</v>
      </c>
      <c r="O50" s="28">
        <v>1500000</v>
      </c>
    </row>
    <row r="51" spans="2:15" x14ac:dyDescent="0.25">
      <c r="C51" t="s">
        <v>67</v>
      </c>
      <c r="D51" t="s">
        <v>288</v>
      </c>
      <c r="F51" s="30"/>
      <c r="G51" s="28"/>
      <c r="H51" s="28"/>
      <c r="I51" s="28"/>
      <c r="J51" s="28"/>
      <c r="K51" s="28">
        <v>200000</v>
      </c>
      <c r="L51" s="28">
        <v>200000</v>
      </c>
      <c r="M51" s="28">
        <v>200000</v>
      </c>
      <c r="N51" s="28">
        <v>200000</v>
      </c>
      <c r="O51" s="28">
        <v>200000</v>
      </c>
    </row>
    <row r="52" spans="2:15" x14ac:dyDescent="0.25">
      <c r="C52" t="s">
        <v>68</v>
      </c>
      <c r="D52" t="s">
        <v>288</v>
      </c>
      <c r="F52" s="30"/>
      <c r="G52" s="28"/>
      <c r="H52" s="28"/>
      <c r="I52" s="28"/>
      <c r="J52" s="28"/>
      <c r="K52" s="28">
        <v>500000</v>
      </c>
      <c r="L52" s="28">
        <v>500000</v>
      </c>
      <c r="M52" s="28">
        <v>500000</v>
      </c>
      <c r="N52" s="28">
        <v>500000</v>
      </c>
      <c r="O52" s="28">
        <v>500000</v>
      </c>
    </row>
    <row r="53" spans="2:15" x14ac:dyDescent="0.25">
      <c r="C53" t="s">
        <v>64</v>
      </c>
      <c r="D53" t="s">
        <v>288</v>
      </c>
      <c r="F53" s="30"/>
      <c r="G53" s="28"/>
      <c r="H53" s="28"/>
      <c r="I53" s="28"/>
      <c r="J53" s="28"/>
      <c r="K53" s="28"/>
      <c r="L53" s="28"/>
      <c r="M53" s="28"/>
      <c r="N53" s="28"/>
      <c r="O53" s="28"/>
    </row>
    <row r="54" spans="2:15" ht="15.75" thickBot="1" x14ac:dyDescent="0.3">
      <c r="F54" s="30"/>
      <c r="G54" s="31"/>
      <c r="H54" s="31"/>
      <c r="I54" s="31"/>
      <c r="J54" s="31"/>
      <c r="K54" s="39">
        <f>SUM(K50:K53)</f>
        <v>2200000</v>
      </c>
      <c r="L54" s="39">
        <f t="shared" ref="L54:O54" si="1">SUM(L50:L53)</f>
        <v>2200000</v>
      </c>
      <c r="M54" s="39">
        <f t="shared" si="1"/>
        <v>2200000</v>
      </c>
      <c r="N54" s="39">
        <f t="shared" si="1"/>
        <v>2200000</v>
      </c>
      <c r="O54" s="39">
        <f t="shared" si="1"/>
        <v>2200000</v>
      </c>
    </row>
    <row r="55" spans="2:15" ht="15.75" thickTop="1" x14ac:dyDescent="0.25">
      <c r="F55" s="30"/>
    </row>
    <row r="56" spans="2:15" x14ac:dyDescent="0.25">
      <c r="B56" t="s">
        <v>69</v>
      </c>
      <c r="F56" s="30"/>
    </row>
    <row r="57" spans="2:15" x14ac:dyDescent="0.25">
      <c r="C57" t="s">
        <v>70</v>
      </c>
      <c r="D57" t="s">
        <v>288</v>
      </c>
      <c r="F57" s="30"/>
      <c r="K57" s="27">
        <v>0</v>
      </c>
      <c r="L57" s="27">
        <v>0</v>
      </c>
      <c r="M57" s="27">
        <v>0</v>
      </c>
      <c r="N57" s="27">
        <v>0</v>
      </c>
      <c r="O57" s="27">
        <v>0</v>
      </c>
    </row>
    <row r="58" spans="2:15" x14ac:dyDescent="0.25">
      <c r="F58" s="30"/>
    </row>
    <row r="59" spans="2:15" x14ac:dyDescent="0.25">
      <c r="F59" s="30"/>
    </row>
    <row r="60" spans="2:15" x14ac:dyDescent="0.25">
      <c r="B60" t="s">
        <v>71</v>
      </c>
      <c r="F60" s="30"/>
    </row>
    <row r="61" spans="2:15" x14ac:dyDescent="0.25">
      <c r="C61" t="s">
        <v>72</v>
      </c>
      <c r="D61" t="s">
        <v>73</v>
      </c>
      <c r="F61" s="30"/>
      <c r="G61" s="32">
        <v>0.3</v>
      </c>
      <c r="H61" s="32">
        <v>0.3</v>
      </c>
      <c r="I61" s="32">
        <v>0.3</v>
      </c>
      <c r="J61" s="32">
        <v>0.3</v>
      </c>
      <c r="K61" s="32">
        <v>0.3</v>
      </c>
      <c r="L61" s="32">
        <v>0.3</v>
      </c>
      <c r="M61" s="32">
        <v>0.3</v>
      </c>
      <c r="N61" s="32">
        <v>0.3</v>
      </c>
      <c r="O61" s="32">
        <v>0.3</v>
      </c>
    </row>
    <row r="62" spans="2:15" x14ac:dyDescent="0.25">
      <c r="F62" s="30"/>
    </row>
    <row r="63" spans="2:15" x14ac:dyDescent="0.25">
      <c r="B63" t="s">
        <v>124</v>
      </c>
      <c r="F63" s="30"/>
    </row>
    <row r="64" spans="2:15" x14ac:dyDescent="0.25">
      <c r="C64" t="s">
        <v>74</v>
      </c>
      <c r="D64" t="s">
        <v>288</v>
      </c>
      <c r="E64" s="28"/>
      <c r="F64" s="33"/>
      <c r="J64" s="40">
        <v>0</v>
      </c>
      <c r="K64" s="28">
        <f>SUM(J64:J65)+J66</f>
        <v>50000000</v>
      </c>
      <c r="L64" s="28">
        <f t="shared" ref="L64:O64" si="2">SUM(K64:K65)+K66</f>
        <v>40000000</v>
      </c>
      <c r="M64" s="28">
        <f t="shared" si="2"/>
        <v>30000000</v>
      </c>
      <c r="N64" s="28">
        <f t="shared" si="2"/>
        <v>20000000</v>
      </c>
      <c r="O64" s="28">
        <f t="shared" si="2"/>
        <v>10000000</v>
      </c>
    </row>
    <row r="65" spans="2:15" x14ac:dyDescent="0.25">
      <c r="C65" t="s">
        <v>75</v>
      </c>
      <c r="E65" s="28"/>
      <c r="F65" s="33"/>
      <c r="J65" s="40">
        <v>50000000</v>
      </c>
      <c r="K65" s="28"/>
      <c r="L65" s="25"/>
      <c r="M65" s="25"/>
      <c r="N65" s="25"/>
      <c r="O65" s="25"/>
    </row>
    <row r="66" spans="2:15" x14ac:dyDescent="0.25">
      <c r="C66" t="s">
        <v>76</v>
      </c>
      <c r="D66" t="s">
        <v>288</v>
      </c>
      <c r="E66" s="35"/>
      <c r="F66" s="36"/>
      <c r="K66" s="25">
        <f>-$J$65/$J$69</f>
        <v>-10000000</v>
      </c>
      <c r="L66" s="25">
        <f t="shared" ref="L66:O66" si="3">-$J$65/$J$69</f>
        <v>-10000000</v>
      </c>
      <c r="M66" s="25">
        <f t="shared" si="3"/>
        <v>-10000000</v>
      </c>
      <c r="N66" s="25">
        <f t="shared" si="3"/>
        <v>-10000000</v>
      </c>
      <c r="O66" s="25">
        <f t="shared" si="3"/>
        <v>-10000000</v>
      </c>
    </row>
    <row r="67" spans="2:15" x14ac:dyDescent="0.25">
      <c r="C67" t="s">
        <v>77</v>
      </c>
      <c r="D67" t="s">
        <v>288</v>
      </c>
      <c r="F67" s="30"/>
      <c r="K67" s="25">
        <f>-K64*$J$68</f>
        <v>-10000000</v>
      </c>
      <c r="L67" s="25">
        <f t="shared" ref="L67:O67" si="4">-L64*$J$68</f>
        <v>-8000000</v>
      </c>
      <c r="M67" s="25">
        <f t="shared" si="4"/>
        <v>-6000000</v>
      </c>
      <c r="N67" s="25">
        <f t="shared" si="4"/>
        <v>-4000000</v>
      </c>
      <c r="O67" s="25">
        <f t="shared" si="4"/>
        <v>-2000000</v>
      </c>
    </row>
    <row r="68" spans="2:15" x14ac:dyDescent="0.25">
      <c r="C68" t="s">
        <v>78</v>
      </c>
      <c r="D68" t="s">
        <v>73</v>
      </c>
      <c r="F68" s="30"/>
      <c r="J68" s="32">
        <v>0.2</v>
      </c>
      <c r="K68" s="32"/>
      <c r="L68" s="32"/>
      <c r="M68" s="32"/>
    </row>
    <row r="69" spans="2:15" x14ac:dyDescent="0.25">
      <c r="C69" t="s">
        <v>79</v>
      </c>
      <c r="D69" t="s">
        <v>80</v>
      </c>
      <c r="F69" s="30"/>
      <c r="J69">
        <v>5</v>
      </c>
    </row>
    <row r="70" spans="2:15" x14ac:dyDescent="0.25">
      <c r="E70" s="28"/>
      <c r="F70" s="33"/>
    </row>
    <row r="71" spans="2:15" x14ac:dyDescent="0.25">
      <c r="B71" t="s">
        <v>81</v>
      </c>
      <c r="E71" s="35"/>
      <c r="F71" s="36"/>
    </row>
    <row r="72" spans="2:15" x14ac:dyDescent="0.25">
      <c r="C72" t="s">
        <v>74</v>
      </c>
      <c r="D72" t="s">
        <v>288</v>
      </c>
      <c r="F72" s="30"/>
    </row>
    <row r="73" spans="2:15" x14ac:dyDescent="0.25">
      <c r="C73" t="s">
        <v>75</v>
      </c>
      <c r="E73" s="28"/>
      <c r="F73" s="33"/>
      <c r="K73" s="27"/>
      <c r="L73" s="34"/>
      <c r="M73" s="34"/>
    </row>
    <row r="74" spans="2:15" x14ac:dyDescent="0.25">
      <c r="C74" t="s">
        <v>76</v>
      </c>
      <c r="D74" t="s">
        <v>288</v>
      </c>
      <c r="F74" s="30"/>
    </row>
    <row r="75" spans="2:15" x14ac:dyDescent="0.25">
      <c r="C75" t="s">
        <v>77</v>
      </c>
      <c r="D75" t="s">
        <v>288</v>
      </c>
      <c r="F75" s="30"/>
    </row>
    <row r="76" spans="2:15" x14ac:dyDescent="0.25">
      <c r="C76" t="s">
        <v>78</v>
      </c>
      <c r="D76" t="s">
        <v>73</v>
      </c>
      <c r="F76" s="30"/>
    </row>
    <row r="77" spans="2:15" x14ac:dyDescent="0.25">
      <c r="C77" t="s">
        <v>79</v>
      </c>
      <c r="D77" t="s">
        <v>80</v>
      </c>
      <c r="F77" s="30"/>
    </row>
    <row r="78" spans="2:15" x14ac:dyDescent="0.25">
      <c r="F78" s="30"/>
    </row>
    <row r="79" spans="2:15" x14ac:dyDescent="0.25">
      <c r="B79" t="s">
        <v>82</v>
      </c>
      <c r="E79" s="35"/>
      <c r="F79" s="36"/>
    </row>
    <row r="80" spans="2:15" x14ac:dyDescent="0.25">
      <c r="C80" t="s">
        <v>74</v>
      </c>
      <c r="D80" t="s">
        <v>288</v>
      </c>
      <c r="F80" s="30"/>
    </row>
    <row r="81" spans="2:15" x14ac:dyDescent="0.25">
      <c r="C81" t="s">
        <v>75</v>
      </c>
      <c r="E81" s="28"/>
      <c r="F81" s="33"/>
      <c r="K81" s="27"/>
      <c r="L81" s="34"/>
      <c r="M81" s="34"/>
    </row>
    <row r="82" spans="2:15" x14ac:dyDescent="0.25">
      <c r="C82" t="s">
        <v>76</v>
      </c>
      <c r="D82" t="s">
        <v>288</v>
      </c>
      <c r="F82" s="30"/>
    </row>
    <row r="83" spans="2:15" x14ac:dyDescent="0.25">
      <c r="C83" t="s">
        <v>77</v>
      </c>
      <c r="D83" t="s">
        <v>288</v>
      </c>
      <c r="F83" s="30"/>
    </row>
    <row r="84" spans="2:15" x14ac:dyDescent="0.25">
      <c r="C84" t="s">
        <v>78</v>
      </c>
      <c r="D84" t="s">
        <v>73</v>
      </c>
      <c r="F84" s="30"/>
    </row>
    <row r="85" spans="2:15" x14ac:dyDescent="0.25">
      <c r="C85" t="s">
        <v>79</v>
      </c>
      <c r="D85" t="s">
        <v>80</v>
      </c>
      <c r="F85" s="30"/>
    </row>
    <row r="86" spans="2:15" x14ac:dyDescent="0.25">
      <c r="F86" s="30"/>
    </row>
    <row r="87" spans="2:15" x14ac:dyDescent="0.25">
      <c r="B87" t="s">
        <v>83</v>
      </c>
      <c r="F87" s="30"/>
    </row>
    <row r="88" spans="2:15" x14ac:dyDescent="0.25">
      <c r="C88" t="s">
        <v>78</v>
      </c>
      <c r="D88" t="s">
        <v>73</v>
      </c>
      <c r="F88" s="30"/>
      <c r="G88" s="32">
        <v>0.15</v>
      </c>
      <c r="H88" s="32">
        <v>0.15</v>
      </c>
      <c r="I88" s="32">
        <v>0.15</v>
      </c>
      <c r="J88" s="32">
        <v>0.15</v>
      </c>
      <c r="K88" s="32">
        <v>0.15</v>
      </c>
      <c r="L88" s="32">
        <v>0.15</v>
      </c>
      <c r="M88" s="32">
        <v>0.15</v>
      </c>
      <c r="N88" s="32">
        <v>0.15</v>
      </c>
      <c r="O88" s="32">
        <v>0.15</v>
      </c>
    </row>
    <row r="89" spans="2:15" x14ac:dyDescent="0.25">
      <c r="F89" s="30"/>
      <c r="J89" s="32"/>
      <c r="K89" s="32"/>
      <c r="L89" s="32"/>
      <c r="M89" s="32"/>
      <c r="N89" s="32"/>
      <c r="O89" s="32"/>
    </row>
    <row r="90" spans="2:15" x14ac:dyDescent="0.25">
      <c r="B90" t="s">
        <v>236</v>
      </c>
      <c r="D90" t="s">
        <v>73</v>
      </c>
      <c r="F90" s="30"/>
      <c r="G90" s="32">
        <v>0.05</v>
      </c>
      <c r="H90" s="32">
        <v>0.05</v>
      </c>
      <c r="I90" s="32">
        <v>0.05</v>
      </c>
      <c r="J90" s="32">
        <v>0.05</v>
      </c>
      <c r="K90" s="32">
        <v>0.05</v>
      </c>
      <c r="L90" s="32">
        <v>0.05</v>
      </c>
      <c r="M90" s="32">
        <v>0.05</v>
      </c>
      <c r="N90" s="32">
        <v>0.05</v>
      </c>
      <c r="O90" s="32">
        <v>0.05</v>
      </c>
    </row>
    <row r="91" spans="2:15" x14ac:dyDescent="0.25">
      <c r="F91" s="30"/>
      <c r="J91" s="32"/>
      <c r="K91" s="32"/>
      <c r="L91" s="32"/>
      <c r="M91" s="32"/>
      <c r="N91" s="32"/>
      <c r="O91" s="32"/>
    </row>
    <row r="92" spans="2:15" x14ac:dyDescent="0.25">
      <c r="F92" s="30"/>
    </row>
    <row r="93" spans="2:15" x14ac:dyDescent="0.25">
      <c r="B93" t="s">
        <v>14</v>
      </c>
      <c r="F93" s="30"/>
    </row>
    <row r="94" spans="2:15" x14ac:dyDescent="0.25">
      <c r="C94" t="s">
        <v>84</v>
      </c>
      <c r="D94" t="s">
        <v>288</v>
      </c>
      <c r="F94" s="30"/>
      <c r="J94" s="28">
        <v>100000000</v>
      </c>
      <c r="K94" s="28"/>
      <c r="L94" s="28"/>
      <c r="M94" s="28"/>
      <c r="N94" s="28"/>
      <c r="O94" s="28"/>
    </row>
    <row r="95" spans="2:15" x14ac:dyDescent="0.25">
      <c r="C95" t="s">
        <v>85</v>
      </c>
      <c r="D95" t="s">
        <v>73</v>
      </c>
      <c r="F95" s="30"/>
      <c r="J95" s="32">
        <v>0</v>
      </c>
      <c r="K95" s="32">
        <v>0</v>
      </c>
      <c r="L95" s="32">
        <v>0</v>
      </c>
      <c r="M95" s="32">
        <v>0.1</v>
      </c>
      <c r="N95" s="32">
        <v>0.1</v>
      </c>
      <c r="O95" s="32">
        <v>0.1</v>
      </c>
    </row>
    <row r="96" spans="2:15" x14ac:dyDescent="0.25">
      <c r="C96" t="s">
        <v>86</v>
      </c>
      <c r="D96" t="s">
        <v>288</v>
      </c>
      <c r="F96" s="30"/>
      <c r="J96" s="28"/>
      <c r="K96" s="28"/>
      <c r="L96" s="28">
        <v>25000000</v>
      </c>
      <c r="M96" s="28"/>
      <c r="N96" s="28"/>
      <c r="O96" s="28"/>
    </row>
    <row r="97" spans="2:15" x14ac:dyDescent="0.25">
      <c r="C97" t="s">
        <v>87</v>
      </c>
      <c r="D97" t="s">
        <v>73</v>
      </c>
      <c r="F97" s="30"/>
      <c r="J97" s="32">
        <v>0</v>
      </c>
      <c r="K97" s="32">
        <v>0</v>
      </c>
      <c r="L97" s="32">
        <v>0</v>
      </c>
      <c r="M97" s="32">
        <v>0.05</v>
      </c>
      <c r="N97" s="32">
        <v>0.05</v>
      </c>
      <c r="O97" s="32">
        <v>0.05</v>
      </c>
    </row>
    <row r="98" spans="2:15" x14ac:dyDescent="0.25">
      <c r="F98" s="30"/>
    </row>
    <row r="99" spans="2:15" x14ac:dyDescent="0.25">
      <c r="B99" t="s">
        <v>88</v>
      </c>
      <c r="E99" t="s">
        <v>89</v>
      </c>
      <c r="F99" s="30"/>
    </row>
    <row r="100" spans="2:15" x14ac:dyDescent="0.25">
      <c r="C100" t="s">
        <v>90</v>
      </c>
      <c r="D100" s="37">
        <v>35</v>
      </c>
      <c r="E100">
        <v>0</v>
      </c>
      <c r="F100" s="30"/>
      <c r="G100" s="28"/>
      <c r="H100" s="28"/>
      <c r="I100" s="28"/>
      <c r="J100" s="28">
        <v>30000000</v>
      </c>
      <c r="K100" s="28"/>
      <c r="L100" s="28"/>
      <c r="M100" s="28"/>
      <c r="N100" s="28"/>
      <c r="O100" s="28"/>
    </row>
    <row r="101" spans="2:15" x14ac:dyDescent="0.25">
      <c r="C101" t="s">
        <v>91</v>
      </c>
      <c r="D101" s="37">
        <v>15</v>
      </c>
      <c r="E101">
        <v>0</v>
      </c>
      <c r="F101" s="30"/>
      <c r="G101" s="28"/>
      <c r="H101" s="28"/>
      <c r="I101" s="28"/>
      <c r="J101" s="28">
        <v>40000000</v>
      </c>
      <c r="K101" s="28"/>
      <c r="L101" s="28"/>
      <c r="M101" s="28">
        <v>20000000</v>
      </c>
      <c r="N101" s="28"/>
      <c r="O101" s="28"/>
    </row>
    <row r="102" spans="2:15" x14ac:dyDescent="0.25">
      <c r="C102" t="s">
        <v>92</v>
      </c>
      <c r="D102" s="37">
        <v>5</v>
      </c>
      <c r="E102">
        <v>0</v>
      </c>
      <c r="F102" s="30"/>
      <c r="G102" s="28"/>
      <c r="H102" s="28"/>
      <c r="I102" s="28"/>
      <c r="J102" s="28"/>
      <c r="K102" s="28">
        <v>20000000</v>
      </c>
      <c r="L102" s="28"/>
      <c r="M102" s="28">
        <v>5000000</v>
      </c>
      <c r="N102" s="28"/>
      <c r="O102" s="28"/>
    </row>
    <row r="103" spans="2:15" x14ac:dyDescent="0.25">
      <c r="C103" t="s">
        <v>93</v>
      </c>
      <c r="D103" s="37">
        <v>5</v>
      </c>
      <c r="E103">
        <v>0</v>
      </c>
      <c r="F103" s="30"/>
      <c r="G103" s="28"/>
      <c r="H103" s="28"/>
      <c r="I103" s="28"/>
      <c r="J103" s="28"/>
      <c r="K103" s="28">
        <v>10000000</v>
      </c>
      <c r="L103" s="28"/>
      <c r="M103" s="28">
        <v>2000000</v>
      </c>
      <c r="N103" s="28">
        <v>2000000</v>
      </c>
      <c r="O103" s="28">
        <v>2000000</v>
      </c>
    </row>
    <row r="104" spans="2:15" x14ac:dyDescent="0.25">
      <c r="C104" t="s">
        <v>94</v>
      </c>
      <c r="D104" s="37">
        <v>4</v>
      </c>
      <c r="E104">
        <v>0</v>
      </c>
      <c r="F104" s="30"/>
      <c r="G104" s="28"/>
      <c r="H104" s="28"/>
      <c r="I104" s="28"/>
      <c r="J104" s="28"/>
      <c r="K104" s="28">
        <v>8000000</v>
      </c>
      <c r="L104" s="28">
        <v>1000000</v>
      </c>
      <c r="M104" s="28">
        <v>1000000</v>
      </c>
      <c r="N104" s="28">
        <v>6000000</v>
      </c>
      <c r="O104" s="28">
        <v>1000000</v>
      </c>
    </row>
    <row r="105" spans="2:15" x14ac:dyDescent="0.25">
      <c r="C105" t="s">
        <v>95</v>
      </c>
      <c r="D105" s="37">
        <v>5</v>
      </c>
      <c r="E105">
        <v>0</v>
      </c>
      <c r="F105" s="30"/>
      <c r="G105" s="28"/>
      <c r="H105" s="28"/>
      <c r="I105" s="28"/>
      <c r="J105" s="28"/>
      <c r="K105" s="28">
        <v>2000000</v>
      </c>
      <c r="L105" s="28"/>
      <c r="M105" s="28"/>
      <c r="N105" s="28"/>
      <c r="O105" s="28">
        <v>2500000</v>
      </c>
    </row>
    <row r="106" spans="2:15" x14ac:dyDescent="0.25">
      <c r="F106" s="30"/>
      <c r="G106" s="28"/>
      <c r="H106" s="28"/>
      <c r="I106" s="28"/>
      <c r="J106" s="28"/>
      <c r="K106" s="28"/>
      <c r="L106" s="28"/>
      <c r="M106" s="28"/>
      <c r="N106" s="28"/>
      <c r="O106" s="28"/>
    </row>
    <row r="107" spans="2:15" x14ac:dyDescent="0.25">
      <c r="B107" t="s">
        <v>96</v>
      </c>
      <c r="F107" s="30"/>
    </row>
    <row r="108" spans="2:15" x14ac:dyDescent="0.25">
      <c r="C108" t="s">
        <v>97</v>
      </c>
      <c r="D108" t="s">
        <v>98</v>
      </c>
      <c r="F108" s="30"/>
      <c r="J108">
        <v>15</v>
      </c>
      <c r="K108">
        <v>15</v>
      </c>
      <c r="L108">
        <v>15</v>
      </c>
      <c r="M108">
        <v>15</v>
      </c>
      <c r="N108">
        <v>15</v>
      </c>
      <c r="O108">
        <v>15</v>
      </c>
    </row>
    <row r="109" spans="2:15" x14ac:dyDescent="0.25">
      <c r="C109" t="s">
        <v>99</v>
      </c>
      <c r="D109" t="s">
        <v>98</v>
      </c>
      <c r="F109" s="30"/>
      <c r="J109">
        <v>5</v>
      </c>
      <c r="K109">
        <v>10</v>
      </c>
      <c r="L109">
        <v>20</v>
      </c>
      <c r="M109">
        <v>20</v>
      </c>
      <c r="N109">
        <v>20</v>
      </c>
      <c r="O109">
        <v>20</v>
      </c>
    </row>
    <row r="110" spans="2:15" x14ac:dyDescent="0.25">
      <c r="C110" t="s">
        <v>100</v>
      </c>
      <c r="D110" t="s">
        <v>98</v>
      </c>
      <c r="F110" s="30"/>
      <c r="G110" s="38"/>
      <c r="J110">
        <v>10</v>
      </c>
      <c r="K110">
        <v>10</v>
      </c>
      <c r="L110">
        <v>10</v>
      </c>
      <c r="M110">
        <v>10</v>
      </c>
      <c r="N110">
        <v>10</v>
      </c>
      <c r="O110">
        <v>10</v>
      </c>
    </row>
    <row r="111" spans="2:15" x14ac:dyDescent="0.25">
      <c r="C111" t="s">
        <v>101</v>
      </c>
      <c r="D111" t="s">
        <v>98</v>
      </c>
      <c r="F111" s="30"/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</row>
    <row r="112" spans="2:15" x14ac:dyDescent="0.25">
      <c r="C112" t="s">
        <v>102</v>
      </c>
      <c r="D112" t="s">
        <v>98</v>
      </c>
      <c r="F112" s="30"/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</row>
    <row r="113" spans="6:6" x14ac:dyDescent="0.25">
      <c r="F113" s="30"/>
    </row>
    <row r="114" spans="6:6" x14ac:dyDescent="0.25">
      <c r="F114" s="30"/>
    </row>
    <row r="115" spans="6:6" x14ac:dyDescent="0.25">
      <c r="F115" s="30"/>
    </row>
    <row r="116" spans="6:6" x14ac:dyDescent="0.25">
      <c r="F116" s="30"/>
    </row>
  </sheetData>
  <hyperlinks>
    <hyperlink ref="O1" location="'Table of Content'!A1" display="&gt;&gt; Table of Contents" xr:uid="{1EDA8EBF-FFBC-471D-992F-316A663EFEE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9253-9FA4-4901-83DE-40293D9E5810}">
  <sheetPr>
    <tabColor theme="7"/>
  </sheetPr>
  <dimension ref="A1:T30"/>
  <sheetViews>
    <sheetView showGridLines="0" zoomScale="80" zoomScaleNormal="80" workbookViewId="0">
      <selection activeCell="F34" sqref="F34"/>
    </sheetView>
  </sheetViews>
  <sheetFormatPr defaultRowHeight="15" x14ac:dyDescent="0.25"/>
  <cols>
    <col min="1" max="1" width="10.140625" bestFit="1" customWidth="1"/>
    <col min="2" max="2" width="3.140625" customWidth="1"/>
    <col min="3" max="3" width="35.42578125" customWidth="1"/>
    <col min="5" max="5" width="14.5703125" customWidth="1"/>
    <col min="7" max="9" width="10.5703125" bestFit="1" customWidth="1"/>
    <col min="10" max="10" width="11.140625" bestFit="1" customWidth="1"/>
    <col min="11" max="15" width="12.28515625" bestFit="1" customWidth="1"/>
    <col min="16" max="16" width="8.85546875" bestFit="1" customWidth="1"/>
  </cols>
  <sheetData>
    <row r="1" spans="1:20" s="14" customFormat="1" x14ac:dyDescent="0.25">
      <c r="C1" s="14" t="str">
        <f>Summary!D3</f>
        <v>M-pharmaceutical</v>
      </c>
      <c r="K1" s="14" t="str">
        <f>Scenarios!K1</f>
        <v>Currently running scenario: Optimistic</v>
      </c>
      <c r="O1" s="52" t="s">
        <v>237</v>
      </c>
      <c r="T1" s="14" t="str">
        <f>Summary!K2</f>
        <v>Last Updated: 20-January-2025</v>
      </c>
    </row>
    <row r="3" spans="1:20" ht="21" x14ac:dyDescent="0.35">
      <c r="B3" s="16" t="s">
        <v>125</v>
      </c>
      <c r="C3" s="16"/>
      <c r="D3" s="16"/>
      <c r="E3" s="16"/>
      <c r="F3" s="16"/>
      <c r="G3" s="16"/>
      <c r="H3" s="16"/>
    </row>
    <row r="5" spans="1:20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</row>
    <row r="6" spans="1:20" x14ac:dyDescent="0.25">
      <c r="A6" s="18"/>
      <c r="B6" s="19"/>
      <c r="C6" s="20"/>
      <c r="D6" s="20"/>
      <c r="E6" s="20"/>
      <c r="F6" s="21"/>
      <c r="G6" s="22">
        <v>2016</v>
      </c>
      <c r="H6" s="22">
        <v>2017</v>
      </c>
      <c r="I6" s="22">
        <v>2018</v>
      </c>
      <c r="J6" s="22">
        <v>2019</v>
      </c>
      <c r="K6" s="22">
        <v>2020</v>
      </c>
      <c r="L6" s="22">
        <v>2021</v>
      </c>
      <c r="M6" s="22">
        <v>2022</v>
      </c>
      <c r="N6" s="22">
        <v>2023</v>
      </c>
      <c r="O6" s="22">
        <v>2024</v>
      </c>
      <c r="P6" s="18"/>
    </row>
    <row r="7" spans="1:20" x14ac:dyDescent="0.25">
      <c r="A7" s="18"/>
      <c r="P7" s="18"/>
    </row>
    <row r="8" spans="1:20" x14ac:dyDescent="0.25">
      <c r="A8" s="18"/>
      <c r="P8" s="18"/>
    </row>
    <row r="9" spans="1:20" x14ac:dyDescent="0.25">
      <c r="A9" s="18"/>
      <c r="B9" s="6" t="s">
        <v>103</v>
      </c>
      <c r="E9" t="s">
        <v>288</v>
      </c>
      <c r="G9" s="23">
        <f>SUM(G14:G15)</f>
        <v>0</v>
      </c>
      <c r="H9" s="23">
        <f t="shared" ref="H9:O9" si="0">SUM(H14:H15)</f>
        <v>0</v>
      </c>
      <c r="I9" s="23">
        <f t="shared" si="0"/>
        <v>0</v>
      </c>
      <c r="J9" s="23">
        <f t="shared" si="0"/>
        <v>0</v>
      </c>
      <c r="K9" s="23">
        <f t="shared" si="0"/>
        <v>6500000</v>
      </c>
      <c r="L9" s="23">
        <f t="shared" si="0"/>
        <v>6500000</v>
      </c>
      <c r="M9" s="23">
        <f t="shared" si="0"/>
        <v>6500000</v>
      </c>
      <c r="N9" s="23">
        <f t="shared" si="0"/>
        <v>6500000</v>
      </c>
      <c r="O9" s="23">
        <f t="shared" si="0"/>
        <v>6500000</v>
      </c>
      <c r="P9" s="18"/>
    </row>
    <row r="10" spans="1:20" x14ac:dyDescent="0.25">
      <c r="A10" s="18"/>
      <c r="B10" s="6" t="s">
        <v>104</v>
      </c>
      <c r="E10" t="s">
        <v>288</v>
      </c>
      <c r="G10" s="23">
        <f t="shared" ref="G10:J10" si="1">SUM(G16:G25)</f>
        <v>0</v>
      </c>
      <c r="H10" s="23">
        <f t="shared" si="1"/>
        <v>0</v>
      </c>
      <c r="I10" s="23">
        <f t="shared" si="1"/>
        <v>0</v>
      </c>
      <c r="J10" s="23">
        <f t="shared" si="1"/>
        <v>0</v>
      </c>
      <c r="K10" s="23">
        <f>SUM(K16:K25)</f>
        <v>47619533.527696788</v>
      </c>
      <c r="L10" s="23">
        <f t="shared" ref="L10:O10" si="2">SUM(L16:L25)</f>
        <v>47619533.527696788</v>
      </c>
      <c r="M10" s="23">
        <f t="shared" si="2"/>
        <v>57143440.233236142</v>
      </c>
      <c r="N10" s="23">
        <f t="shared" si="2"/>
        <v>57143440.233236142</v>
      </c>
      <c r="O10" s="23">
        <f t="shared" si="2"/>
        <v>57143440.233236142</v>
      </c>
      <c r="P10" s="18"/>
    </row>
    <row r="11" spans="1:20" x14ac:dyDescent="0.25">
      <c r="A11" s="18"/>
      <c r="P11" s="18"/>
    </row>
    <row r="12" spans="1:20" x14ac:dyDescent="0.25">
      <c r="A12" s="18"/>
      <c r="P12" s="18"/>
    </row>
    <row r="13" spans="1:20" x14ac:dyDescent="0.25">
      <c r="A13" s="18"/>
      <c r="B13" t="s">
        <v>105</v>
      </c>
      <c r="D13" s="24" t="s">
        <v>106</v>
      </c>
      <c r="E13" t="s">
        <v>262</v>
      </c>
      <c r="G13" s="25"/>
      <c r="H13" s="25"/>
      <c r="I13" s="25"/>
      <c r="J13" s="25"/>
      <c r="K13" s="25"/>
      <c r="L13" s="25"/>
      <c r="M13" s="25"/>
      <c r="N13" s="25"/>
      <c r="O13" s="25"/>
      <c r="P13" s="18"/>
    </row>
    <row r="14" spans="1:20" x14ac:dyDescent="0.25">
      <c r="A14" s="18"/>
      <c r="C14" t="s">
        <v>107</v>
      </c>
      <c r="D14" s="26">
        <v>1</v>
      </c>
      <c r="E14" s="27">
        <v>1500000</v>
      </c>
      <c r="G14" s="28"/>
      <c r="H14" s="28"/>
      <c r="I14" s="28"/>
      <c r="J14" s="28"/>
      <c r="K14" s="28">
        <f t="shared" ref="K14:O24" si="3">$D14*$E14</f>
        <v>1500000</v>
      </c>
      <c r="L14" s="28">
        <f t="shared" si="3"/>
        <v>1500000</v>
      </c>
      <c r="M14" s="28">
        <f t="shared" si="3"/>
        <v>1500000</v>
      </c>
      <c r="N14" s="76">
        <f t="shared" si="3"/>
        <v>1500000</v>
      </c>
      <c r="O14" s="76">
        <f t="shared" si="3"/>
        <v>1500000</v>
      </c>
      <c r="P14" s="18"/>
    </row>
    <row r="15" spans="1:20" x14ac:dyDescent="0.25">
      <c r="A15" s="18"/>
      <c r="C15" t="s">
        <v>108</v>
      </c>
      <c r="D15" s="26">
        <v>5</v>
      </c>
      <c r="E15" s="27">
        <v>1000000</v>
      </c>
      <c r="G15" s="28"/>
      <c r="H15" s="28"/>
      <c r="I15" s="28"/>
      <c r="J15" s="28"/>
      <c r="K15" s="28">
        <f t="shared" si="3"/>
        <v>5000000</v>
      </c>
      <c r="L15" s="28">
        <f t="shared" si="3"/>
        <v>5000000</v>
      </c>
      <c r="M15" s="28">
        <f t="shared" si="3"/>
        <v>5000000</v>
      </c>
      <c r="N15" s="76">
        <f t="shared" si="3"/>
        <v>5000000</v>
      </c>
      <c r="O15" s="76">
        <f t="shared" si="3"/>
        <v>5000000</v>
      </c>
      <c r="P15" s="18"/>
    </row>
    <row r="16" spans="1:20" x14ac:dyDescent="0.25">
      <c r="A16" s="18"/>
      <c r="C16" t="s">
        <v>109</v>
      </c>
      <c r="D16" s="26">
        <v>1</v>
      </c>
      <c r="E16" s="27">
        <v>6377551.0204081638</v>
      </c>
      <c r="G16" s="28"/>
      <c r="H16" s="28"/>
      <c r="I16" s="28"/>
      <c r="J16" s="28"/>
      <c r="K16" s="28">
        <f t="shared" si="3"/>
        <v>6377551.0204081638</v>
      </c>
      <c r="L16" s="28">
        <f t="shared" si="3"/>
        <v>6377551.0204081638</v>
      </c>
      <c r="M16" s="28">
        <f t="shared" ref="M16:O25" si="4">($D16*$E16)*1.2</f>
        <v>7653061.224489796</v>
      </c>
      <c r="N16" s="76">
        <f t="shared" si="4"/>
        <v>7653061.224489796</v>
      </c>
      <c r="O16" s="76">
        <f t="shared" si="4"/>
        <v>7653061.224489796</v>
      </c>
      <c r="P16" s="18"/>
    </row>
    <row r="17" spans="1:16" x14ac:dyDescent="0.25">
      <c r="A17" s="18"/>
      <c r="C17" t="s">
        <v>118</v>
      </c>
      <c r="D17" s="26">
        <v>1</v>
      </c>
      <c r="E17" s="27">
        <v>3500000</v>
      </c>
      <c r="G17" s="28"/>
      <c r="H17" s="28"/>
      <c r="I17" s="28"/>
      <c r="J17" s="28"/>
      <c r="K17" s="28">
        <f t="shared" si="3"/>
        <v>3500000</v>
      </c>
      <c r="L17" s="28">
        <f t="shared" si="3"/>
        <v>3500000</v>
      </c>
      <c r="M17" s="28">
        <f t="shared" si="4"/>
        <v>4200000</v>
      </c>
      <c r="N17" s="76">
        <f t="shared" si="4"/>
        <v>4200000</v>
      </c>
      <c r="O17" s="76">
        <f t="shared" si="4"/>
        <v>4200000</v>
      </c>
      <c r="P17" s="18"/>
    </row>
    <row r="18" spans="1:16" x14ac:dyDescent="0.25">
      <c r="A18" s="18"/>
      <c r="C18" t="s">
        <v>119</v>
      </c>
      <c r="D18" s="26">
        <v>1</v>
      </c>
      <c r="E18" s="27">
        <v>3500000</v>
      </c>
      <c r="G18" s="28"/>
      <c r="H18" s="28"/>
      <c r="I18" s="28"/>
      <c r="J18" s="28"/>
      <c r="K18" s="28">
        <f t="shared" si="3"/>
        <v>3500000</v>
      </c>
      <c r="L18" s="28">
        <f t="shared" si="3"/>
        <v>3500000</v>
      </c>
      <c r="M18" s="28">
        <f t="shared" si="4"/>
        <v>4200000</v>
      </c>
      <c r="N18" s="76">
        <f t="shared" si="4"/>
        <v>4200000</v>
      </c>
      <c r="O18" s="76">
        <f t="shared" si="4"/>
        <v>4200000</v>
      </c>
      <c r="P18" s="18"/>
    </row>
    <row r="19" spans="1:16" x14ac:dyDescent="0.25">
      <c r="A19" s="18"/>
      <c r="C19" t="s">
        <v>115</v>
      </c>
      <c r="D19" s="26">
        <v>5</v>
      </c>
      <c r="E19" s="27">
        <v>2466472.3032069998</v>
      </c>
      <c r="G19" s="28"/>
      <c r="H19" s="28"/>
      <c r="I19" s="28"/>
      <c r="J19" s="28"/>
      <c r="K19" s="28">
        <f t="shared" si="3"/>
        <v>12332361.516034998</v>
      </c>
      <c r="L19" s="28">
        <f t="shared" si="3"/>
        <v>12332361.516034998</v>
      </c>
      <c r="M19" s="28">
        <f t="shared" si="4"/>
        <v>14798833.819241997</v>
      </c>
      <c r="N19" s="28">
        <f t="shared" si="4"/>
        <v>14798833.819241997</v>
      </c>
      <c r="O19" s="76">
        <f t="shared" si="4"/>
        <v>14798833.819241997</v>
      </c>
      <c r="P19" s="18"/>
    </row>
    <row r="20" spans="1:16" x14ac:dyDescent="0.25">
      <c r="A20" s="18"/>
      <c r="C20" t="s">
        <v>117</v>
      </c>
      <c r="D20" s="26">
        <v>2</v>
      </c>
      <c r="E20" s="27">
        <v>2466472.3032069998</v>
      </c>
      <c r="G20" s="28"/>
      <c r="H20" s="28"/>
      <c r="I20" s="28"/>
      <c r="J20" s="28"/>
      <c r="K20" s="28">
        <f t="shared" si="3"/>
        <v>4932944.6064139996</v>
      </c>
      <c r="L20" s="28">
        <f t="shared" si="3"/>
        <v>4932944.6064139996</v>
      </c>
      <c r="M20" s="28">
        <f t="shared" si="4"/>
        <v>5919533.5276967995</v>
      </c>
      <c r="N20" s="28">
        <f t="shared" si="4"/>
        <v>5919533.5276967995</v>
      </c>
      <c r="O20" s="28">
        <f t="shared" si="4"/>
        <v>5919533.5276967995</v>
      </c>
      <c r="P20" s="18"/>
    </row>
    <row r="21" spans="1:16" x14ac:dyDescent="0.25">
      <c r="A21" s="18"/>
      <c r="C21" t="s">
        <v>110</v>
      </c>
      <c r="D21" s="26">
        <v>1</v>
      </c>
      <c r="E21" s="27">
        <v>2466472.3032069998</v>
      </c>
      <c r="G21" s="28"/>
      <c r="H21" s="28"/>
      <c r="I21" s="28"/>
      <c r="J21" s="28"/>
      <c r="K21" s="28">
        <f t="shared" si="3"/>
        <v>2466472.3032069998</v>
      </c>
      <c r="L21" s="28">
        <f t="shared" si="3"/>
        <v>2466472.3032069998</v>
      </c>
      <c r="M21" s="28">
        <f t="shared" si="4"/>
        <v>2959766.7638483997</v>
      </c>
      <c r="N21" s="28">
        <f t="shared" si="4"/>
        <v>2959766.7638483997</v>
      </c>
      <c r="O21" s="28">
        <f t="shared" si="4"/>
        <v>2959766.7638483997</v>
      </c>
      <c r="P21" s="18"/>
    </row>
    <row r="22" spans="1:16" x14ac:dyDescent="0.25">
      <c r="A22" s="18"/>
      <c r="C22" t="s">
        <v>120</v>
      </c>
      <c r="D22" s="24">
        <v>6</v>
      </c>
      <c r="E22" s="27">
        <v>1644314.8688046599</v>
      </c>
      <c r="G22" s="28"/>
      <c r="H22" s="28"/>
      <c r="I22" s="28"/>
      <c r="J22" s="28"/>
      <c r="K22" s="28">
        <f t="shared" si="3"/>
        <v>9865889.21282796</v>
      </c>
      <c r="L22" s="28">
        <f t="shared" si="3"/>
        <v>9865889.21282796</v>
      </c>
      <c r="M22" s="28">
        <f t="shared" si="4"/>
        <v>11839067.055393552</v>
      </c>
      <c r="N22" s="28">
        <f t="shared" si="4"/>
        <v>11839067.055393552</v>
      </c>
      <c r="O22" s="28">
        <f t="shared" si="4"/>
        <v>11839067.055393552</v>
      </c>
      <c r="P22" s="18"/>
    </row>
    <row r="23" spans="1:16" x14ac:dyDescent="0.25">
      <c r="A23" s="18"/>
      <c r="C23" t="s">
        <v>121</v>
      </c>
      <c r="D23" s="24">
        <v>1</v>
      </c>
      <c r="E23" s="27">
        <v>1444314.8688046599</v>
      </c>
      <c r="G23" s="28"/>
      <c r="H23" s="28"/>
      <c r="I23" s="28"/>
      <c r="J23" s="28"/>
      <c r="K23" s="28">
        <f t="shared" si="3"/>
        <v>1444314.8688046599</v>
      </c>
      <c r="L23" s="28">
        <f t="shared" si="3"/>
        <v>1444314.8688046599</v>
      </c>
      <c r="M23" s="28">
        <f t="shared" si="4"/>
        <v>1733177.8425655919</v>
      </c>
      <c r="N23" s="28">
        <f t="shared" si="4"/>
        <v>1733177.8425655919</v>
      </c>
      <c r="O23" s="28">
        <f t="shared" si="4"/>
        <v>1733177.8425655919</v>
      </c>
      <c r="P23" s="18"/>
    </row>
    <row r="24" spans="1:16" x14ac:dyDescent="0.25">
      <c r="A24" s="18"/>
      <c r="C24" t="s">
        <v>122</v>
      </c>
      <c r="D24" s="26">
        <v>1</v>
      </c>
      <c r="E24" s="27">
        <v>1200000</v>
      </c>
      <c r="G24" s="28"/>
      <c r="H24" s="28"/>
      <c r="I24" s="28"/>
      <c r="J24" s="28"/>
      <c r="K24" s="28">
        <f t="shared" si="3"/>
        <v>1200000</v>
      </c>
      <c r="L24" s="28">
        <f t="shared" si="3"/>
        <v>1200000</v>
      </c>
      <c r="M24" s="28">
        <f>($D24*$E24)*1.2</f>
        <v>1440000</v>
      </c>
      <c r="N24" s="28">
        <f t="shared" si="4"/>
        <v>1440000</v>
      </c>
      <c r="O24" s="28">
        <f t="shared" si="4"/>
        <v>1440000</v>
      </c>
      <c r="P24" s="18"/>
    </row>
    <row r="25" spans="1:16" x14ac:dyDescent="0.25">
      <c r="A25" s="18"/>
      <c r="C25" t="s">
        <v>116</v>
      </c>
      <c r="D25" s="26">
        <v>2</v>
      </c>
      <c r="E25" s="27">
        <v>1000000</v>
      </c>
      <c r="G25" s="28"/>
      <c r="H25" s="28"/>
      <c r="I25" s="28"/>
      <c r="J25" s="28"/>
      <c r="K25" s="28">
        <f>$D25*$E25</f>
        <v>2000000</v>
      </c>
      <c r="L25" s="28">
        <f>$D25*$E25</f>
        <v>2000000</v>
      </c>
      <c r="M25" s="28">
        <f>($D25*$E25)*1.2</f>
        <v>2400000</v>
      </c>
      <c r="N25" s="28">
        <f t="shared" si="4"/>
        <v>2400000</v>
      </c>
      <c r="O25" s="28">
        <f t="shared" si="4"/>
        <v>2400000</v>
      </c>
      <c r="P25" s="18"/>
    </row>
    <row r="26" spans="1:16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spans="1:16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 spans="1:16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</row>
    <row r="29" spans="1:16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spans="1:16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</row>
  </sheetData>
  <hyperlinks>
    <hyperlink ref="O1" location="'Table of Content'!A1" display="&gt;&gt; Table of Contents" xr:uid="{8D8A9707-B60F-4177-AE31-E3683B6BC47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403A-8C70-4D1C-A80A-E064149D4785}">
  <sheetPr>
    <tabColor theme="9" tint="-0.499984740745262"/>
  </sheetPr>
  <dimension ref="B1:T59"/>
  <sheetViews>
    <sheetView showGridLines="0" zoomScale="80" zoomScaleNormal="80" workbookViewId="0">
      <selection activeCell="H46" sqref="H46"/>
    </sheetView>
  </sheetViews>
  <sheetFormatPr defaultRowHeight="15" x14ac:dyDescent="0.25"/>
  <cols>
    <col min="2" max="2" width="3.140625" style="6" customWidth="1"/>
    <col min="3" max="3" width="35.42578125" customWidth="1"/>
    <col min="5" max="5" width="10.7109375" customWidth="1"/>
    <col min="6" max="6" width="11.140625" customWidth="1"/>
    <col min="7" max="11" width="14.5703125" customWidth="1"/>
    <col min="12" max="14" width="16.28515625" bestFit="1" customWidth="1"/>
    <col min="15" max="15" width="16.140625" bestFit="1" customWidth="1"/>
  </cols>
  <sheetData>
    <row r="1" spans="2:20" s="14" customFormat="1" x14ac:dyDescent="0.25">
      <c r="B1" s="46"/>
      <c r="C1" s="14" t="str">
        <f>Summary!D3</f>
        <v>M-pharmaceutical</v>
      </c>
      <c r="K1" s="14" t="str">
        <f>Scenarios!K1</f>
        <v>Currently running scenario: Optimistic</v>
      </c>
      <c r="O1" s="52" t="s">
        <v>237</v>
      </c>
      <c r="T1" s="14" t="str">
        <f>Summary!K2</f>
        <v>Last Updated: 20-January-2025</v>
      </c>
    </row>
    <row r="3" spans="2:20" ht="21" x14ac:dyDescent="0.35">
      <c r="B3" s="16" t="s">
        <v>38</v>
      </c>
      <c r="C3" s="16"/>
      <c r="D3" s="16"/>
      <c r="E3" s="16"/>
      <c r="F3" s="16"/>
      <c r="G3" s="16"/>
      <c r="H3" s="16"/>
    </row>
    <row r="5" spans="2:20" x14ac:dyDescent="0.25">
      <c r="B5" s="20"/>
      <c r="C5" s="20"/>
      <c r="D5" s="20"/>
      <c r="E5" s="20"/>
      <c r="F5" s="21"/>
      <c r="G5" s="22">
        <v>2016</v>
      </c>
      <c r="H5" s="22">
        <v>2017</v>
      </c>
      <c r="I5" s="22">
        <v>2018</v>
      </c>
      <c r="J5" s="22">
        <v>2019</v>
      </c>
      <c r="K5" s="22">
        <v>2020</v>
      </c>
      <c r="L5" s="22">
        <v>2021</v>
      </c>
      <c r="M5" s="22">
        <v>2022</v>
      </c>
      <c r="N5" s="22">
        <v>2023</v>
      </c>
      <c r="O5" s="22">
        <v>2024</v>
      </c>
    </row>
    <row r="8" spans="2:20" s="6" customFormat="1" x14ac:dyDescent="0.25">
      <c r="B8" s="6" t="s">
        <v>150</v>
      </c>
    </row>
    <row r="9" spans="2:20" x14ac:dyDescent="0.25">
      <c r="C9" t="s">
        <v>151</v>
      </c>
      <c r="D9" t="s">
        <v>288</v>
      </c>
      <c r="G9" s="41">
        <f>Cashflow!G40</f>
        <v>0</v>
      </c>
      <c r="H9" s="41">
        <f ca="1">Cashflow!H40</f>
        <v>0</v>
      </c>
      <c r="I9" s="41">
        <f ca="1">Cashflow!I40</f>
        <v>0</v>
      </c>
      <c r="J9" s="41">
        <f ca="1">Cashflow!J40</f>
        <v>0</v>
      </c>
      <c r="K9" s="41">
        <f ca="1">Cashflow!K40</f>
        <v>82051282.051282048</v>
      </c>
      <c r="L9" s="41">
        <f ca="1">Cashflow!L40</f>
        <v>597732039.23729324</v>
      </c>
      <c r="M9" s="41">
        <f ca="1">Cashflow!M40</f>
        <v>1361314242.0590568</v>
      </c>
      <c r="N9" s="41">
        <f ca="1">Cashflow!N40</f>
        <v>2064957813.9798989</v>
      </c>
      <c r="O9" s="41">
        <f ca="1">Cashflow!O40</f>
        <v>3067613453.6278114</v>
      </c>
    </row>
    <row r="10" spans="2:20" x14ac:dyDescent="0.25">
      <c r="C10" t="s">
        <v>19</v>
      </c>
      <c r="D10" t="s">
        <v>288</v>
      </c>
      <c r="G10" s="25">
        <f ca="1">Cashflow!G38</f>
        <v>0</v>
      </c>
      <c r="H10" s="25">
        <f ca="1">Cashflow!H38</f>
        <v>0</v>
      </c>
      <c r="I10" s="25">
        <f ca="1">Cashflow!I38</f>
        <v>0</v>
      </c>
      <c r="J10" s="25">
        <f ca="1">Cashflow!J38</f>
        <v>82051282.051282048</v>
      </c>
      <c r="K10" s="25">
        <f ca="1">Cashflow!K38</f>
        <v>515680757.1860112</v>
      </c>
      <c r="L10" s="25">
        <f ca="1">Cashflow!L38</f>
        <v>763582202.82176352</v>
      </c>
      <c r="M10" s="25">
        <f ca="1">Cashflow!M38</f>
        <v>703643571.92084217</v>
      </c>
      <c r="N10" s="25">
        <f ca="1">Cashflow!N38</f>
        <v>1002655639.6479125</v>
      </c>
      <c r="O10" s="25">
        <f ca="1">Cashflow!O38</f>
        <v>1141723397.6023586</v>
      </c>
    </row>
    <row r="11" spans="2:20" x14ac:dyDescent="0.25">
      <c r="C11" t="s">
        <v>152</v>
      </c>
      <c r="D11" t="s">
        <v>288</v>
      </c>
      <c r="G11" s="25">
        <f ca="1">Cashflow!G41</f>
        <v>0</v>
      </c>
      <c r="H11" s="25">
        <f ca="1">Cashflow!H41</f>
        <v>0</v>
      </c>
      <c r="I11" s="25">
        <f ca="1">Cashflow!I41</f>
        <v>0</v>
      </c>
      <c r="J11" s="25">
        <f ca="1">Cashflow!J41</f>
        <v>82051282.051282048</v>
      </c>
      <c r="K11" s="25">
        <f ca="1">Cashflow!K41</f>
        <v>597732039.23729324</v>
      </c>
      <c r="L11" s="25">
        <f ca="1">Cashflow!L41</f>
        <v>1361314242.0590568</v>
      </c>
      <c r="M11" s="25">
        <f ca="1">Cashflow!M41</f>
        <v>2064957813.9798989</v>
      </c>
      <c r="N11" s="25">
        <f ca="1">Cashflow!N41</f>
        <v>3067613453.6278114</v>
      </c>
      <c r="O11" s="25">
        <f ca="1">Cashflow!O41</f>
        <v>4209336851.2301702</v>
      </c>
    </row>
    <row r="13" spans="2:20" x14ac:dyDescent="0.25">
      <c r="C13" t="s">
        <v>153</v>
      </c>
      <c r="D13" t="s">
        <v>73</v>
      </c>
      <c r="G13" s="32">
        <f>'Model Inputs'!G90</f>
        <v>0.05</v>
      </c>
      <c r="H13" s="32">
        <f>'Model Inputs'!H90</f>
        <v>0.05</v>
      </c>
      <c r="I13" s="32">
        <f>'Model Inputs'!I90</f>
        <v>0.05</v>
      </c>
      <c r="J13" s="32">
        <f>'Model Inputs'!J90</f>
        <v>0.05</v>
      </c>
      <c r="K13" s="32">
        <f>'Model Inputs'!K90</f>
        <v>0.05</v>
      </c>
      <c r="L13" s="32">
        <f>'Model Inputs'!L90</f>
        <v>0.05</v>
      </c>
      <c r="M13" s="32">
        <f>'Model Inputs'!M90</f>
        <v>0.05</v>
      </c>
      <c r="N13" s="32">
        <f>'Model Inputs'!N90</f>
        <v>0.05</v>
      </c>
      <c r="O13" s="32">
        <f>'Model Inputs'!O90</f>
        <v>0.05</v>
      </c>
    </row>
    <row r="15" spans="2:20" x14ac:dyDescent="0.25">
      <c r="C15" t="s">
        <v>154</v>
      </c>
      <c r="D15" t="s">
        <v>288</v>
      </c>
      <c r="G15" s="25">
        <f ca="1">AVERAGE(G9,G11)*G13</f>
        <v>0</v>
      </c>
      <c r="H15" s="25">
        <f t="shared" ref="H15:O15" ca="1" si="0">AVERAGE(H9,H11)*H13</f>
        <v>0</v>
      </c>
      <c r="I15" s="25">
        <f t="shared" ca="1" si="0"/>
        <v>0</v>
      </c>
      <c r="J15" s="25">
        <f t="shared" ca="1" si="0"/>
        <v>2051282.0512820513</v>
      </c>
      <c r="K15" s="25">
        <f t="shared" ca="1" si="0"/>
        <v>16994583.032214385</v>
      </c>
      <c r="L15" s="25">
        <f t="shared" ca="1" si="0"/>
        <v>48976157.032408752</v>
      </c>
      <c r="M15" s="25">
        <f t="shared" ca="1" si="0"/>
        <v>85656801.400973901</v>
      </c>
      <c r="N15" s="25">
        <f t="shared" ca="1" si="0"/>
        <v>128314281.69019276</v>
      </c>
      <c r="O15" s="25">
        <f t="shared" ca="1" si="0"/>
        <v>181923757.62144956</v>
      </c>
    </row>
    <row r="16" spans="2:20" x14ac:dyDescent="0.25">
      <c r="G16" s="25"/>
      <c r="H16" s="25"/>
      <c r="I16" s="25"/>
      <c r="J16" s="25"/>
      <c r="K16" s="25"/>
      <c r="L16" s="25"/>
      <c r="M16" s="25"/>
      <c r="N16" s="25"/>
      <c r="O16" s="25"/>
    </row>
    <row r="17" spans="2:15" x14ac:dyDescent="0.25">
      <c r="G17" s="25"/>
      <c r="H17" s="25"/>
      <c r="I17" s="25"/>
      <c r="J17" s="25"/>
      <c r="K17" s="25"/>
      <c r="L17" s="25"/>
      <c r="M17" s="25"/>
      <c r="N17" s="25"/>
      <c r="O17" s="25"/>
    </row>
    <row r="18" spans="2:15" s="6" customFormat="1" x14ac:dyDescent="0.25">
      <c r="B18" s="6" t="s">
        <v>155</v>
      </c>
      <c r="G18" s="23"/>
      <c r="H18" s="23"/>
      <c r="I18" s="23"/>
      <c r="J18" s="23"/>
      <c r="K18" s="23"/>
      <c r="L18" s="23"/>
      <c r="M18" s="23"/>
      <c r="N18" s="23"/>
      <c r="O18" s="23"/>
    </row>
    <row r="19" spans="2:15" x14ac:dyDescent="0.25">
      <c r="C19" t="s">
        <v>156</v>
      </c>
      <c r="D19" t="s">
        <v>288</v>
      </c>
      <c r="G19" s="25">
        <f ca="1">Cashflow!G8</f>
        <v>0</v>
      </c>
      <c r="H19" s="25">
        <f ca="1">Cashflow!H8</f>
        <v>0</v>
      </c>
      <c r="I19" s="25">
        <f ca="1">Cashflow!I8</f>
        <v>0</v>
      </c>
      <c r="J19" s="25">
        <f ca="1">Cashflow!J8</f>
        <v>0</v>
      </c>
      <c r="K19" s="25">
        <f ca="1">Cashflow!K8</f>
        <v>558686174.15379679</v>
      </c>
      <c r="L19" s="25">
        <f ca="1">Cashflow!L8</f>
        <v>708606045.7893548</v>
      </c>
      <c r="M19" s="25">
        <f ca="1">Cashflow!M8</f>
        <v>786712666.59676099</v>
      </c>
      <c r="N19" s="25">
        <f ca="1">Cashflow!N8</f>
        <v>1070266382.7839681</v>
      </c>
      <c r="O19" s="25">
        <f ca="1">Cashflow!O8</f>
        <v>1172352344.1141801</v>
      </c>
    </row>
    <row r="20" spans="2:15" x14ac:dyDescent="0.25">
      <c r="C20" t="s">
        <v>157</v>
      </c>
      <c r="D20" t="s">
        <v>288</v>
      </c>
      <c r="G20" s="25">
        <f ca="1">Cashflow!G21</f>
        <v>0</v>
      </c>
      <c r="H20" s="25">
        <f ca="1">Cashflow!H21</f>
        <v>0</v>
      </c>
      <c r="I20" s="25">
        <f ca="1">Cashflow!I21</f>
        <v>0</v>
      </c>
      <c r="J20" s="25">
        <f ca="1">Cashflow!J21</f>
        <v>-67948717.948717952</v>
      </c>
      <c r="K20" s="25">
        <f ca="1">Cashflow!K21</f>
        <v>-23005416.967785615</v>
      </c>
      <c r="L20" s="25">
        <f ca="1">Cashflow!L21</f>
        <v>47976157.032408752</v>
      </c>
      <c r="M20" s="25">
        <f ca="1">Cashflow!M21</f>
        <v>57656801.400973901</v>
      </c>
      <c r="N20" s="25">
        <f ca="1">Cashflow!N21</f>
        <v>120314281.69019276</v>
      </c>
      <c r="O20" s="25">
        <f ca="1">Cashflow!O21</f>
        <v>176423757.62144956</v>
      </c>
    </row>
    <row r="21" spans="2:15" x14ac:dyDescent="0.25">
      <c r="C21" t="s">
        <v>158</v>
      </c>
      <c r="D21" t="s">
        <v>288</v>
      </c>
      <c r="G21" s="25">
        <f>SUM(Cashflow!G32:G33)</f>
        <v>0</v>
      </c>
      <c r="H21" s="25">
        <f>SUM(Cashflow!H32:H33)</f>
        <v>0</v>
      </c>
      <c r="I21" s="25">
        <f>SUM(Cashflow!I32:I33)</f>
        <v>0</v>
      </c>
      <c r="J21" s="25">
        <f>SUM(Cashflow!J32:J33)</f>
        <v>50000000</v>
      </c>
      <c r="K21" s="25">
        <f>SUM(Cashflow!K32:K33)</f>
        <v>-10000000</v>
      </c>
      <c r="L21" s="25">
        <f>SUM(Cashflow!L32:L33)</f>
        <v>-10000000</v>
      </c>
      <c r="M21" s="25">
        <f>SUM(Cashflow!M32:M33)</f>
        <v>-10000000</v>
      </c>
      <c r="N21" s="25">
        <f>SUM(Cashflow!N32:N33)</f>
        <v>-10000000</v>
      </c>
      <c r="O21" s="25">
        <f>SUM(Cashflow!O32:O33)</f>
        <v>-10000000</v>
      </c>
    </row>
    <row r="22" spans="2:15" x14ac:dyDescent="0.25">
      <c r="C22" t="s">
        <v>159</v>
      </c>
      <c r="D22" t="s">
        <v>288</v>
      </c>
      <c r="G22" s="25">
        <f>Cashflow!G35</f>
        <v>0</v>
      </c>
      <c r="H22" s="25">
        <f>Cashflow!H35</f>
        <v>0</v>
      </c>
      <c r="I22" s="25">
        <f>Cashflow!I35</f>
        <v>0</v>
      </c>
      <c r="J22" s="25">
        <f>Cashflow!J35</f>
        <v>100000000</v>
      </c>
      <c r="K22" s="25">
        <f>Cashflow!K35</f>
        <v>0</v>
      </c>
      <c r="L22" s="25">
        <f>Cashflow!L35</f>
        <v>25000000</v>
      </c>
      <c r="M22" s="25">
        <f>Cashflow!M35</f>
        <v>0</v>
      </c>
      <c r="N22" s="25">
        <f>Cashflow!N35</f>
        <v>0</v>
      </c>
      <c r="O22" s="25">
        <f>Cashflow!O35</f>
        <v>0</v>
      </c>
    </row>
    <row r="23" spans="2:15" x14ac:dyDescent="0.25">
      <c r="C23" t="s">
        <v>160</v>
      </c>
      <c r="D23" t="s">
        <v>288</v>
      </c>
      <c r="G23" s="25">
        <f ca="1">Cashflow!G34</f>
        <v>0</v>
      </c>
      <c r="H23" s="25">
        <f ca="1">Cashflow!H34</f>
        <v>0</v>
      </c>
      <c r="I23" s="25">
        <f ca="1">Cashflow!I34</f>
        <v>0</v>
      </c>
      <c r="J23" s="25">
        <f ca="1">Cashflow!J34</f>
        <v>0</v>
      </c>
      <c r="K23" s="25">
        <f ca="1">Cashflow!K34</f>
        <v>0</v>
      </c>
      <c r="L23" s="25">
        <f ca="1">Cashflow!L34</f>
        <v>0</v>
      </c>
      <c r="M23" s="25">
        <f ca="1">Cashflow!M34</f>
        <v>-124725896.07689272</v>
      </c>
      <c r="N23" s="25">
        <f ca="1">Cashflow!N34</f>
        <v>-173925024.82624841</v>
      </c>
      <c r="O23" s="25">
        <f ca="1">Cashflow!O34</f>
        <v>-195052704.13327098</v>
      </c>
    </row>
    <row r="24" spans="2:15" x14ac:dyDescent="0.25">
      <c r="C24" t="s">
        <v>188</v>
      </c>
      <c r="D24" t="s">
        <v>288</v>
      </c>
      <c r="G24" s="25">
        <f ca="1">SUM(G19:G23)</f>
        <v>0</v>
      </c>
      <c r="H24" s="25">
        <f t="shared" ref="H24:O24" ca="1" si="1">SUM(H19:H23)</f>
        <v>0</v>
      </c>
      <c r="I24" s="25">
        <f t="shared" ca="1" si="1"/>
        <v>0</v>
      </c>
      <c r="J24" s="25">
        <f ca="1">SUM(J19:J23)</f>
        <v>82051282.051282048</v>
      </c>
      <c r="K24" s="25">
        <f t="shared" ca="1" si="1"/>
        <v>525680757.1860112</v>
      </c>
      <c r="L24" s="25">
        <f t="shared" ca="1" si="1"/>
        <v>771582202.82176352</v>
      </c>
      <c r="M24" s="25">
        <f t="shared" ca="1" si="1"/>
        <v>709643571.92084217</v>
      </c>
      <c r="N24" s="25">
        <f t="shared" ca="1" si="1"/>
        <v>1006655639.6479125</v>
      </c>
      <c r="O24" s="25">
        <f t="shared" ca="1" si="1"/>
        <v>1143723397.6023586</v>
      </c>
    </row>
    <row r="25" spans="2:15" x14ac:dyDescent="0.25">
      <c r="G25" s="25"/>
      <c r="H25" s="25"/>
      <c r="I25" s="25"/>
      <c r="J25" s="25"/>
      <c r="K25" s="25"/>
      <c r="L25" s="25"/>
      <c r="M25" s="25"/>
      <c r="N25" s="25"/>
      <c r="O25" s="25"/>
    </row>
    <row r="26" spans="2:15" x14ac:dyDescent="0.25">
      <c r="C26" t="s">
        <v>161</v>
      </c>
      <c r="D26" t="s">
        <v>288</v>
      </c>
      <c r="G26" s="25"/>
      <c r="H26" s="25">
        <f ca="1">G28</f>
        <v>0</v>
      </c>
      <c r="I26" s="25">
        <f t="shared" ref="I26:O26" ca="1" si="2">H28</f>
        <v>0</v>
      </c>
      <c r="J26" s="25">
        <f t="shared" ca="1" si="2"/>
        <v>0</v>
      </c>
      <c r="K26" s="25">
        <f t="shared" ca="1" si="2"/>
        <v>0</v>
      </c>
      <c r="L26" s="25">
        <f t="shared" ca="1" si="2"/>
        <v>0</v>
      </c>
      <c r="M26" s="25">
        <f t="shared" ca="1" si="2"/>
        <v>0</v>
      </c>
      <c r="N26" s="25">
        <f t="shared" ca="1" si="2"/>
        <v>0</v>
      </c>
      <c r="O26" s="25">
        <f t="shared" ca="1" si="2"/>
        <v>0</v>
      </c>
    </row>
    <row r="27" spans="2:15" x14ac:dyDescent="0.25">
      <c r="C27" t="s">
        <v>162</v>
      </c>
      <c r="D27" t="s">
        <v>288</v>
      </c>
      <c r="G27" s="25">
        <f ca="1">-MIN((G9+G24),G26)</f>
        <v>0</v>
      </c>
      <c r="H27" s="25">
        <f ca="1">-MIN((H9+H24),H26)</f>
        <v>0</v>
      </c>
      <c r="I27" s="25">
        <f t="shared" ref="I27:O27" ca="1" si="3">-MIN((I9+I24),I26)</f>
        <v>0</v>
      </c>
      <c r="J27" s="25">
        <f t="shared" ca="1" si="3"/>
        <v>0</v>
      </c>
      <c r="K27" s="25">
        <f t="shared" ca="1" si="3"/>
        <v>0</v>
      </c>
      <c r="L27" s="25">
        <f t="shared" ca="1" si="3"/>
        <v>0</v>
      </c>
      <c r="M27" s="25">
        <f t="shared" ca="1" si="3"/>
        <v>0</v>
      </c>
      <c r="N27" s="25">
        <f t="shared" ca="1" si="3"/>
        <v>0</v>
      </c>
      <c r="O27" s="25">
        <f t="shared" ca="1" si="3"/>
        <v>0</v>
      </c>
    </row>
    <row r="28" spans="2:15" x14ac:dyDescent="0.25">
      <c r="C28" t="s">
        <v>163</v>
      </c>
      <c r="D28" t="s">
        <v>288</v>
      </c>
      <c r="G28" s="41">
        <f ca="1">SUM(G26:G27)</f>
        <v>0</v>
      </c>
      <c r="H28" s="41">
        <f ca="1">SUM(H26:H27)</f>
        <v>0</v>
      </c>
      <c r="I28" s="41">
        <f t="shared" ref="I28:O28" ca="1" si="4">SUM(I26:I27)</f>
        <v>0</v>
      </c>
      <c r="J28" s="41">
        <f t="shared" ca="1" si="4"/>
        <v>0</v>
      </c>
      <c r="K28" s="41">
        <f t="shared" ca="1" si="4"/>
        <v>0</v>
      </c>
      <c r="L28" s="41">
        <f t="shared" ca="1" si="4"/>
        <v>0</v>
      </c>
      <c r="M28" s="41">
        <f t="shared" ca="1" si="4"/>
        <v>0</v>
      </c>
      <c r="N28" s="41">
        <f t="shared" ca="1" si="4"/>
        <v>0</v>
      </c>
      <c r="O28" s="41">
        <f t="shared" ca="1" si="4"/>
        <v>0</v>
      </c>
    </row>
    <row r="30" spans="2:15" x14ac:dyDescent="0.25">
      <c r="C30" t="s">
        <v>164</v>
      </c>
      <c r="D30" t="s">
        <v>73</v>
      </c>
      <c r="G30" s="32">
        <f>'Model Inputs'!G88</f>
        <v>0.15</v>
      </c>
      <c r="H30" s="32">
        <f>'Model Inputs'!H88</f>
        <v>0.15</v>
      </c>
      <c r="I30" s="32">
        <f>'Model Inputs'!I88</f>
        <v>0.15</v>
      </c>
      <c r="J30" s="32">
        <f>'Model Inputs'!J88</f>
        <v>0.15</v>
      </c>
      <c r="K30" s="32">
        <f>'Model Inputs'!K88</f>
        <v>0.15</v>
      </c>
      <c r="L30" s="32">
        <f>'Model Inputs'!L88</f>
        <v>0.15</v>
      </c>
      <c r="M30" s="32">
        <f>'Model Inputs'!M88</f>
        <v>0.15</v>
      </c>
      <c r="N30" s="32">
        <f>'Model Inputs'!N88</f>
        <v>0.15</v>
      </c>
      <c r="O30" s="32">
        <f>'Model Inputs'!O88</f>
        <v>0.15</v>
      </c>
    </row>
    <row r="32" spans="2:15" x14ac:dyDescent="0.25">
      <c r="C32" t="s">
        <v>165</v>
      </c>
      <c r="D32" t="s">
        <v>288</v>
      </c>
      <c r="G32" s="45">
        <f ca="1">-AVERAGE(G26,G28)*G30</f>
        <v>0</v>
      </c>
      <c r="H32" s="45">
        <f t="shared" ref="H32:O32" ca="1" si="5">-AVERAGE(H26,H28)*H30</f>
        <v>0</v>
      </c>
      <c r="I32" s="45">
        <f t="shared" ca="1" si="5"/>
        <v>0</v>
      </c>
      <c r="J32" s="45">
        <f t="shared" ca="1" si="5"/>
        <v>0</v>
      </c>
      <c r="K32" s="45">
        <f t="shared" ca="1" si="5"/>
        <v>0</v>
      </c>
      <c r="L32" s="45">
        <f t="shared" ca="1" si="5"/>
        <v>0</v>
      </c>
      <c r="M32" s="45">
        <f t="shared" ca="1" si="5"/>
        <v>0</v>
      </c>
      <c r="N32" s="45">
        <f t="shared" ca="1" si="5"/>
        <v>0</v>
      </c>
      <c r="O32" s="45">
        <f t="shared" ca="1" si="5"/>
        <v>0</v>
      </c>
    </row>
    <row r="34" spans="2:15" x14ac:dyDescent="0.25">
      <c r="G34" s="41"/>
      <c r="H34" s="41"/>
      <c r="I34" s="41"/>
      <c r="J34" s="41"/>
      <c r="K34" s="41"/>
      <c r="L34" s="41"/>
      <c r="M34" s="41"/>
      <c r="N34" s="41"/>
      <c r="O34" s="41"/>
    </row>
    <row r="35" spans="2:15" x14ac:dyDescent="0.25">
      <c r="B35" s="6" t="s">
        <v>124</v>
      </c>
      <c r="G35" s="41"/>
      <c r="H35" s="41"/>
      <c r="I35" s="41"/>
      <c r="J35" s="41"/>
      <c r="K35" s="41"/>
      <c r="L35" s="41"/>
      <c r="M35" s="41"/>
      <c r="N35" s="41"/>
      <c r="O35" s="41"/>
    </row>
    <row r="36" spans="2:15" x14ac:dyDescent="0.25">
      <c r="C36" t="s">
        <v>74</v>
      </c>
      <c r="D36" t="s">
        <v>288</v>
      </c>
      <c r="G36" s="41"/>
      <c r="H36" s="41"/>
      <c r="I36" s="41"/>
      <c r="J36" s="41">
        <f>'Model Inputs'!J64</f>
        <v>0</v>
      </c>
      <c r="K36" s="41">
        <f>'Model Inputs'!K64</f>
        <v>50000000</v>
      </c>
      <c r="L36" s="41">
        <f>'Model Inputs'!L64</f>
        <v>40000000</v>
      </c>
      <c r="M36" s="41">
        <f>'Model Inputs'!M64</f>
        <v>30000000</v>
      </c>
      <c r="N36" s="41">
        <f>'Model Inputs'!N64</f>
        <v>20000000</v>
      </c>
      <c r="O36" s="41">
        <f>'Model Inputs'!O64</f>
        <v>10000000</v>
      </c>
    </row>
    <row r="37" spans="2:15" x14ac:dyDescent="0.25">
      <c r="C37" t="s">
        <v>75</v>
      </c>
      <c r="D37" t="s">
        <v>288</v>
      </c>
      <c r="G37" s="41"/>
      <c r="H37" s="41"/>
      <c r="I37" s="41"/>
      <c r="J37" s="41">
        <f>'Model Inputs'!J65</f>
        <v>50000000</v>
      </c>
      <c r="K37" s="41">
        <f>'Model Inputs'!K65</f>
        <v>0</v>
      </c>
      <c r="L37" s="41">
        <f>'Model Inputs'!L65</f>
        <v>0</v>
      </c>
      <c r="M37" s="41">
        <f>'Model Inputs'!M65</f>
        <v>0</v>
      </c>
      <c r="N37" s="41">
        <f>'Model Inputs'!N65</f>
        <v>0</v>
      </c>
      <c r="O37" s="41">
        <f>'Model Inputs'!O65</f>
        <v>0</v>
      </c>
    </row>
    <row r="38" spans="2:15" x14ac:dyDescent="0.25">
      <c r="C38" t="s">
        <v>76</v>
      </c>
      <c r="D38" t="s">
        <v>288</v>
      </c>
      <c r="G38" s="41"/>
      <c r="H38" s="41"/>
      <c r="I38" s="41"/>
      <c r="J38" s="41">
        <f>'Model Inputs'!J66</f>
        <v>0</v>
      </c>
      <c r="K38" s="41">
        <f>'Model Inputs'!K66</f>
        <v>-10000000</v>
      </c>
      <c r="L38" s="41">
        <f>'Model Inputs'!L66</f>
        <v>-10000000</v>
      </c>
      <c r="M38" s="41">
        <f>'Model Inputs'!M66</f>
        <v>-10000000</v>
      </c>
      <c r="N38" s="41">
        <f>'Model Inputs'!N66</f>
        <v>-10000000</v>
      </c>
      <c r="O38" s="41">
        <f>'Model Inputs'!O66</f>
        <v>-10000000</v>
      </c>
    </row>
    <row r="39" spans="2:15" x14ac:dyDescent="0.25">
      <c r="C39" t="s">
        <v>77</v>
      </c>
      <c r="D39" t="s">
        <v>288</v>
      </c>
      <c r="G39" s="41"/>
      <c r="H39" s="41"/>
      <c r="I39" s="41"/>
      <c r="J39" s="41">
        <f>'Model Inputs'!J67</f>
        <v>0</v>
      </c>
      <c r="K39" s="41">
        <f>'Model Inputs'!K67</f>
        <v>-10000000</v>
      </c>
      <c r="L39" s="41">
        <f>'Model Inputs'!L67</f>
        <v>-8000000</v>
      </c>
      <c r="M39" s="41">
        <f>'Model Inputs'!M67</f>
        <v>-6000000</v>
      </c>
      <c r="N39" s="41">
        <f>'Model Inputs'!N67</f>
        <v>-4000000</v>
      </c>
      <c r="O39" s="41">
        <f>'Model Inputs'!O67</f>
        <v>-2000000</v>
      </c>
    </row>
    <row r="40" spans="2:15" x14ac:dyDescent="0.25">
      <c r="C40" t="s">
        <v>214</v>
      </c>
      <c r="G40" s="41"/>
      <c r="H40" s="41"/>
      <c r="I40" s="41"/>
      <c r="J40" s="41">
        <f>J36+J37+J38</f>
        <v>50000000</v>
      </c>
      <c r="K40" s="41">
        <f>K36+K37+K38</f>
        <v>40000000</v>
      </c>
      <c r="L40" s="41">
        <f t="shared" ref="L40:O40" si="6">L36+L37+L38</f>
        <v>30000000</v>
      </c>
      <c r="M40" s="41">
        <f t="shared" si="6"/>
        <v>20000000</v>
      </c>
      <c r="N40" s="41">
        <f t="shared" si="6"/>
        <v>10000000</v>
      </c>
      <c r="O40" s="41">
        <f t="shared" si="6"/>
        <v>0</v>
      </c>
    </row>
    <row r="41" spans="2:15" x14ac:dyDescent="0.25">
      <c r="G41" s="41"/>
      <c r="H41" s="41"/>
      <c r="I41" s="41"/>
      <c r="J41" s="41"/>
      <c r="K41" s="41"/>
      <c r="L41" s="41"/>
      <c r="M41" s="41"/>
      <c r="N41" s="41"/>
      <c r="O41" s="41"/>
    </row>
    <row r="42" spans="2:15" x14ac:dyDescent="0.25">
      <c r="B42" s="6" t="s">
        <v>81</v>
      </c>
      <c r="D42" t="s">
        <v>288</v>
      </c>
      <c r="G42" s="41"/>
      <c r="H42" s="41"/>
      <c r="I42" s="41"/>
      <c r="J42" s="41"/>
      <c r="K42" s="41"/>
      <c r="L42" s="41"/>
      <c r="M42" s="41"/>
      <c r="N42" s="41"/>
      <c r="O42" s="41"/>
    </row>
    <row r="43" spans="2:15" x14ac:dyDescent="0.25">
      <c r="C43" t="s">
        <v>74</v>
      </c>
      <c r="D43" t="s">
        <v>288</v>
      </c>
      <c r="G43" s="41"/>
      <c r="H43" s="41"/>
      <c r="I43" s="41"/>
      <c r="J43" s="41"/>
      <c r="K43" s="41"/>
      <c r="L43" s="41"/>
      <c r="M43" s="41"/>
      <c r="N43" s="41"/>
      <c r="O43" s="41"/>
    </row>
    <row r="44" spans="2:15" x14ac:dyDescent="0.25">
      <c r="C44" t="s">
        <v>75</v>
      </c>
      <c r="D44" t="s">
        <v>288</v>
      </c>
      <c r="G44" s="41"/>
      <c r="H44" s="41"/>
      <c r="I44" s="41"/>
      <c r="J44" s="41">
        <f>'Model Inputs'!J72</f>
        <v>0</v>
      </c>
      <c r="K44" s="41">
        <f>'Model Inputs'!K72</f>
        <v>0</v>
      </c>
      <c r="L44" s="41">
        <f>'Model Inputs'!L72</f>
        <v>0</v>
      </c>
      <c r="M44" s="41">
        <f>'Model Inputs'!M72</f>
        <v>0</v>
      </c>
      <c r="N44" s="41">
        <f>'Model Inputs'!N72</f>
        <v>0</v>
      </c>
      <c r="O44" s="41">
        <f>'Model Inputs'!O72</f>
        <v>0</v>
      </c>
    </row>
    <row r="45" spans="2:15" x14ac:dyDescent="0.25">
      <c r="C45" t="s">
        <v>76</v>
      </c>
      <c r="D45" t="s">
        <v>288</v>
      </c>
      <c r="G45" s="41"/>
      <c r="H45" s="41"/>
      <c r="I45" s="41"/>
      <c r="J45" s="41">
        <f>'Model Inputs'!J73</f>
        <v>0</v>
      </c>
      <c r="K45" s="41">
        <f>'Model Inputs'!K73</f>
        <v>0</v>
      </c>
      <c r="L45" s="41">
        <f>'Model Inputs'!L73</f>
        <v>0</v>
      </c>
      <c r="M45" s="41">
        <f>'Model Inputs'!M73</f>
        <v>0</v>
      </c>
      <c r="N45" s="41">
        <f>'Model Inputs'!N73</f>
        <v>0</v>
      </c>
      <c r="O45" s="41">
        <f>'Model Inputs'!O73</f>
        <v>0</v>
      </c>
    </row>
    <row r="46" spans="2:15" x14ac:dyDescent="0.25">
      <c r="C46" t="s">
        <v>77</v>
      </c>
      <c r="D46" t="s">
        <v>288</v>
      </c>
      <c r="G46" s="41"/>
      <c r="H46" s="41"/>
      <c r="I46" s="41"/>
      <c r="J46" s="41">
        <f>'Model Inputs'!J74</f>
        <v>0</v>
      </c>
      <c r="K46" s="41">
        <f>'Model Inputs'!K74</f>
        <v>0</v>
      </c>
      <c r="L46" s="41">
        <f>'Model Inputs'!L74</f>
        <v>0</v>
      </c>
      <c r="M46" s="41">
        <f>'Model Inputs'!M74</f>
        <v>0</v>
      </c>
      <c r="N46" s="41">
        <f>'Model Inputs'!N74</f>
        <v>0</v>
      </c>
      <c r="O46" s="41">
        <f>'Model Inputs'!O74</f>
        <v>0</v>
      </c>
    </row>
    <row r="47" spans="2:15" x14ac:dyDescent="0.25">
      <c r="C47" t="s">
        <v>214</v>
      </c>
      <c r="G47" s="41"/>
      <c r="H47" s="41"/>
      <c r="I47" s="41"/>
      <c r="J47" s="41">
        <f>J43+J44+J45</f>
        <v>0</v>
      </c>
      <c r="K47" s="41">
        <f t="shared" ref="K47:O47" si="7">K43+K44+K45</f>
        <v>0</v>
      </c>
      <c r="L47" s="41">
        <f t="shared" si="7"/>
        <v>0</v>
      </c>
      <c r="M47" s="41">
        <f t="shared" si="7"/>
        <v>0</v>
      </c>
      <c r="N47" s="41">
        <f t="shared" si="7"/>
        <v>0</v>
      </c>
      <c r="O47" s="41">
        <f t="shared" si="7"/>
        <v>0</v>
      </c>
    </row>
    <row r="48" spans="2:15" x14ac:dyDescent="0.25">
      <c r="G48" s="41"/>
      <c r="H48" s="41"/>
      <c r="I48" s="41"/>
      <c r="J48" s="41"/>
      <c r="K48" s="41"/>
      <c r="L48" s="41"/>
      <c r="M48" s="41"/>
      <c r="N48" s="41"/>
      <c r="O48" s="41"/>
    </row>
    <row r="49" spans="2:15" x14ac:dyDescent="0.25">
      <c r="B49" s="6" t="s">
        <v>82</v>
      </c>
      <c r="D49" t="s">
        <v>288</v>
      </c>
      <c r="G49" s="41"/>
      <c r="H49" s="41"/>
      <c r="I49" s="41"/>
      <c r="J49" s="41"/>
      <c r="K49" s="41"/>
      <c r="L49" s="41"/>
      <c r="M49" s="41"/>
      <c r="N49" s="41"/>
      <c r="O49" s="41"/>
    </row>
    <row r="50" spans="2:15" x14ac:dyDescent="0.25">
      <c r="C50" t="s">
        <v>74</v>
      </c>
      <c r="D50" t="s">
        <v>288</v>
      </c>
      <c r="G50" s="41"/>
      <c r="H50" s="41"/>
      <c r="I50" s="41"/>
      <c r="J50" s="41">
        <f>'Model Inputs'!J80</f>
        <v>0</v>
      </c>
      <c r="K50" s="41">
        <f>'Model Inputs'!K80</f>
        <v>0</v>
      </c>
      <c r="L50" s="41">
        <f>'Model Inputs'!L80</f>
        <v>0</v>
      </c>
      <c r="M50" s="41">
        <f>'Model Inputs'!M80</f>
        <v>0</v>
      </c>
      <c r="N50" s="41">
        <f>'Model Inputs'!N80</f>
        <v>0</v>
      </c>
      <c r="O50" s="41">
        <f>'Model Inputs'!O80</f>
        <v>0</v>
      </c>
    </row>
    <row r="51" spans="2:15" x14ac:dyDescent="0.25">
      <c r="C51" t="s">
        <v>75</v>
      </c>
      <c r="D51" t="s">
        <v>288</v>
      </c>
      <c r="G51" s="41"/>
      <c r="H51" s="41"/>
      <c r="I51" s="41"/>
      <c r="J51" s="41">
        <f>'Model Inputs'!J81</f>
        <v>0</v>
      </c>
      <c r="K51" s="41">
        <f>'Model Inputs'!K81</f>
        <v>0</v>
      </c>
      <c r="L51" s="41">
        <f>'Model Inputs'!L81</f>
        <v>0</v>
      </c>
      <c r="M51" s="41">
        <f>'Model Inputs'!M81</f>
        <v>0</v>
      </c>
      <c r="N51" s="41">
        <f>'Model Inputs'!N81</f>
        <v>0</v>
      </c>
      <c r="O51" s="41">
        <f>'Model Inputs'!O81</f>
        <v>0</v>
      </c>
    </row>
    <row r="52" spans="2:15" x14ac:dyDescent="0.25">
      <c r="C52" t="s">
        <v>76</v>
      </c>
      <c r="D52" t="s">
        <v>288</v>
      </c>
      <c r="G52" s="41"/>
      <c r="H52" s="41"/>
      <c r="I52" s="41"/>
      <c r="J52" s="41">
        <f>'Model Inputs'!J82</f>
        <v>0</v>
      </c>
      <c r="K52" s="41">
        <f>'Model Inputs'!K82</f>
        <v>0</v>
      </c>
      <c r="L52" s="41">
        <f>'Model Inputs'!L82</f>
        <v>0</v>
      </c>
      <c r="M52" s="41">
        <f>'Model Inputs'!M82</f>
        <v>0</v>
      </c>
      <c r="N52" s="41">
        <f>'Model Inputs'!N82</f>
        <v>0</v>
      </c>
      <c r="O52" s="41">
        <f>'Model Inputs'!O82</f>
        <v>0</v>
      </c>
    </row>
    <row r="53" spans="2:15" x14ac:dyDescent="0.25">
      <c r="C53" t="s">
        <v>77</v>
      </c>
      <c r="D53" t="s">
        <v>288</v>
      </c>
      <c r="G53" s="41"/>
      <c r="H53" s="41"/>
      <c r="I53" s="41"/>
      <c r="J53" s="41">
        <f>'Model Inputs'!J83</f>
        <v>0</v>
      </c>
      <c r="K53" s="41">
        <f>'Model Inputs'!K83</f>
        <v>0</v>
      </c>
      <c r="L53" s="41">
        <f>'Model Inputs'!L83</f>
        <v>0</v>
      </c>
      <c r="M53" s="41">
        <f>'Model Inputs'!M83</f>
        <v>0</v>
      </c>
      <c r="N53" s="41">
        <f>'Model Inputs'!N83</f>
        <v>0</v>
      </c>
      <c r="O53" s="41">
        <f>'Model Inputs'!O83</f>
        <v>0</v>
      </c>
    </row>
    <row r="54" spans="2:15" x14ac:dyDescent="0.25">
      <c r="C54" t="s">
        <v>214</v>
      </c>
      <c r="G54" s="41"/>
      <c r="H54" s="41"/>
      <c r="I54" s="41"/>
      <c r="J54" s="41">
        <f>J50+J51+J52</f>
        <v>0</v>
      </c>
      <c r="K54" s="41">
        <f t="shared" ref="K54:O54" si="8">K50+K51+K52</f>
        <v>0</v>
      </c>
      <c r="L54" s="41">
        <f t="shared" si="8"/>
        <v>0</v>
      </c>
      <c r="M54" s="41">
        <f t="shared" si="8"/>
        <v>0</v>
      </c>
      <c r="N54" s="41">
        <f t="shared" si="8"/>
        <v>0</v>
      </c>
      <c r="O54" s="41">
        <f t="shared" si="8"/>
        <v>0</v>
      </c>
    </row>
    <row r="55" spans="2:15" x14ac:dyDescent="0.25">
      <c r="G55" s="41"/>
      <c r="H55" s="41"/>
      <c r="I55" s="41"/>
      <c r="J55" s="41"/>
      <c r="K55" s="41"/>
      <c r="L55" s="41"/>
      <c r="M55" s="41"/>
      <c r="N55" s="41"/>
      <c r="O55" s="41"/>
    </row>
    <row r="56" spans="2:15" x14ac:dyDescent="0.25">
      <c r="G56" s="41"/>
      <c r="H56" s="41"/>
      <c r="I56" s="41"/>
      <c r="J56" s="41"/>
      <c r="K56" s="41"/>
      <c r="L56" s="41"/>
      <c r="M56" s="41"/>
      <c r="N56" s="41"/>
      <c r="O56" s="41"/>
    </row>
    <row r="57" spans="2:15" s="6" customFormat="1" x14ac:dyDescent="0.25">
      <c r="B57" s="6" t="s">
        <v>167</v>
      </c>
      <c r="D57" s="6" t="s">
        <v>288</v>
      </c>
      <c r="G57" s="56">
        <f t="shared" ref="G57:I57" ca="1" si="9">G15</f>
        <v>0</v>
      </c>
      <c r="H57" s="56">
        <f t="shared" ca="1" si="9"/>
        <v>0</v>
      </c>
      <c r="I57" s="56">
        <f t="shared" ca="1" si="9"/>
        <v>0</v>
      </c>
      <c r="J57" s="56">
        <f ca="1">J15</f>
        <v>2051282.0512820513</v>
      </c>
      <c r="K57" s="56">
        <f t="shared" ref="K57:O57" ca="1" si="10">K15</f>
        <v>16994583.032214385</v>
      </c>
      <c r="L57" s="56">
        <f t="shared" ca="1" si="10"/>
        <v>48976157.032408752</v>
      </c>
      <c r="M57" s="56">
        <f t="shared" ca="1" si="10"/>
        <v>85656801.400973901</v>
      </c>
      <c r="N57" s="56">
        <f t="shared" ca="1" si="10"/>
        <v>128314281.69019276</v>
      </c>
      <c r="O57" s="56">
        <f t="shared" ca="1" si="10"/>
        <v>181923757.62144956</v>
      </c>
    </row>
    <row r="58" spans="2:15" s="6" customFormat="1" x14ac:dyDescent="0.25">
      <c r="B58" s="6" t="s">
        <v>166</v>
      </c>
      <c r="D58" s="6" t="s">
        <v>288</v>
      </c>
      <c r="G58" s="56">
        <f t="shared" ref="G58:I58" ca="1" si="11">G32+G39+G46+G53</f>
        <v>0</v>
      </c>
      <c r="H58" s="56">
        <f t="shared" ca="1" si="11"/>
        <v>0</v>
      </c>
      <c r="I58" s="56">
        <f t="shared" ca="1" si="11"/>
        <v>0</v>
      </c>
      <c r="J58" s="56">
        <f ca="1">J32+J39+J46+J53</f>
        <v>0</v>
      </c>
      <c r="K58" s="56">
        <f t="shared" ref="K58:O58" ca="1" si="12">K32+K39+K46+K53</f>
        <v>-10000000</v>
      </c>
      <c r="L58" s="56">
        <f t="shared" ca="1" si="12"/>
        <v>-8000000</v>
      </c>
      <c r="M58" s="56">
        <f t="shared" ca="1" si="12"/>
        <v>-6000000</v>
      </c>
      <c r="N58" s="56">
        <f t="shared" ca="1" si="12"/>
        <v>-4000000</v>
      </c>
      <c r="O58" s="56">
        <f t="shared" ca="1" si="12"/>
        <v>-2000000</v>
      </c>
    </row>
    <row r="59" spans="2:15" x14ac:dyDescent="0.25">
      <c r="D59" s="6"/>
    </row>
  </sheetData>
  <hyperlinks>
    <hyperlink ref="O1" location="'Table of Content'!A1" display="&gt;&gt; Table of Contents" xr:uid="{AA03EA4C-AAF7-483C-9B5F-924D8FA01A35}"/>
  </hyperlink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4DE65-F3F6-47D1-84DF-C847A82527D3}">
  <sheetPr>
    <tabColor theme="9" tint="-0.499984740745262"/>
  </sheetPr>
  <dimension ref="A1:T28"/>
  <sheetViews>
    <sheetView showGridLines="0" zoomScale="80" zoomScaleNormal="80" workbookViewId="0">
      <selection activeCell="H46" sqref="H46"/>
    </sheetView>
  </sheetViews>
  <sheetFormatPr defaultRowHeight="15" x14ac:dyDescent="0.25"/>
  <cols>
    <col min="1" max="1" width="10.140625" bestFit="1" customWidth="1"/>
    <col min="2" max="2" width="3.140625" customWidth="1"/>
    <col min="3" max="3" width="35.42578125" customWidth="1"/>
    <col min="5" max="5" width="14.5703125" customWidth="1"/>
    <col min="7" max="10" width="14.5703125" customWidth="1"/>
    <col min="11" max="11" width="39.140625" bestFit="1" customWidth="1"/>
    <col min="12" max="14" width="20" bestFit="1" customWidth="1"/>
    <col min="15" max="15" width="23.140625" bestFit="1" customWidth="1"/>
    <col min="16" max="16" width="8.85546875" bestFit="1" customWidth="1"/>
  </cols>
  <sheetData>
    <row r="1" spans="1:20" s="14" customFormat="1" x14ac:dyDescent="0.25">
      <c r="C1" s="14" t="str">
        <f>Summary!D3</f>
        <v>M-pharmaceutical</v>
      </c>
      <c r="K1" s="14" t="str">
        <f>Scenarios!K1</f>
        <v>Currently running scenario: Optimistic</v>
      </c>
      <c r="O1" s="52" t="s">
        <v>237</v>
      </c>
      <c r="T1" s="14" t="str">
        <f>Summary!K2</f>
        <v>Last Updated: 20-January-2025</v>
      </c>
    </row>
    <row r="3" spans="1:20" ht="21" x14ac:dyDescent="0.35">
      <c r="B3" s="16" t="s">
        <v>34</v>
      </c>
      <c r="C3" s="16"/>
      <c r="D3" s="16"/>
      <c r="E3" s="16"/>
      <c r="F3" s="16"/>
      <c r="G3" s="16"/>
      <c r="H3" s="16"/>
    </row>
    <row r="5" spans="1:20" x14ac:dyDescent="0.25">
      <c r="A5" s="18"/>
      <c r="B5" s="19"/>
      <c r="C5" s="20"/>
      <c r="D5" s="20"/>
      <c r="E5" s="20"/>
      <c r="F5" s="21"/>
      <c r="G5" s="22">
        <v>2016</v>
      </c>
      <c r="H5" s="22">
        <v>2017</v>
      </c>
      <c r="I5" s="22">
        <v>2018</v>
      </c>
      <c r="J5" s="22">
        <v>2019</v>
      </c>
      <c r="K5" s="22">
        <v>2020</v>
      </c>
      <c r="L5" s="22">
        <v>2021</v>
      </c>
      <c r="M5" s="22">
        <v>2022</v>
      </c>
      <c r="N5" s="22">
        <v>2023</v>
      </c>
      <c r="O5" s="22">
        <v>2024</v>
      </c>
      <c r="P5" s="18"/>
    </row>
    <row r="6" spans="1:20" x14ac:dyDescent="0.25">
      <c r="A6" s="18"/>
      <c r="P6" s="18"/>
    </row>
    <row r="7" spans="1:20" s="6" customFormat="1" x14ac:dyDescent="0.25">
      <c r="B7" s="6" t="s">
        <v>132</v>
      </c>
      <c r="G7" s="23">
        <f>SUM(G8:G11)</f>
        <v>0</v>
      </c>
      <c r="H7" s="23">
        <f t="shared" ref="H7:O7" si="0">SUM(H8:H11)</f>
        <v>0</v>
      </c>
      <c r="I7" s="23">
        <f t="shared" si="0"/>
        <v>0</v>
      </c>
      <c r="J7" s="23">
        <f t="shared" si="0"/>
        <v>0</v>
      </c>
      <c r="K7" s="23">
        <f>SUM(K8:K11)</f>
        <v>1339200000</v>
      </c>
      <c r="L7" s="23">
        <f t="shared" si="0"/>
        <v>1540800000</v>
      </c>
      <c r="M7" s="23">
        <f t="shared" si="0"/>
        <v>1823040000</v>
      </c>
      <c r="N7" s="23">
        <f t="shared" si="0"/>
        <v>2360160000</v>
      </c>
      <c r="O7" s="23">
        <f t="shared" si="0"/>
        <v>2656800000</v>
      </c>
    </row>
    <row r="8" spans="1:20" x14ac:dyDescent="0.25">
      <c r="C8" t="s">
        <v>133</v>
      </c>
      <c r="D8" t="s">
        <v>288</v>
      </c>
      <c r="G8" s="25">
        <f>G14</f>
        <v>0</v>
      </c>
      <c r="H8" s="25">
        <f t="shared" ref="H8:O8" si="1">H14</f>
        <v>0</v>
      </c>
      <c r="I8" s="25">
        <f t="shared" si="1"/>
        <v>0</v>
      </c>
      <c r="J8" s="25">
        <f t="shared" si="1"/>
        <v>0</v>
      </c>
      <c r="K8" s="25">
        <f t="shared" si="1"/>
        <v>720000000</v>
      </c>
      <c r="L8" s="25">
        <f t="shared" si="1"/>
        <v>864000000</v>
      </c>
      <c r="M8" s="25">
        <f t="shared" si="1"/>
        <v>1080000000</v>
      </c>
      <c r="N8" s="25">
        <f t="shared" si="1"/>
        <v>1555200000</v>
      </c>
      <c r="O8" s="25">
        <f t="shared" si="1"/>
        <v>1728000000</v>
      </c>
    </row>
    <row r="9" spans="1:20" x14ac:dyDescent="0.25">
      <c r="C9" t="s">
        <v>111</v>
      </c>
      <c r="D9" t="s">
        <v>288</v>
      </c>
      <c r="G9" s="25">
        <f>G18</f>
        <v>0</v>
      </c>
      <c r="H9" s="25">
        <f t="shared" ref="H9:O9" si="2">H18</f>
        <v>0</v>
      </c>
      <c r="I9" s="25">
        <f t="shared" si="2"/>
        <v>0</v>
      </c>
      <c r="J9" s="25">
        <f t="shared" si="2"/>
        <v>0</v>
      </c>
      <c r="K9" s="25">
        <f>K18</f>
        <v>576000000</v>
      </c>
      <c r="L9" s="25">
        <f t="shared" si="2"/>
        <v>612000000</v>
      </c>
      <c r="M9" s="25">
        <f t="shared" si="2"/>
        <v>648000000</v>
      </c>
      <c r="N9" s="25">
        <f t="shared" si="2"/>
        <v>684000000</v>
      </c>
      <c r="O9" s="25">
        <f t="shared" si="2"/>
        <v>756000000</v>
      </c>
    </row>
    <row r="10" spans="1:20" x14ac:dyDescent="0.25">
      <c r="C10" t="s">
        <v>112</v>
      </c>
      <c r="D10" t="s">
        <v>288</v>
      </c>
      <c r="G10" s="25">
        <f>G22</f>
        <v>0</v>
      </c>
      <c r="H10" s="25">
        <f t="shared" ref="H10:O10" si="3">H22</f>
        <v>0</v>
      </c>
      <c r="I10" s="25">
        <f t="shared" si="3"/>
        <v>0</v>
      </c>
      <c r="J10" s="25">
        <f t="shared" si="3"/>
        <v>0</v>
      </c>
      <c r="K10" s="25">
        <f t="shared" si="3"/>
        <v>28800000</v>
      </c>
      <c r="L10" s="25">
        <f t="shared" si="3"/>
        <v>43200000</v>
      </c>
      <c r="M10" s="25">
        <f t="shared" si="3"/>
        <v>63360000</v>
      </c>
      <c r="N10" s="25">
        <f t="shared" si="3"/>
        <v>80640000</v>
      </c>
      <c r="O10" s="25">
        <f t="shared" si="3"/>
        <v>115200000</v>
      </c>
    </row>
    <row r="11" spans="1:20" x14ac:dyDescent="0.25">
      <c r="C11" t="s">
        <v>113</v>
      </c>
      <c r="D11" t="s">
        <v>288</v>
      </c>
      <c r="G11" s="25">
        <f>G26</f>
        <v>0</v>
      </c>
      <c r="H11" s="25">
        <f t="shared" ref="H11:O11" si="4">H26</f>
        <v>0</v>
      </c>
      <c r="I11" s="25">
        <f t="shared" si="4"/>
        <v>0</v>
      </c>
      <c r="J11" s="25">
        <f t="shared" si="4"/>
        <v>0</v>
      </c>
      <c r="K11" s="25">
        <f t="shared" si="4"/>
        <v>14400000</v>
      </c>
      <c r="L11" s="25">
        <f t="shared" si="4"/>
        <v>21600000</v>
      </c>
      <c r="M11" s="25">
        <f t="shared" si="4"/>
        <v>31680000</v>
      </c>
      <c r="N11" s="25">
        <f t="shared" si="4"/>
        <v>40320000</v>
      </c>
      <c r="O11" s="25">
        <f t="shared" si="4"/>
        <v>57600000</v>
      </c>
    </row>
    <row r="12" spans="1:20" x14ac:dyDescent="0.25">
      <c r="G12" s="25"/>
      <c r="H12" s="25"/>
      <c r="I12" s="25"/>
      <c r="J12" s="25"/>
      <c r="K12" s="25"/>
      <c r="L12" s="25"/>
      <c r="M12" s="25"/>
      <c r="N12" s="25"/>
      <c r="O12" s="25"/>
    </row>
    <row r="13" spans="1:20" x14ac:dyDescent="0.25">
      <c r="G13" s="25"/>
      <c r="H13" s="25"/>
      <c r="I13" s="25"/>
      <c r="J13" s="25"/>
      <c r="K13" s="25"/>
      <c r="L13" s="25"/>
      <c r="M13" s="25"/>
      <c r="N13" s="25"/>
      <c r="O13" s="25"/>
    </row>
    <row r="14" spans="1:20" x14ac:dyDescent="0.25">
      <c r="B14" t="s">
        <v>133</v>
      </c>
      <c r="G14" s="41">
        <f>G15*G16</f>
        <v>0</v>
      </c>
      <c r="H14" s="41">
        <f t="shared" ref="H14:O14" si="5">H15*H16</f>
        <v>0</v>
      </c>
      <c r="I14" s="41">
        <f t="shared" si="5"/>
        <v>0</v>
      </c>
      <c r="J14" s="41">
        <f t="shared" si="5"/>
        <v>0</v>
      </c>
      <c r="K14" s="41">
        <f>K15*K16</f>
        <v>720000000</v>
      </c>
      <c r="L14" s="41">
        <f t="shared" si="5"/>
        <v>864000000</v>
      </c>
      <c r="M14" s="41">
        <f t="shared" si="5"/>
        <v>1080000000</v>
      </c>
      <c r="N14" s="71">
        <f t="shared" si="5"/>
        <v>1555200000</v>
      </c>
      <c r="O14" s="71">
        <f t="shared" si="5"/>
        <v>1728000000</v>
      </c>
    </row>
    <row r="15" spans="1:20" x14ac:dyDescent="0.25">
      <c r="C15" t="s">
        <v>45</v>
      </c>
      <c r="D15" t="s">
        <v>114</v>
      </c>
      <c r="G15" s="41">
        <f>Scenarios!K10</f>
        <v>0</v>
      </c>
      <c r="H15" s="41">
        <f>Scenarios!L10</f>
        <v>0</v>
      </c>
      <c r="I15" s="41">
        <f>Scenarios!M10</f>
        <v>0</v>
      </c>
      <c r="J15" s="41">
        <f>Scenarios!N10</f>
        <v>0</v>
      </c>
      <c r="K15" s="41">
        <f>Scenarios!O10</f>
        <v>600000</v>
      </c>
      <c r="L15" s="41">
        <f>Scenarios!P10</f>
        <v>720000</v>
      </c>
      <c r="M15" s="41">
        <f>Scenarios!Q10</f>
        <v>900000</v>
      </c>
      <c r="N15" s="71">
        <f>Scenarios!R10</f>
        <v>1080000</v>
      </c>
      <c r="O15" s="71">
        <f>Scenarios!S10</f>
        <v>1200000</v>
      </c>
    </row>
    <row r="16" spans="1:20" x14ac:dyDescent="0.25">
      <c r="C16" t="s">
        <v>46</v>
      </c>
      <c r="D16" t="s">
        <v>288</v>
      </c>
      <c r="G16" s="41">
        <f>Scenarios!K15</f>
        <v>0</v>
      </c>
      <c r="H16" s="41">
        <f>Scenarios!L15</f>
        <v>0</v>
      </c>
      <c r="I16" s="41">
        <f>Scenarios!M15</f>
        <v>0</v>
      </c>
      <c r="J16" s="41">
        <f>Scenarios!N15</f>
        <v>0</v>
      </c>
      <c r="K16" s="41">
        <f>Scenarios!O15</f>
        <v>1200</v>
      </c>
      <c r="L16" s="41">
        <f>Scenarios!P15</f>
        <v>1200</v>
      </c>
      <c r="M16" s="41">
        <f>Scenarios!Q15</f>
        <v>1200</v>
      </c>
      <c r="N16" s="71">
        <f>Scenarios!R15</f>
        <v>1440</v>
      </c>
      <c r="O16" s="71">
        <f>Scenarios!S15</f>
        <v>1440</v>
      </c>
    </row>
    <row r="17" spans="2:15" x14ac:dyDescent="0.25">
      <c r="G17" s="41"/>
      <c r="H17" s="41"/>
      <c r="I17" s="41"/>
      <c r="J17" s="41"/>
      <c r="K17" s="41"/>
      <c r="L17" s="41"/>
      <c r="M17" s="41"/>
      <c r="N17" s="71"/>
      <c r="O17" s="71"/>
    </row>
    <row r="18" spans="2:15" x14ac:dyDescent="0.25">
      <c r="B18" t="s">
        <v>111</v>
      </c>
      <c r="G18" s="41">
        <f>G19*G20</f>
        <v>0</v>
      </c>
      <c r="H18" s="41">
        <f t="shared" ref="H18:O18" si="6">H19*H20</f>
        <v>0</v>
      </c>
      <c r="I18" s="41">
        <f t="shared" si="6"/>
        <v>0</v>
      </c>
      <c r="J18" s="41">
        <f t="shared" si="6"/>
        <v>0</v>
      </c>
      <c r="K18" s="41">
        <f>K19*K20</f>
        <v>576000000</v>
      </c>
      <c r="L18" s="41">
        <f t="shared" si="6"/>
        <v>612000000</v>
      </c>
      <c r="M18" s="41">
        <f t="shared" si="6"/>
        <v>648000000</v>
      </c>
      <c r="N18" s="71">
        <f t="shared" si="6"/>
        <v>684000000</v>
      </c>
      <c r="O18" s="71">
        <f t="shared" si="6"/>
        <v>756000000</v>
      </c>
    </row>
    <row r="19" spans="2:15" x14ac:dyDescent="0.25">
      <c r="C19" t="s">
        <v>45</v>
      </c>
      <c r="D19" t="s">
        <v>114</v>
      </c>
      <c r="G19" s="41">
        <f>Scenarios!K27</f>
        <v>0</v>
      </c>
      <c r="H19" s="41">
        <f>Scenarios!L27</f>
        <v>0</v>
      </c>
      <c r="I19" s="41">
        <f>Scenarios!M27</f>
        <v>0</v>
      </c>
      <c r="J19" s="41">
        <f>Scenarios!N27</f>
        <v>0</v>
      </c>
      <c r="K19" s="41">
        <f>Scenarios!O27</f>
        <v>960000</v>
      </c>
      <c r="L19" s="41">
        <f>Scenarios!P27</f>
        <v>1020000</v>
      </c>
      <c r="M19" s="41">
        <f>Scenarios!Q27</f>
        <v>1080000</v>
      </c>
      <c r="N19" s="41">
        <f>Scenarios!R27</f>
        <v>1140000</v>
      </c>
      <c r="O19" s="71">
        <f>Scenarios!S27</f>
        <v>1260000</v>
      </c>
    </row>
    <row r="20" spans="2:15" x14ac:dyDescent="0.25">
      <c r="C20" t="s">
        <v>46</v>
      </c>
      <c r="D20" t="s">
        <v>288</v>
      </c>
      <c r="G20" s="41">
        <f>Scenarios!K32</f>
        <v>0</v>
      </c>
      <c r="H20" s="41">
        <f>Scenarios!L32</f>
        <v>0</v>
      </c>
      <c r="I20" s="41">
        <f>Scenarios!M32</f>
        <v>0</v>
      </c>
      <c r="J20" s="41">
        <f>Scenarios!N32</f>
        <v>0</v>
      </c>
      <c r="K20" s="41">
        <f>Scenarios!O32</f>
        <v>600</v>
      </c>
      <c r="L20" s="41">
        <f>Scenarios!P32</f>
        <v>600</v>
      </c>
      <c r="M20" s="41">
        <f>Scenarios!Q32</f>
        <v>600</v>
      </c>
      <c r="N20" s="41">
        <f>Scenarios!R32</f>
        <v>600</v>
      </c>
      <c r="O20" s="41">
        <f>Scenarios!S32</f>
        <v>600</v>
      </c>
    </row>
    <row r="21" spans="2:15" x14ac:dyDescent="0.25">
      <c r="G21" s="41"/>
      <c r="H21" s="41"/>
      <c r="I21" s="41"/>
      <c r="J21" s="41"/>
      <c r="K21" s="41"/>
      <c r="L21" s="41"/>
      <c r="M21" s="41"/>
      <c r="N21" s="41"/>
      <c r="O21" s="41"/>
    </row>
    <row r="22" spans="2:15" x14ac:dyDescent="0.25">
      <c r="B22" t="s">
        <v>112</v>
      </c>
      <c r="G22" s="41">
        <f>G23*G24</f>
        <v>0</v>
      </c>
      <c r="H22" s="41">
        <f t="shared" ref="H22:O22" si="7">H23*H24</f>
        <v>0</v>
      </c>
      <c r="I22" s="41">
        <f t="shared" si="7"/>
        <v>0</v>
      </c>
      <c r="J22" s="41">
        <f t="shared" si="7"/>
        <v>0</v>
      </c>
      <c r="K22" s="41">
        <f t="shared" si="7"/>
        <v>28800000</v>
      </c>
      <c r="L22" s="41">
        <f t="shared" si="7"/>
        <v>43200000</v>
      </c>
      <c r="M22" s="41">
        <f t="shared" si="7"/>
        <v>63360000</v>
      </c>
      <c r="N22" s="41">
        <f t="shared" si="7"/>
        <v>80640000</v>
      </c>
      <c r="O22" s="41">
        <f t="shared" si="7"/>
        <v>115200000</v>
      </c>
    </row>
    <row r="23" spans="2:15" x14ac:dyDescent="0.25">
      <c r="C23" t="s">
        <v>45</v>
      </c>
      <c r="D23" t="s">
        <v>114</v>
      </c>
      <c r="G23" s="41">
        <f>Scenarios!K44</f>
        <v>0</v>
      </c>
      <c r="H23" s="41">
        <f>Scenarios!L44</f>
        <v>0</v>
      </c>
      <c r="I23" s="41">
        <f>Scenarios!M44</f>
        <v>0</v>
      </c>
      <c r="J23" s="41">
        <f>Scenarios!N44</f>
        <v>0</v>
      </c>
      <c r="K23" s="41">
        <f>Scenarios!O44</f>
        <v>1200000</v>
      </c>
      <c r="L23" s="41">
        <f>Scenarios!P44</f>
        <v>1800000</v>
      </c>
      <c r="M23" s="41">
        <f>Scenarios!Q44</f>
        <v>2640000</v>
      </c>
      <c r="N23" s="41">
        <f>Scenarios!R44</f>
        <v>3360000</v>
      </c>
      <c r="O23" s="41">
        <f>Scenarios!S44</f>
        <v>4800000</v>
      </c>
    </row>
    <row r="24" spans="2:15" x14ac:dyDescent="0.25">
      <c r="C24" t="s">
        <v>46</v>
      </c>
      <c r="D24" t="s">
        <v>288</v>
      </c>
      <c r="G24" s="41">
        <f>Scenarios!K49</f>
        <v>0</v>
      </c>
      <c r="H24" s="41">
        <f>Scenarios!L49</f>
        <v>0</v>
      </c>
      <c r="I24" s="41">
        <f>Scenarios!M49</f>
        <v>0</v>
      </c>
      <c r="J24" s="41">
        <f>Scenarios!N49</f>
        <v>0</v>
      </c>
      <c r="K24" s="41">
        <f>Scenarios!O49</f>
        <v>24</v>
      </c>
      <c r="L24" s="41">
        <f>Scenarios!P49</f>
        <v>24</v>
      </c>
      <c r="M24" s="41">
        <f>Scenarios!Q49</f>
        <v>24</v>
      </c>
      <c r="N24" s="41">
        <f>Scenarios!R49</f>
        <v>24</v>
      </c>
      <c r="O24" s="41">
        <f>Scenarios!S49</f>
        <v>24</v>
      </c>
    </row>
    <row r="25" spans="2:15" x14ac:dyDescent="0.25">
      <c r="G25" s="41"/>
      <c r="H25" s="41"/>
      <c r="I25" s="41"/>
      <c r="J25" s="41"/>
      <c r="K25" s="41"/>
      <c r="L25" s="41"/>
      <c r="M25" s="41"/>
      <c r="N25" s="41"/>
      <c r="O25" s="41"/>
    </row>
    <row r="26" spans="2:15" x14ac:dyDescent="0.25">
      <c r="B26" t="s">
        <v>113</v>
      </c>
      <c r="G26" s="41">
        <f>G27*G28</f>
        <v>0</v>
      </c>
      <c r="H26" s="41">
        <f t="shared" ref="H26:O26" si="8">H27*H28</f>
        <v>0</v>
      </c>
      <c r="I26" s="41">
        <f t="shared" si="8"/>
        <v>0</v>
      </c>
      <c r="J26" s="41">
        <f t="shared" si="8"/>
        <v>0</v>
      </c>
      <c r="K26" s="41">
        <f t="shared" si="8"/>
        <v>14400000</v>
      </c>
      <c r="L26" s="41">
        <f t="shared" si="8"/>
        <v>21600000</v>
      </c>
      <c r="M26" s="41">
        <f t="shared" si="8"/>
        <v>31680000</v>
      </c>
      <c r="N26" s="41">
        <f t="shared" si="8"/>
        <v>40320000</v>
      </c>
      <c r="O26" s="41">
        <f t="shared" si="8"/>
        <v>57600000</v>
      </c>
    </row>
    <row r="27" spans="2:15" x14ac:dyDescent="0.25">
      <c r="C27" t="s">
        <v>45</v>
      </c>
      <c r="D27" t="s">
        <v>114</v>
      </c>
      <c r="G27" s="41">
        <f>Scenarios!K61</f>
        <v>0</v>
      </c>
      <c r="H27" s="41">
        <f>Scenarios!L61</f>
        <v>0</v>
      </c>
      <c r="I27" s="41">
        <f>Scenarios!M61</f>
        <v>0</v>
      </c>
      <c r="J27" s="41">
        <f>Scenarios!N61</f>
        <v>0</v>
      </c>
      <c r="K27" s="41">
        <f>Scenarios!O61</f>
        <v>1200000</v>
      </c>
      <c r="L27" s="41">
        <f>Scenarios!P61</f>
        <v>1800000</v>
      </c>
      <c r="M27" s="41">
        <f>Scenarios!Q61</f>
        <v>2640000</v>
      </c>
      <c r="N27" s="41">
        <f>Scenarios!R61</f>
        <v>3360000</v>
      </c>
      <c r="O27" s="41">
        <f>Scenarios!S61</f>
        <v>4800000</v>
      </c>
    </row>
    <row r="28" spans="2:15" x14ac:dyDescent="0.25">
      <c r="C28" t="s">
        <v>46</v>
      </c>
      <c r="D28" t="s">
        <v>288</v>
      </c>
      <c r="G28" s="41">
        <f>Scenarios!K66</f>
        <v>0</v>
      </c>
      <c r="H28" s="41">
        <f>Scenarios!L66</f>
        <v>0</v>
      </c>
      <c r="I28" s="41">
        <f>Scenarios!M66</f>
        <v>0</v>
      </c>
      <c r="J28" s="41">
        <f>Scenarios!N66</f>
        <v>0</v>
      </c>
      <c r="K28" s="41">
        <f>Scenarios!O66</f>
        <v>12</v>
      </c>
      <c r="L28" s="41">
        <f>Scenarios!P66</f>
        <v>12</v>
      </c>
      <c r="M28" s="41">
        <f>Scenarios!Q66</f>
        <v>12</v>
      </c>
      <c r="N28" s="41">
        <f>Scenarios!R66</f>
        <v>12</v>
      </c>
      <c r="O28" s="41">
        <f>Scenarios!S66</f>
        <v>12</v>
      </c>
    </row>
  </sheetData>
  <hyperlinks>
    <hyperlink ref="O1" location="'Table of Content'!A1" display="&gt;&gt; Table of Contents" xr:uid="{8527DE7E-568F-4713-B64F-6477D047DA8B}"/>
  </hyperlinks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448BD-B3EE-4CC4-81AE-F2BDCD51EE4A}">
  <sheetPr>
    <tabColor theme="9" tint="-0.499984740745262"/>
  </sheetPr>
  <dimension ref="B1:T28"/>
  <sheetViews>
    <sheetView showGridLines="0" zoomScale="80" zoomScaleNormal="80" workbookViewId="0">
      <selection activeCell="H46" sqref="H46"/>
    </sheetView>
  </sheetViews>
  <sheetFormatPr defaultRowHeight="15" x14ac:dyDescent="0.25"/>
  <cols>
    <col min="2" max="2" width="3.140625" customWidth="1"/>
    <col min="3" max="3" width="35.42578125" customWidth="1"/>
    <col min="5" max="5" width="14.5703125" customWidth="1"/>
    <col min="7" max="11" width="14.5703125" customWidth="1"/>
    <col min="12" max="14" width="16.28515625" bestFit="1" customWidth="1"/>
    <col min="15" max="15" width="16.140625" bestFit="1" customWidth="1"/>
  </cols>
  <sheetData>
    <row r="1" spans="2:20" s="14" customFormat="1" x14ac:dyDescent="0.25">
      <c r="C1" s="14" t="str">
        <f>Summary!D3</f>
        <v>M-pharmaceutical</v>
      </c>
      <c r="K1" s="14" t="str">
        <f>Scenarios!K1</f>
        <v>Currently running scenario: Optimistic</v>
      </c>
      <c r="O1" s="52" t="s">
        <v>237</v>
      </c>
      <c r="T1" s="14" t="str">
        <f>Summary!K2</f>
        <v>Last Updated: 20-January-2025</v>
      </c>
    </row>
    <row r="3" spans="2:20" ht="21" x14ac:dyDescent="0.35">
      <c r="B3" s="16" t="s">
        <v>35</v>
      </c>
      <c r="C3" s="16"/>
      <c r="D3" s="16"/>
      <c r="E3" s="16"/>
      <c r="F3" s="16"/>
      <c r="G3" s="16"/>
      <c r="H3" s="16"/>
    </row>
    <row r="5" spans="2:20" x14ac:dyDescent="0.25">
      <c r="B5" s="19"/>
      <c r="C5" s="20"/>
      <c r="D5" s="20"/>
      <c r="E5" s="20"/>
      <c r="F5" s="21"/>
      <c r="G5" s="22">
        <v>2016</v>
      </c>
      <c r="H5" s="22">
        <v>2017</v>
      </c>
      <c r="I5" s="22">
        <v>2018</v>
      </c>
      <c r="J5" s="22">
        <v>2019</v>
      </c>
      <c r="K5" s="22">
        <v>2020</v>
      </c>
      <c r="L5" s="22">
        <v>2021</v>
      </c>
      <c r="M5" s="22">
        <v>2022</v>
      </c>
      <c r="N5" s="22">
        <v>2023</v>
      </c>
      <c r="O5" s="22">
        <v>2024</v>
      </c>
    </row>
    <row r="7" spans="2:20" x14ac:dyDescent="0.25">
      <c r="B7" s="6" t="s">
        <v>134</v>
      </c>
      <c r="C7" s="6"/>
      <c r="D7" s="6"/>
      <c r="E7" s="6"/>
      <c r="F7" s="6"/>
      <c r="G7" s="23">
        <f>SUM(G8:G11)</f>
        <v>0</v>
      </c>
      <c r="H7" s="23">
        <f t="shared" ref="H7:O7" si="0">SUM(H8:H11)</f>
        <v>0</v>
      </c>
      <c r="I7" s="23">
        <f t="shared" si="0"/>
        <v>0</v>
      </c>
      <c r="J7" s="23">
        <f t="shared" si="0"/>
        <v>0</v>
      </c>
      <c r="K7" s="23">
        <f t="shared" si="0"/>
        <v>388800000</v>
      </c>
      <c r="L7" s="23">
        <f t="shared" si="0"/>
        <v>450360000</v>
      </c>
      <c r="M7" s="23">
        <f t="shared" si="0"/>
        <v>577476000</v>
      </c>
      <c r="N7" s="23">
        <f t="shared" si="0"/>
        <v>670464000</v>
      </c>
      <c r="O7" s="23">
        <f t="shared" si="0"/>
        <v>813240000</v>
      </c>
    </row>
    <row r="8" spans="2:20" x14ac:dyDescent="0.25">
      <c r="C8" t="s">
        <v>133</v>
      </c>
      <c r="D8" t="s">
        <v>288</v>
      </c>
      <c r="G8" s="25">
        <f>G14</f>
        <v>0</v>
      </c>
      <c r="H8" s="25">
        <f t="shared" ref="H8:O8" si="1">H14</f>
        <v>0</v>
      </c>
      <c r="I8" s="25">
        <f t="shared" si="1"/>
        <v>0</v>
      </c>
      <c r="J8" s="25">
        <f t="shared" si="1"/>
        <v>0</v>
      </c>
      <c r="K8" s="25">
        <f t="shared" si="1"/>
        <v>216000000</v>
      </c>
      <c r="L8" s="25">
        <f t="shared" si="1"/>
        <v>259200000</v>
      </c>
      <c r="M8" s="25">
        <f t="shared" si="1"/>
        <v>364500000</v>
      </c>
      <c r="N8" s="25">
        <f t="shared" si="1"/>
        <v>437400000</v>
      </c>
      <c r="O8" s="25">
        <f t="shared" si="1"/>
        <v>540000000</v>
      </c>
    </row>
    <row r="9" spans="2:20" x14ac:dyDescent="0.25">
      <c r="C9" t="s">
        <v>111</v>
      </c>
      <c r="D9" t="s">
        <v>288</v>
      </c>
      <c r="G9" s="25">
        <f>G18</f>
        <v>0</v>
      </c>
      <c r="H9" s="25">
        <f t="shared" ref="H9:O9" si="2">H18</f>
        <v>0</v>
      </c>
      <c r="I9" s="25">
        <f t="shared" si="2"/>
        <v>0</v>
      </c>
      <c r="J9" s="25">
        <f t="shared" si="2"/>
        <v>0</v>
      </c>
      <c r="K9" s="25">
        <f t="shared" si="2"/>
        <v>155520000</v>
      </c>
      <c r="L9" s="25">
        <f t="shared" si="2"/>
        <v>165240000</v>
      </c>
      <c r="M9" s="25">
        <f t="shared" si="2"/>
        <v>174960000</v>
      </c>
      <c r="N9" s="25">
        <f t="shared" si="2"/>
        <v>184680000</v>
      </c>
      <c r="O9" s="25">
        <f t="shared" si="2"/>
        <v>204120000</v>
      </c>
    </row>
    <row r="10" spans="2:20" x14ac:dyDescent="0.25">
      <c r="C10" t="s">
        <v>112</v>
      </c>
      <c r="D10" t="s">
        <v>288</v>
      </c>
      <c r="G10" s="25">
        <f>G22</f>
        <v>0</v>
      </c>
      <c r="H10" s="25">
        <f t="shared" ref="H10:O10" si="3">H22</f>
        <v>0</v>
      </c>
      <c r="I10" s="25">
        <f t="shared" si="3"/>
        <v>0</v>
      </c>
      <c r="J10" s="25">
        <f t="shared" si="3"/>
        <v>0</v>
      </c>
      <c r="K10" s="25">
        <f t="shared" si="3"/>
        <v>10800000</v>
      </c>
      <c r="L10" s="25">
        <f t="shared" si="3"/>
        <v>16200000</v>
      </c>
      <c r="M10" s="25">
        <f t="shared" si="3"/>
        <v>23760000</v>
      </c>
      <c r="N10" s="25">
        <f t="shared" si="3"/>
        <v>30240000</v>
      </c>
      <c r="O10" s="25">
        <f t="shared" si="3"/>
        <v>43200000</v>
      </c>
    </row>
    <row r="11" spans="2:20" x14ac:dyDescent="0.25">
      <c r="C11" t="s">
        <v>113</v>
      </c>
      <c r="D11" t="s">
        <v>288</v>
      </c>
      <c r="G11" s="25">
        <f>G26</f>
        <v>0</v>
      </c>
      <c r="H11" s="25">
        <f t="shared" ref="H11:O11" si="4">H26</f>
        <v>0</v>
      </c>
      <c r="I11" s="25">
        <f t="shared" si="4"/>
        <v>0</v>
      </c>
      <c r="J11" s="25">
        <f t="shared" si="4"/>
        <v>0</v>
      </c>
      <c r="K11" s="25">
        <f t="shared" si="4"/>
        <v>6480000</v>
      </c>
      <c r="L11" s="25">
        <f t="shared" si="4"/>
        <v>9720000</v>
      </c>
      <c r="M11" s="25">
        <f t="shared" si="4"/>
        <v>14256000.000000002</v>
      </c>
      <c r="N11" s="25">
        <f t="shared" si="4"/>
        <v>18144000</v>
      </c>
      <c r="O11" s="25">
        <f t="shared" si="4"/>
        <v>25920000</v>
      </c>
    </row>
    <row r="12" spans="2:20" x14ac:dyDescent="0.25">
      <c r="G12" s="25"/>
      <c r="H12" s="25"/>
      <c r="I12" s="25"/>
      <c r="J12" s="25"/>
      <c r="K12" s="25"/>
      <c r="L12" s="25"/>
      <c r="M12" s="25"/>
      <c r="N12" s="25"/>
      <c r="O12" s="25"/>
    </row>
    <row r="13" spans="2:20" x14ac:dyDescent="0.25">
      <c r="G13" s="25"/>
      <c r="H13" s="25"/>
      <c r="I13" s="25"/>
      <c r="J13" s="25"/>
      <c r="K13" s="25"/>
      <c r="L13" s="25"/>
      <c r="M13" s="25"/>
      <c r="N13" s="25"/>
      <c r="O13" s="25"/>
    </row>
    <row r="14" spans="2:20" x14ac:dyDescent="0.25">
      <c r="B14" t="s">
        <v>133</v>
      </c>
      <c r="G14" s="41">
        <f>G15*G16</f>
        <v>0</v>
      </c>
      <c r="H14" s="41">
        <f t="shared" ref="H14:O14" si="5">H15*H16</f>
        <v>0</v>
      </c>
      <c r="I14" s="41">
        <f t="shared" si="5"/>
        <v>0</v>
      </c>
      <c r="J14" s="41">
        <f t="shared" si="5"/>
        <v>0</v>
      </c>
      <c r="K14" s="41">
        <f>K15*K16</f>
        <v>216000000</v>
      </c>
      <c r="L14" s="41">
        <f t="shared" si="5"/>
        <v>259200000</v>
      </c>
      <c r="M14" s="41">
        <f t="shared" si="5"/>
        <v>364500000</v>
      </c>
      <c r="N14" s="71">
        <f t="shared" si="5"/>
        <v>437400000</v>
      </c>
      <c r="O14" s="71">
        <f t="shared" si="5"/>
        <v>540000000</v>
      </c>
    </row>
    <row r="15" spans="2:20" x14ac:dyDescent="0.25">
      <c r="C15" t="s">
        <v>45</v>
      </c>
      <c r="D15" t="s">
        <v>114</v>
      </c>
      <c r="G15" s="41">
        <f>Scenarios!K10</f>
        <v>0</v>
      </c>
      <c r="H15" s="41">
        <f>Scenarios!L10</f>
        <v>0</v>
      </c>
      <c r="I15" s="41">
        <f>Scenarios!M10</f>
        <v>0</v>
      </c>
      <c r="J15" s="41">
        <f>Scenarios!N10</f>
        <v>0</v>
      </c>
      <c r="K15" s="41">
        <f>Scenarios!O10</f>
        <v>600000</v>
      </c>
      <c r="L15" s="41">
        <f>Scenarios!P10</f>
        <v>720000</v>
      </c>
      <c r="M15" s="41">
        <f>Scenarios!Q10</f>
        <v>900000</v>
      </c>
      <c r="N15" s="71">
        <f>Scenarios!R10</f>
        <v>1080000</v>
      </c>
      <c r="O15" s="71">
        <f>Scenarios!S10</f>
        <v>1200000</v>
      </c>
    </row>
    <row r="16" spans="2:20" x14ac:dyDescent="0.25">
      <c r="C16" t="s">
        <v>47</v>
      </c>
      <c r="D16" t="s">
        <v>288</v>
      </c>
      <c r="G16" s="41">
        <f>Scenarios!K20</f>
        <v>0</v>
      </c>
      <c r="H16" s="41">
        <f>Scenarios!L20</f>
        <v>0</v>
      </c>
      <c r="I16" s="41">
        <f>Scenarios!M20</f>
        <v>0</v>
      </c>
      <c r="J16" s="41">
        <f>Scenarios!N20</f>
        <v>0</v>
      </c>
      <c r="K16" s="41">
        <f>Scenarios!O20</f>
        <v>360</v>
      </c>
      <c r="L16" s="41">
        <f>Scenarios!P20</f>
        <v>360</v>
      </c>
      <c r="M16" s="41">
        <f>Scenarios!Q20</f>
        <v>405</v>
      </c>
      <c r="N16" s="71">
        <f>Scenarios!R20</f>
        <v>405</v>
      </c>
      <c r="O16" s="71">
        <f>Scenarios!S20</f>
        <v>450</v>
      </c>
    </row>
    <row r="17" spans="2:15" x14ac:dyDescent="0.25">
      <c r="G17" s="41"/>
      <c r="H17" s="41"/>
      <c r="I17" s="41"/>
      <c r="J17" s="41"/>
      <c r="K17" s="41"/>
      <c r="L17" s="41"/>
      <c r="M17" s="41"/>
      <c r="N17" s="71"/>
      <c r="O17" s="71"/>
    </row>
    <row r="18" spans="2:15" x14ac:dyDescent="0.25">
      <c r="B18" t="s">
        <v>111</v>
      </c>
      <c r="G18" s="41">
        <f>G19*G20</f>
        <v>0</v>
      </c>
      <c r="H18" s="41">
        <f t="shared" ref="H18:O18" si="6">H19*H20</f>
        <v>0</v>
      </c>
      <c r="I18" s="41">
        <f t="shared" si="6"/>
        <v>0</v>
      </c>
      <c r="J18" s="41">
        <f t="shared" si="6"/>
        <v>0</v>
      </c>
      <c r="K18" s="41">
        <f t="shared" si="6"/>
        <v>155520000</v>
      </c>
      <c r="L18" s="41">
        <f t="shared" si="6"/>
        <v>165240000</v>
      </c>
      <c r="M18" s="41">
        <f t="shared" si="6"/>
        <v>174960000</v>
      </c>
      <c r="N18" s="71">
        <f t="shared" si="6"/>
        <v>184680000</v>
      </c>
      <c r="O18" s="71">
        <f t="shared" si="6"/>
        <v>204120000</v>
      </c>
    </row>
    <row r="19" spans="2:15" x14ac:dyDescent="0.25">
      <c r="C19" t="s">
        <v>45</v>
      </c>
      <c r="D19" t="s">
        <v>114</v>
      </c>
      <c r="G19" s="41">
        <f>Scenarios!K27</f>
        <v>0</v>
      </c>
      <c r="H19" s="41">
        <f>Scenarios!L27</f>
        <v>0</v>
      </c>
      <c r="I19" s="41">
        <f>Scenarios!M27</f>
        <v>0</v>
      </c>
      <c r="J19" s="41">
        <f>Scenarios!N27</f>
        <v>0</v>
      </c>
      <c r="K19" s="41">
        <f>Scenarios!O27</f>
        <v>960000</v>
      </c>
      <c r="L19" s="41">
        <f>Scenarios!P27</f>
        <v>1020000</v>
      </c>
      <c r="M19" s="41">
        <f>Scenarios!Q27</f>
        <v>1080000</v>
      </c>
      <c r="N19" s="41">
        <f>Scenarios!R27</f>
        <v>1140000</v>
      </c>
      <c r="O19" s="71">
        <f>Scenarios!S27</f>
        <v>1260000</v>
      </c>
    </row>
    <row r="20" spans="2:15" x14ac:dyDescent="0.25">
      <c r="C20" t="s">
        <v>47</v>
      </c>
      <c r="D20" t="s">
        <v>288</v>
      </c>
      <c r="G20" s="41">
        <f>Scenarios!K37</f>
        <v>0</v>
      </c>
      <c r="H20" s="41">
        <f>Scenarios!L37</f>
        <v>0</v>
      </c>
      <c r="I20" s="41">
        <f>Scenarios!M37</f>
        <v>0</v>
      </c>
      <c r="J20" s="41">
        <f>Scenarios!N37</f>
        <v>0</v>
      </c>
      <c r="K20" s="41">
        <f>Scenarios!O37</f>
        <v>162</v>
      </c>
      <c r="L20" s="41">
        <f>Scenarios!P37</f>
        <v>162</v>
      </c>
      <c r="M20" s="41">
        <f>Scenarios!Q37</f>
        <v>162</v>
      </c>
      <c r="N20" s="41">
        <f>Scenarios!R37</f>
        <v>162</v>
      </c>
      <c r="O20" s="41">
        <f>Scenarios!S37</f>
        <v>162</v>
      </c>
    </row>
    <row r="21" spans="2:15" x14ac:dyDescent="0.25">
      <c r="G21" s="41"/>
      <c r="H21" s="41"/>
      <c r="I21" s="41"/>
      <c r="J21" s="41"/>
      <c r="K21" s="41"/>
      <c r="L21" s="41"/>
      <c r="M21" s="41"/>
      <c r="N21" s="41"/>
      <c r="O21" s="41"/>
    </row>
    <row r="22" spans="2:15" x14ac:dyDescent="0.25">
      <c r="B22" t="s">
        <v>112</v>
      </c>
      <c r="G22" s="41">
        <f>G23*G24</f>
        <v>0</v>
      </c>
      <c r="H22" s="41">
        <f t="shared" ref="H22:O22" si="7">H23*H24</f>
        <v>0</v>
      </c>
      <c r="I22" s="41">
        <f t="shared" si="7"/>
        <v>0</v>
      </c>
      <c r="J22" s="41">
        <f t="shared" si="7"/>
        <v>0</v>
      </c>
      <c r="K22" s="41">
        <f t="shared" si="7"/>
        <v>10800000</v>
      </c>
      <c r="L22" s="41">
        <f t="shared" si="7"/>
        <v>16200000</v>
      </c>
      <c r="M22" s="41">
        <f t="shared" si="7"/>
        <v>23760000</v>
      </c>
      <c r="N22" s="41">
        <f t="shared" si="7"/>
        <v>30240000</v>
      </c>
      <c r="O22" s="41">
        <f t="shared" si="7"/>
        <v>43200000</v>
      </c>
    </row>
    <row r="23" spans="2:15" x14ac:dyDescent="0.25">
      <c r="C23" t="s">
        <v>45</v>
      </c>
      <c r="D23" t="s">
        <v>114</v>
      </c>
      <c r="G23" s="41">
        <f>Scenarios!K44</f>
        <v>0</v>
      </c>
      <c r="H23" s="41">
        <f>Scenarios!L44</f>
        <v>0</v>
      </c>
      <c r="I23" s="41">
        <f>Scenarios!M44</f>
        <v>0</v>
      </c>
      <c r="J23" s="41">
        <f>Scenarios!N44</f>
        <v>0</v>
      </c>
      <c r="K23" s="41">
        <f>Scenarios!O44</f>
        <v>1200000</v>
      </c>
      <c r="L23" s="41">
        <f>Scenarios!P44</f>
        <v>1800000</v>
      </c>
      <c r="M23" s="41">
        <f>Scenarios!Q44</f>
        <v>2640000</v>
      </c>
      <c r="N23" s="41">
        <f>Scenarios!R44</f>
        <v>3360000</v>
      </c>
      <c r="O23" s="41">
        <f>Scenarios!S44</f>
        <v>4800000</v>
      </c>
    </row>
    <row r="24" spans="2:15" x14ac:dyDescent="0.25">
      <c r="C24" t="s">
        <v>47</v>
      </c>
      <c r="D24" t="s">
        <v>288</v>
      </c>
      <c r="G24" s="41">
        <f>Scenarios!K54</f>
        <v>0</v>
      </c>
      <c r="H24" s="41">
        <f>Scenarios!L54</f>
        <v>0</v>
      </c>
      <c r="I24" s="41">
        <f>Scenarios!M54</f>
        <v>0</v>
      </c>
      <c r="J24" s="41">
        <f>Scenarios!N54</f>
        <v>0</v>
      </c>
      <c r="K24" s="41">
        <f>Scenarios!O54</f>
        <v>9</v>
      </c>
      <c r="L24" s="41">
        <f>Scenarios!P54</f>
        <v>9</v>
      </c>
      <c r="M24" s="41">
        <f>Scenarios!Q54</f>
        <v>9</v>
      </c>
      <c r="N24" s="41">
        <f>Scenarios!R54</f>
        <v>9</v>
      </c>
      <c r="O24" s="41">
        <f>Scenarios!S54</f>
        <v>9</v>
      </c>
    </row>
    <row r="25" spans="2:15" x14ac:dyDescent="0.25">
      <c r="G25" s="41"/>
      <c r="H25" s="41"/>
      <c r="I25" s="41"/>
      <c r="J25" s="41"/>
      <c r="K25" s="41"/>
      <c r="L25" s="41"/>
      <c r="M25" s="41"/>
      <c r="N25" s="41"/>
      <c r="O25" s="41"/>
    </row>
    <row r="26" spans="2:15" x14ac:dyDescent="0.25">
      <c r="B26" t="s">
        <v>113</v>
      </c>
      <c r="G26" s="41">
        <f>G27*G28</f>
        <v>0</v>
      </c>
      <c r="H26" s="41">
        <f t="shared" ref="H26:O26" si="8">H27*H28</f>
        <v>0</v>
      </c>
      <c r="I26" s="41">
        <f t="shared" si="8"/>
        <v>0</v>
      </c>
      <c r="J26" s="41">
        <f t="shared" si="8"/>
        <v>0</v>
      </c>
      <c r="K26" s="41">
        <f t="shared" si="8"/>
        <v>6480000</v>
      </c>
      <c r="L26" s="41">
        <f t="shared" si="8"/>
        <v>9720000</v>
      </c>
      <c r="M26" s="41">
        <f t="shared" si="8"/>
        <v>14256000.000000002</v>
      </c>
      <c r="N26" s="41">
        <f t="shared" si="8"/>
        <v>18144000</v>
      </c>
      <c r="O26" s="41">
        <f t="shared" si="8"/>
        <v>25920000</v>
      </c>
    </row>
    <row r="27" spans="2:15" x14ac:dyDescent="0.25">
      <c r="C27" t="s">
        <v>45</v>
      </c>
      <c r="D27" t="s">
        <v>114</v>
      </c>
      <c r="G27" s="41">
        <f>Scenarios!K61</f>
        <v>0</v>
      </c>
      <c r="H27" s="41">
        <f>Scenarios!L61</f>
        <v>0</v>
      </c>
      <c r="I27" s="41">
        <f>Scenarios!M61</f>
        <v>0</v>
      </c>
      <c r="J27" s="41">
        <f>Scenarios!N61</f>
        <v>0</v>
      </c>
      <c r="K27" s="41">
        <f>Scenarios!O61</f>
        <v>1200000</v>
      </c>
      <c r="L27" s="41">
        <f>Scenarios!P61</f>
        <v>1800000</v>
      </c>
      <c r="M27" s="41">
        <f>Scenarios!Q61</f>
        <v>2640000</v>
      </c>
      <c r="N27" s="41">
        <f>Scenarios!R61</f>
        <v>3360000</v>
      </c>
      <c r="O27" s="41">
        <f>Scenarios!S61</f>
        <v>4800000</v>
      </c>
    </row>
    <row r="28" spans="2:15" x14ac:dyDescent="0.25">
      <c r="C28" t="s">
        <v>47</v>
      </c>
      <c r="D28" t="s">
        <v>288</v>
      </c>
      <c r="G28" s="41">
        <f>Scenarios!K71</f>
        <v>0</v>
      </c>
      <c r="H28" s="41">
        <f>Scenarios!L71</f>
        <v>0</v>
      </c>
      <c r="I28" s="41">
        <f>Scenarios!M71</f>
        <v>0</v>
      </c>
      <c r="J28" s="41">
        <f>Scenarios!N71</f>
        <v>0</v>
      </c>
      <c r="K28" s="41">
        <f>Scenarios!O71</f>
        <v>5.4</v>
      </c>
      <c r="L28" s="41">
        <f>Scenarios!P71</f>
        <v>5.4</v>
      </c>
      <c r="M28" s="41">
        <f>Scenarios!Q71</f>
        <v>5.4</v>
      </c>
      <c r="N28" s="41">
        <f>Scenarios!R71</f>
        <v>5.4</v>
      </c>
      <c r="O28" s="41">
        <f>Scenarios!S71</f>
        <v>5.4</v>
      </c>
    </row>
  </sheetData>
  <hyperlinks>
    <hyperlink ref="O1" location="'Table of Content'!A1" display="&gt;&gt; Table of Contents" xr:uid="{CC6D2F36-81CC-43E9-9026-96D3AD80F21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6DFC-9B24-4B13-AD64-F828BBAB2C33}">
  <sheetPr>
    <tabColor theme="9" tint="-0.499984740745262"/>
  </sheetPr>
  <dimension ref="B1:T31"/>
  <sheetViews>
    <sheetView showGridLines="0" zoomScale="80" zoomScaleNormal="80" workbookViewId="0">
      <selection activeCell="H46" sqref="H46"/>
    </sheetView>
  </sheetViews>
  <sheetFormatPr defaultRowHeight="15" x14ac:dyDescent="0.25"/>
  <cols>
    <col min="2" max="2" width="3.140625" customWidth="1"/>
    <col min="3" max="3" width="35.42578125" customWidth="1"/>
    <col min="5" max="5" width="10.7109375" customWidth="1"/>
    <col min="6" max="6" width="11.140625" customWidth="1"/>
    <col min="7" max="11" width="14.5703125" customWidth="1"/>
    <col min="12" max="14" width="16.28515625" bestFit="1" customWidth="1"/>
    <col min="15" max="15" width="16.140625" bestFit="1" customWidth="1"/>
  </cols>
  <sheetData>
    <row r="1" spans="2:20" s="14" customFormat="1" x14ac:dyDescent="0.25">
      <c r="C1" s="14" t="str">
        <f>Summary!D3</f>
        <v>M-pharmaceutical</v>
      </c>
      <c r="K1" s="14" t="str">
        <f>Scenarios!K1</f>
        <v>Currently running scenario: Optimistic</v>
      </c>
      <c r="O1" s="52" t="s">
        <v>237</v>
      </c>
      <c r="T1" s="14" t="str">
        <f>Summary!K2</f>
        <v>Last Updated: 20-January-2025</v>
      </c>
    </row>
    <row r="3" spans="2:20" ht="21" x14ac:dyDescent="0.35">
      <c r="B3" s="16" t="s">
        <v>36</v>
      </c>
      <c r="C3" s="16"/>
      <c r="D3" s="16"/>
      <c r="E3" s="16"/>
      <c r="F3" s="16"/>
      <c r="G3" s="16"/>
      <c r="H3" s="16"/>
    </row>
    <row r="5" spans="2:20" x14ac:dyDescent="0.25">
      <c r="B5" s="19"/>
      <c r="C5" s="20"/>
      <c r="D5" s="20"/>
      <c r="E5" s="20"/>
      <c r="F5" s="21"/>
      <c r="G5" s="22">
        <v>2016</v>
      </c>
      <c r="H5" s="22">
        <v>2017</v>
      </c>
      <c r="I5" s="22">
        <v>2018</v>
      </c>
      <c r="J5" s="22">
        <v>2019</v>
      </c>
      <c r="K5" s="22">
        <v>2020</v>
      </c>
      <c r="L5" s="22">
        <v>2021</v>
      </c>
      <c r="M5" s="22">
        <v>2022</v>
      </c>
      <c r="N5" s="22">
        <v>2023</v>
      </c>
      <c r="O5" s="22">
        <v>2024</v>
      </c>
    </row>
    <row r="7" spans="2:20" s="6" customFormat="1" x14ac:dyDescent="0.25">
      <c r="B7" s="6" t="s">
        <v>3</v>
      </c>
      <c r="G7" s="23">
        <f>Revenue!G7</f>
        <v>0</v>
      </c>
      <c r="H7" s="23">
        <f>Revenue!H7</f>
        <v>0</v>
      </c>
      <c r="I7" s="23">
        <f>Revenue!I7</f>
        <v>0</v>
      </c>
      <c r="J7" s="23">
        <f>Revenue!J7</f>
        <v>0</v>
      </c>
      <c r="K7" s="23">
        <f>Revenue!K7</f>
        <v>1339200000</v>
      </c>
      <c r="L7" s="23">
        <f>Revenue!L7</f>
        <v>1540800000</v>
      </c>
      <c r="M7" s="23">
        <f>Revenue!M7</f>
        <v>1823040000</v>
      </c>
      <c r="N7" s="23">
        <f>Revenue!N7</f>
        <v>2360160000</v>
      </c>
      <c r="O7" s="23">
        <f>Revenue!O7</f>
        <v>2656800000</v>
      </c>
    </row>
    <row r="8" spans="2:20" s="6" customFormat="1" x14ac:dyDescent="0.25">
      <c r="B8" s="6" t="s">
        <v>135</v>
      </c>
      <c r="G8" s="23">
        <f>'Cost of Sales'!G7</f>
        <v>0</v>
      </c>
      <c r="H8" s="23">
        <f>'Cost of Sales'!H7</f>
        <v>0</v>
      </c>
      <c r="I8" s="23">
        <f>'Cost of Sales'!I7</f>
        <v>0</v>
      </c>
      <c r="J8" s="23">
        <f>'Cost of Sales'!J7</f>
        <v>0</v>
      </c>
      <c r="K8" s="23">
        <f>'Cost of Sales'!K7</f>
        <v>388800000</v>
      </c>
      <c r="L8" s="23">
        <f>'Cost of Sales'!L7</f>
        <v>450360000</v>
      </c>
      <c r="M8" s="23">
        <f>'Cost of Sales'!M7</f>
        <v>577476000</v>
      </c>
      <c r="N8" s="23">
        <f>'Cost of Sales'!N7</f>
        <v>670464000</v>
      </c>
      <c r="O8" s="23">
        <f>'Cost of Sales'!O7</f>
        <v>813240000</v>
      </c>
    </row>
    <row r="9" spans="2:20" x14ac:dyDescent="0.25">
      <c r="G9" s="25"/>
      <c r="H9" s="25"/>
      <c r="I9" s="25"/>
      <c r="J9" s="25"/>
      <c r="K9" s="25"/>
      <c r="L9" s="25"/>
      <c r="M9" s="25"/>
      <c r="N9" s="25"/>
      <c r="O9" s="25"/>
    </row>
    <row r="10" spans="2:20" x14ac:dyDescent="0.25">
      <c r="G10" s="25"/>
      <c r="H10" s="25"/>
      <c r="I10" s="25"/>
      <c r="J10" s="25"/>
      <c r="K10" s="25"/>
      <c r="L10" s="25"/>
      <c r="M10" s="25"/>
      <c r="N10" s="25"/>
      <c r="O10" s="25"/>
    </row>
    <row r="11" spans="2:20" s="6" customFormat="1" x14ac:dyDescent="0.25">
      <c r="B11" s="6" t="s">
        <v>136</v>
      </c>
      <c r="G11" s="23"/>
      <c r="H11" s="23"/>
      <c r="I11" s="23"/>
      <c r="J11" s="23"/>
      <c r="K11" s="23"/>
      <c r="L11" s="23"/>
      <c r="M11" s="23"/>
      <c r="N11" s="23"/>
      <c r="O11" s="23"/>
    </row>
    <row r="12" spans="2:20" x14ac:dyDescent="0.25">
      <c r="C12" t="s">
        <v>137</v>
      </c>
      <c r="D12" t="s">
        <v>288</v>
      </c>
      <c r="G12" s="41">
        <f>G7*G20/365</f>
        <v>0</v>
      </c>
      <c r="H12" s="41">
        <f t="shared" ref="H12:O12" si="0">H7*H20/365</f>
        <v>0</v>
      </c>
      <c r="I12" s="41">
        <f t="shared" si="0"/>
        <v>0</v>
      </c>
      <c r="J12" s="41">
        <f t="shared" si="0"/>
        <v>0</v>
      </c>
      <c r="K12" s="41">
        <f>K7*K20/365</f>
        <v>55035616.438356161</v>
      </c>
      <c r="L12" s="41">
        <f t="shared" si="0"/>
        <v>63320547.94520548</v>
      </c>
      <c r="M12" s="41">
        <f t="shared" si="0"/>
        <v>74919452.05479452</v>
      </c>
      <c r="N12" s="71">
        <f t="shared" si="0"/>
        <v>96992876.712328762</v>
      </c>
      <c r="O12" s="41">
        <f t="shared" si="0"/>
        <v>109183561.64383562</v>
      </c>
    </row>
    <row r="13" spans="2:20" x14ac:dyDescent="0.25">
      <c r="C13" t="s">
        <v>138</v>
      </c>
      <c r="D13" t="s">
        <v>288</v>
      </c>
      <c r="G13" s="41">
        <f>G8*G21/365</f>
        <v>0</v>
      </c>
      <c r="H13" s="41">
        <f t="shared" ref="H13:O13" si="1">H8*H21/365</f>
        <v>0</v>
      </c>
      <c r="I13" s="41">
        <f t="shared" si="1"/>
        <v>0</v>
      </c>
      <c r="J13" s="41">
        <f t="shared" si="1"/>
        <v>0</v>
      </c>
      <c r="K13" s="41">
        <f t="shared" si="1"/>
        <v>10652054.794520548</v>
      </c>
      <c r="L13" s="41">
        <f t="shared" si="1"/>
        <v>24677260.273972604</v>
      </c>
      <c r="M13" s="41">
        <f t="shared" si="1"/>
        <v>31642520.547945205</v>
      </c>
      <c r="N13" s="71">
        <f t="shared" si="1"/>
        <v>36737753.424657531</v>
      </c>
      <c r="O13" s="71">
        <f t="shared" si="1"/>
        <v>44561095.89041096</v>
      </c>
    </row>
    <row r="14" spans="2:20" x14ac:dyDescent="0.25">
      <c r="C14" t="s">
        <v>139</v>
      </c>
      <c r="D14" t="s">
        <v>288</v>
      </c>
      <c r="G14" s="41">
        <f>G8*G22/365</f>
        <v>0</v>
      </c>
      <c r="H14" s="41">
        <f t="shared" ref="H14:O14" si="2">H8*H22/365</f>
        <v>0</v>
      </c>
      <c r="I14" s="41">
        <f t="shared" si="2"/>
        <v>0</v>
      </c>
      <c r="J14" s="41">
        <f t="shared" si="2"/>
        <v>0</v>
      </c>
      <c r="K14" s="41">
        <f t="shared" si="2"/>
        <v>10652054.794520548</v>
      </c>
      <c r="L14" s="41">
        <f t="shared" si="2"/>
        <v>12338630.136986302</v>
      </c>
      <c r="M14" s="41">
        <f t="shared" si="2"/>
        <v>15821260.273972603</v>
      </c>
      <c r="N14" s="71">
        <f t="shared" si="2"/>
        <v>18368876.712328766</v>
      </c>
      <c r="O14" s="71">
        <f t="shared" si="2"/>
        <v>22280547.94520548</v>
      </c>
    </row>
    <row r="15" spans="2:20" x14ac:dyDescent="0.25">
      <c r="C15" t="s">
        <v>140</v>
      </c>
      <c r="D15" t="s">
        <v>288</v>
      </c>
      <c r="G15" s="41">
        <f>G7*G23/365</f>
        <v>0</v>
      </c>
      <c r="H15" s="41">
        <f t="shared" ref="H15:O15" si="3">H7*H23/365</f>
        <v>0</v>
      </c>
      <c r="I15" s="41">
        <f t="shared" si="3"/>
        <v>0</v>
      </c>
      <c r="J15" s="41">
        <f t="shared" si="3"/>
        <v>0</v>
      </c>
      <c r="K15" s="41">
        <f t="shared" si="3"/>
        <v>7338082.1917808224</v>
      </c>
      <c r="L15" s="41">
        <f t="shared" si="3"/>
        <v>8442739.7260273974</v>
      </c>
      <c r="M15" s="41">
        <f t="shared" si="3"/>
        <v>9989260.2739726026</v>
      </c>
      <c r="N15" s="71">
        <f t="shared" si="3"/>
        <v>12932383.561643835</v>
      </c>
      <c r="O15" s="71">
        <f t="shared" si="3"/>
        <v>14557808.219178082</v>
      </c>
    </row>
    <row r="16" spans="2:20" x14ac:dyDescent="0.25">
      <c r="C16" t="s">
        <v>141</v>
      </c>
      <c r="D16" t="s">
        <v>288</v>
      </c>
      <c r="G16" s="41">
        <f>G8*G24/365</f>
        <v>0</v>
      </c>
      <c r="H16" s="41">
        <f t="shared" ref="H16:O16" si="4">H8*H24/365</f>
        <v>0</v>
      </c>
      <c r="I16" s="41">
        <f t="shared" si="4"/>
        <v>0</v>
      </c>
      <c r="J16" s="41">
        <f t="shared" si="4"/>
        <v>0</v>
      </c>
      <c r="K16" s="41">
        <f t="shared" si="4"/>
        <v>2130410.9589041094</v>
      </c>
      <c r="L16" s="41">
        <f t="shared" si="4"/>
        <v>2467726.0273972601</v>
      </c>
      <c r="M16" s="41">
        <f t="shared" si="4"/>
        <v>3164252.0547945206</v>
      </c>
      <c r="N16" s="71">
        <f t="shared" si="4"/>
        <v>3673775.3424657532</v>
      </c>
      <c r="O16" s="71">
        <f t="shared" si="4"/>
        <v>4456109.5890410962</v>
      </c>
    </row>
    <row r="19" spans="2:15" s="6" customFormat="1" x14ac:dyDescent="0.25">
      <c r="B19" s="6" t="s">
        <v>96</v>
      </c>
    </row>
    <row r="20" spans="2:15" x14ac:dyDescent="0.25">
      <c r="C20" t="s">
        <v>97</v>
      </c>
      <c r="D20" t="s">
        <v>98</v>
      </c>
      <c r="G20" s="41">
        <f>'Model Inputs'!G108</f>
        <v>0</v>
      </c>
      <c r="H20" s="41">
        <f>'Model Inputs'!H108</f>
        <v>0</v>
      </c>
      <c r="I20" s="41">
        <f>'Model Inputs'!I108</f>
        <v>0</v>
      </c>
      <c r="J20" s="41">
        <f>'Model Inputs'!J108</f>
        <v>15</v>
      </c>
      <c r="K20" s="41">
        <f>'Model Inputs'!K108</f>
        <v>15</v>
      </c>
      <c r="L20" s="41">
        <f>'Model Inputs'!L108</f>
        <v>15</v>
      </c>
      <c r="M20" s="41">
        <f>'Model Inputs'!M108</f>
        <v>15</v>
      </c>
      <c r="N20" s="41">
        <f>'Model Inputs'!N108</f>
        <v>15</v>
      </c>
      <c r="O20" s="41">
        <f>'Model Inputs'!O108</f>
        <v>15</v>
      </c>
    </row>
    <row r="21" spans="2:15" x14ac:dyDescent="0.25">
      <c r="C21" t="s">
        <v>99</v>
      </c>
      <c r="D21" t="s">
        <v>98</v>
      </c>
      <c r="G21" s="41">
        <f>'Model Inputs'!G109</f>
        <v>0</v>
      </c>
      <c r="H21" s="41">
        <f>'Model Inputs'!H109</f>
        <v>0</v>
      </c>
      <c r="I21" s="41">
        <f>'Model Inputs'!I109</f>
        <v>0</v>
      </c>
      <c r="J21" s="41">
        <f>'Model Inputs'!J109</f>
        <v>5</v>
      </c>
      <c r="K21" s="41">
        <f>'Model Inputs'!K109</f>
        <v>10</v>
      </c>
      <c r="L21" s="41">
        <f>'Model Inputs'!L109</f>
        <v>20</v>
      </c>
      <c r="M21" s="41">
        <f>'Model Inputs'!M109</f>
        <v>20</v>
      </c>
      <c r="N21" s="41">
        <f>'Model Inputs'!N109</f>
        <v>20</v>
      </c>
      <c r="O21" s="41">
        <f>'Model Inputs'!O109</f>
        <v>20</v>
      </c>
    </row>
    <row r="22" spans="2:15" x14ac:dyDescent="0.25">
      <c r="C22" t="s">
        <v>100</v>
      </c>
      <c r="D22" t="s">
        <v>98</v>
      </c>
      <c r="G22" s="41">
        <f>'Model Inputs'!G110</f>
        <v>0</v>
      </c>
      <c r="H22" s="41">
        <f>'Model Inputs'!H110</f>
        <v>0</v>
      </c>
      <c r="I22" s="41">
        <f>'Model Inputs'!I110</f>
        <v>0</v>
      </c>
      <c r="J22" s="41">
        <f>'Model Inputs'!J110</f>
        <v>10</v>
      </c>
      <c r="K22" s="41">
        <f>'Model Inputs'!K110</f>
        <v>10</v>
      </c>
      <c r="L22" s="41">
        <f>'Model Inputs'!L110</f>
        <v>10</v>
      </c>
      <c r="M22" s="41">
        <f>'Model Inputs'!M110</f>
        <v>10</v>
      </c>
      <c r="N22" s="41">
        <f>'Model Inputs'!N110</f>
        <v>10</v>
      </c>
      <c r="O22" s="41">
        <f>'Model Inputs'!O110</f>
        <v>10</v>
      </c>
    </row>
    <row r="23" spans="2:15" x14ac:dyDescent="0.25">
      <c r="C23" t="s">
        <v>101</v>
      </c>
      <c r="D23" t="s">
        <v>98</v>
      </c>
      <c r="G23" s="41">
        <f>'Model Inputs'!G111</f>
        <v>0</v>
      </c>
      <c r="H23" s="41">
        <f>'Model Inputs'!H111</f>
        <v>0</v>
      </c>
      <c r="I23" s="41">
        <f>'Model Inputs'!I111</f>
        <v>0</v>
      </c>
      <c r="J23" s="41">
        <f>'Model Inputs'!J111</f>
        <v>2</v>
      </c>
      <c r="K23" s="41">
        <f>'Model Inputs'!K111</f>
        <v>2</v>
      </c>
      <c r="L23" s="41">
        <f>'Model Inputs'!L111</f>
        <v>2</v>
      </c>
      <c r="M23" s="41">
        <f>'Model Inputs'!M111</f>
        <v>2</v>
      </c>
      <c r="N23" s="41">
        <f>'Model Inputs'!N111</f>
        <v>2</v>
      </c>
      <c r="O23" s="41">
        <f>'Model Inputs'!O111</f>
        <v>2</v>
      </c>
    </row>
    <row r="24" spans="2:15" x14ac:dyDescent="0.25">
      <c r="C24" t="s">
        <v>102</v>
      </c>
      <c r="D24" t="s">
        <v>98</v>
      </c>
      <c r="G24" s="41">
        <f>'Model Inputs'!G112</f>
        <v>0</v>
      </c>
      <c r="H24" s="41">
        <f>'Model Inputs'!H112</f>
        <v>0</v>
      </c>
      <c r="I24" s="41">
        <f>'Model Inputs'!I112</f>
        <v>0</v>
      </c>
      <c r="J24" s="41">
        <f>'Model Inputs'!J112</f>
        <v>2</v>
      </c>
      <c r="K24" s="41">
        <f>'Model Inputs'!K112</f>
        <v>2</v>
      </c>
      <c r="L24" s="41">
        <f>'Model Inputs'!L112</f>
        <v>2</v>
      </c>
      <c r="M24" s="41">
        <f>'Model Inputs'!M112</f>
        <v>2</v>
      </c>
      <c r="N24" s="41">
        <f>'Model Inputs'!N112</f>
        <v>2</v>
      </c>
      <c r="O24" s="41">
        <f>'Model Inputs'!O112</f>
        <v>2</v>
      </c>
    </row>
    <row r="30" spans="2:15" x14ac:dyDescent="0.25">
      <c r="C30" t="s">
        <v>142</v>
      </c>
    </row>
    <row r="31" spans="2:15" x14ac:dyDescent="0.25">
      <c r="C31" t="s">
        <v>143</v>
      </c>
    </row>
  </sheetData>
  <conditionalFormatting sqref="D12:D16">
    <cfRule type="uniqueValues" dxfId="0" priority="1"/>
  </conditionalFormatting>
  <hyperlinks>
    <hyperlink ref="O1" location="'Table of Content'!A1" display="&gt;&gt; Table of Contents" xr:uid="{1D781AAF-FC80-46BF-840A-F8BD9CC73CD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C639-5CBE-48AC-8F2B-DA93346A0615}">
  <sheetPr>
    <tabColor theme="9" tint="-0.499984740745262"/>
  </sheetPr>
  <dimension ref="B1:T57"/>
  <sheetViews>
    <sheetView showGridLines="0" zoomScale="80" zoomScaleNormal="80" workbookViewId="0">
      <selection activeCell="H46" sqref="H46"/>
    </sheetView>
  </sheetViews>
  <sheetFormatPr defaultRowHeight="15" x14ac:dyDescent="0.25"/>
  <cols>
    <col min="2" max="2" width="3.140625" customWidth="1"/>
    <col min="3" max="3" width="35.42578125" customWidth="1"/>
    <col min="5" max="5" width="10.7109375" customWidth="1"/>
    <col min="6" max="6" width="11.140625" customWidth="1"/>
    <col min="7" max="11" width="14.5703125" customWidth="1"/>
    <col min="12" max="14" width="16.28515625" bestFit="1" customWidth="1"/>
    <col min="15" max="15" width="16.140625" bestFit="1" customWidth="1"/>
  </cols>
  <sheetData>
    <row r="1" spans="2:20" s="14" customFormat="1" x14ac:dyDescent="0.25">
      <c r="C1" s="14" t="str">
        <f>Summary!D3</f>
        <v>M-pharmaceutical</v>
      </c>
      <c r="K1" s="14" t="str">
        <f>Scenarios!K1</f>
        <v>Currently running scenario: Optimistic</v>
      </c>
      <c r="O1" s="52" t="s">
        <v>237</v>
      </c>
      <c r="T1" s="14" t="str">
        <f>Summary!K2</f>
        <v>Last Updated: 20-January-2025</v>
      </c>
    </row>
    <row r="3" spans="2:20" ht="21" x14ac:dyDescent="0.35">
      <c r="B3" s="16" t="s">
        <v>37</v>
      </c>
      <c r="C3" s="16"/>
      <c r="D3" s="16"/>
      <c r="E3" s="16"/>
      <c r="F3" s="16"/>
      <c r="G3" s="16"/>
      <c r="H3" s="16"/>
    </row>
    <row r="5" spans="2:20" x14ac:dyDescent="0.25">
      <c r="B5" s="19"/>
      <c r="C5" s="20"/>
      <c r="D5" s="20"/>
      <c r="E5" s="20"/>
      <c r="F5" s="21"/>
      <c r="G5" s="22">
        <v>2016</v>
      </c>
      <c r="H5" s="22">
        <v>2017</v>
      </c>
      <c r="I5" s="22">
        <v>2018</v>
      </c>
      <c r="J5" s="22">
        <v>2019</v>
      </c>
      <c r="K5" s="22">
        <v>2020</v>
      </c>
      <c r="L5" s="22">
        <v>2021</v>
      </c>
      <c r="M5" s="22">
        <v>2022</v>
      </c>
      <c r="N5" s="22">
        <v>2023</v>
      </c>
      <c r="O5" s="22">
        <v>2024</v>
      </c>
    </row>
    <row r="7" spans="2:20" s="6" customFormat="1" x14ac:dyDescent="0.25">
      <c r="B7" s="6" t="s">
        <v>144</v>
      </c>
      <c r="D7" s="6" t="s">
        <v>288</v>
      </c>
      <c r="G7" s="56">
        <f>SUM(G12:G16)</f>
        <v>0</v>
      </c>
      <c r="H7" s="56">
        <f t="shared" ref="H7:O7" si="0">SUM(H12:H16)</f>
        <v>0</v>
      </c>
      <c r="I7" s="56">
        <f t="shared" si="0"/>
        <v>0</v>
      </c>
      <c r="J7" s="56">
        <f>SUM(J12:J16)</f>
        <v>3523809.5238095238</v>
      </c>
      <c r="K7" s="56">
        <f t="shared" si="0"/>
        <v>11523809.523809524</v>
      </c>
      <c r="L7" s="56">
        <f t="shared" si="0"/>
        <v>11773809.523809524</v>
      </c>
      <c r="M7" s="56">
        <f t="shared" si="0"/>
        <v>14757142.857142858</v>
      </c>
      <c r="N7" s="56">
        <f t="shared" si="0"/>
        <v>16657142.857142858</v>
      </c>
      <c r="O7" s="56">
        <f t="shared" si="0"/>
        <v>15307142.857142858</v>
      </c>
    </row>
    <row r="8" spans="2:20" s="6" customFormat="1" x14ac:dyDescent="0.25">
      <c r="B8" s="6" t="s">
        <v>145</v>
      </c>
      <c r="D8" s="6" t="s">
        <v>288</v>
      </c>
      <c r="G8" s="56">
        <f>G19</f>
        <v>0</v>
      </c>
      <c r="H8" s="56">
        <f t="shared" ref="H8:O8" si="1">H19</f>
        <v>0</v>
      </c>
      <c r="I8" s="56">
        <f t="shared" si="1"/>
        <v>0</v>
      </c>
      <c r="J8" s="56">
        <f t="shared" si="1"/>
        <v>0</v>
      </c>
      <c r="K8" s="56">
        <f t="shared" si="1"/>
        <v>400000</v>
      </c>
      <c r="L8" s="56">
        <f t="shared" si="1"/>
        <v>400000</v>
      </c>
      <c r="M8" s="56">
        <f t="shared" si="1"/>
        <v>400000</v>
      </c>
      <c r="N8" s="56">
        <f t="shared" si="1"/>
        <v>400000</v>
      </c>
      <c r="O8" s="56">
        <f t="shared" si="1"/>
        <v>900000</v>
      </c>
    </row>
    <row r="9" spans="2:20" x14ac:dyDescent="0.25">
      <c r="G9" s="25"/>
      <c r="H9" s="25"/>
      <c r="I9" s="25"/>
      <c r="J9" s="25"/>
      <c r="K9" s="25"/>
      <c r="L9" s="25"/>
      <c r="M9" s="25"/>
      <c r="N9" s="25"/>
      <c r="O9" s="25"/>
    </row>
    <row r="10" spans="2:20" x14ac:dyDescent="0.25">
      <c r="G10" s="25"/>
      <c r="H10" s="25"/>
      <c r="I10" s="25"/>
      <c r="J10" s="25"/>
      <c r="K10" s="25"/>
      <c r="L10" s="25"/>
      <c r="M10" s="25"/>
      <c r="N10" s="25"/>
      <c r="O10" s="25"/>
    </row>
    <row r="11" spans="2:20" s="6" customFormat="1" x14ac:dyDescent="0.25">
      <c r="B11" s="6" t="s">
        <v>146</v>
      </c>
      <c r="E11" s="6" t="s">
        <v>89</v>
      </c>
      <c r="G11" s="23"/>
      <c r="H11" s="23"/>
      <c r="I11" s="23"/>
      <c r="J11" s="23"/>
      <c r="K11" s="23"/>
      <c r="L11" s="23"/>
      <c r="M11" s="23"/>
      <c r="N11" s="23"/>
      <c r="O11" s="23"/>
    </row>
    <row r="12" spans="2:20" x14ac:dyDescent="0.25">
      <c r="C12" t="s">
        <v>90</v>
      </c>
      <c r="D12" s="37">
        <v>35</v>
      </c>
      <c r="E12">
        <v>0</v>
      </c>
      <c r="G12" s="25"/>
      <c r="H12" s="25"/>
      <c r="I12" s="25"/>
      <c r="J12" s="41">
        <f>SLN(J23,$E$12,$D$12)</f>
        <v>857142.85714285716</v>
      </c>
      <c r="K12" s="41">
        <f>SLN(SUM($J$23:K23),$E$12,$D$12)</f>
        <v>857142.85714285716</v>
      </c>
      <c r="L12" s="41">
        <f>SLN(SUM($J$23:L23),$E$12,$D$12)</f>
        <v>857142.85714285716</v>
      </c>
      <c r="M12" s="41">
        <f>SLN(SUM($J$23:M23),$E$12,$D$12)</f>
        <v>857142.85714285716</v>
      </c>
      <c r="N12" s="71">
        <f>SLN(SUM($J$23:N23),$E$12,$D$12)</f>
        <v>857142.85714285716</v>
      </c>
      <c r="O12" s="41">
        <f>SLN(SUM($J$23:O23),$E$12,$D$12)</f>
        <v>857142.85714285716</v>
      </c>
    </row>
    <row r="13" spans="2:20" x14ac:dyDescent="0.25">
      <c r="C13" t="s">
        <v>91</v>
      </c>
      <c r="D13" s="37">
        <v>15</v>
      </c>
      <c r="E13">
        <v>0</v>
      </c>
      <c r="G13" s="25"/>
      <c r="H13" s="25"/>
      <c r="I13" s="25"/>
      <c r="J13" s="41">
        <f>SLN(SUM($J24:J24),$E13,$D13)</f>
        <v>2666666.6666666665</v>
      </c>
      <c r="K13" s="41">
        <f>SLN(SUM($J24:K24),$E13,$D13)</f>
        <v>2666666.6666666665</v>
      </c>
      <c r="L13" s="41">
        <f>SLN(SUM($J24:L24),$E13,$D13)</f>
        <v>2666666.6666666665</v>
      </c>
      <c r="M13" s="41">
        <f>SLN(SUM($J24:M24),$E13,$D13)</f>
        <v>4000000</v>
      </c>
      <c r="N13" s="71">
        <f>SLN(SUM($J24:N24),$E13,$D13)</f>
        <v>4000000</v>
      </c>
      <c r="O13" s="71">
        <f>SLN(SUM($J24:O24),$E13,$D13)</f>
        <v>4000000</v>
      </c>
    </row>
    <row r="14" spans="2:20" x14ac:dyDescent="0.25">
      <c r="C14" t="s">
        <v>92</v>
      </c>
      <c r="D14" s="37">
        <v>5</v>
      </c>
      <c r="E14">
        <v>0</v>
      </c>
      <c r="G14" s="25"/>
      <c r="H14" s="25"/>
      <c r="I14" s="25"/>
      <c r="J14" s="41">
        <f>SLN(SUM($J25:J25),$E14,$D14)</f>
        <v>0</v>
      </c>
      <c r="K14" s="41">
        <f>SLN(SUM($J25:K25),$E14,$D14)</f>
        <v>4000000</v>
      </c>
      <c r="L14" s="41">
        <f>SLN(SUM($J25:L25),$E14,$D14)</f>
        <v>4000000</v>
      </c>
      <c r="M14" s="41">
        <f>SLN(SUM($J25:M25),$E14,$D14)</f>
        <v>5000000</v>
      </c>
      <c r="N14" s="71">
        <f>SLN(SUM($J25:N25),$E14,$D14)</f>
        <v>5000000</v>
      </c>
      <c r="O14" s="71">
        <f>SLN(SUM($K25:O25),$E14,$D14)</f>
        <v>5000000</v>
      </c>
    </row>
    <row r="15" spans="2:20" x14ac:dyDescent="0.25">
      <c r="C15" t="s">
        <v>93</v>
      </c>
      <c r="D15" s="37">
        <v>5</v>
      </c>
      <c r="E15">
        <v>0</v>
      </c>
      <c r="G15" s="25"/>
      <c r="H15" s="25"/>
      <c r="I15" s="25"/>
      <c r="J15" s="41">
        <f>SLN(SUM($J26:J26),$E15,$D15)</f>
        <v>0</v>
      </c>
      <c r="K15" s="41">
        <f>SLN(SUM($J26:K26),$E15,$D15)</f>
        <v>2000000</v>
      </c>
      <c r="L15" s="41">
        <f>SLN(SUM($J26:L26),$E15,$D15)</f>
        <v>2000000</v>
      </c>
      <c r="M15" s="41">
        <f>SLN(SUM($J26:M26),$E15,$D15)</f>
        <v>2400000</v>
      </c>
      <c r="N15" s="71">
        <f>SLN(SUM($J26:N26),$E15,$D15)</f>
        <v>2800000</v>
      </c>
      <c r="O15" s="71">
        <f>SLN(SUM($K26:O26),$E15,$D15)</f>
        <v>3200000</v>
      </c>
    </row>
    <row r="16" spans="2:20" x14ac:dyDescent="0.25">
      <c r="C16" t="s">
        <v>94</v>
      </c>
      <c r="D16" s="37">
        <v>4</v>
      </c>
      <c r="E16">
        <v>0</v>
      </c>
      <c r="G16" s="25"/>
      <c r="H16" s="25"/>
      <c r="I16" s="25"/>
      <c r="J16" s="41">
        <f>SLN(SUM($J27:J27),$E16,$D16)</f>
        <v>0</v>
      </c>
      <c r="K16" s="41">
        <f>SLN(SUM($J27:K27),$E16,$D16)</f>
        <v>2000000</v>
      </c>
      <c r="L16" s="41">
        <f>SLN(SUM($J27:L27),$E16,$D16)</f>
        <v>2250000</v>
      </c>
      <c r="M16" s="41">
        <f>SLN(SUM($J27:M27),$E16,$D16)</f>
        <v>2500000</v>
      </c>
      <c r="N16" s="71">
        <f>SLN(SUM($K27:N27),$E16,$D16)</f>
        <v>4000000</v>
      </c>
      <c r="O16" s="71">
        <f>SLN(SUM($L27:O27),$E16,$D16)</f>
        <v>2250000</v>
      </c>
    </row>
    <row r="17" spans="2:15" x14ac:dyDescent="0.25">
      <c r="G17" s="25"/>
      <c r="H17" s="25"/>
      <c r="I17" s="25"/>
      <c r="J17" s="25"/>
      <c r="K17" s="25"/>
      <c r="L17" s="25"/>
      <c r="M17" s="25"/>
      <c r="N17" s="25"/>
      <c r="O17" s="25"/>
    </row>
    <row r="18" spans="2:15" s="6" customFormat="1" x14ac:dyDescent="0.25">
      <c r="B18" s="6" t="s">
        <v>147</v>
      </c>
      <c r="G18" s="23"/>
      <c r="H18" s="23"/>
      <c r="I18" s="23"/>
      <c r="J18" s="56"/>
      <c r="K18" s="56"/>
      <c r="L18" s="56"/>
      <c r="M18" s="56"/>
      <c r="N18" s="74"/>
      <c r="O18" s="74"/>
    </row>
    <row r="19" spans="2:15" x14ac:dyDescent="0.25">
      <c r="C19" t="s">
        <v>95</v>
      </c>
      <c r="D19" s="37">
        <v>5</v>
      </c>
      <c r="E19">
        <v>0</v>
      </c>
      <c r="G19" s="25"/>
      <c r="H19" s="25"/>
      <c r="I19" s="25"/>
      <c r="J19" s="41">
        <f>SLN(SUM($J28:J28),$E19,$D19)</f>
        <v>0</v>
      </c>
      <c r="K19" s="41">
        <f>SLN(SUM($J28:K28),$E19,$D19)</f>
        <v>400000</v>
      </c>
      <c r="L19" s="41">
        <f>SLN(SUM($J28:L28),$E19,$D19)</f>
        <v>400000</v>
      </c>
      <c r="M19" s="41">
        <f>SLN(SUM($J28:M28),$E19,$D19)</f>
        <v>400000</v>
      </c>
      <c r="N19" s="41">
        <f>SLN(SUM($J28:N28),$E19,$D19)</f>
        <v>400000</v>
      </c>
      <c r="O19" s="71">
        <f>SLN(SUM($K28:O28),$E19,$D19)</f>
        <v>900000</v>
      </c>
    </row>
    <row r="20" spans="2:15" x14ac:dyDescent="0.25">
      <c r="G20" s="25"/>
      <c r="H20" s="25"/>
      <c r="I20" s="25"/>
      <c r="J20" s="25"/>
      <c r="K20" s="25"/>
      <c r="L20" s="25"/>
      <c r="M20" s="25"/>
      <c r="N20" s="25"/>
      <c r="O20" s="25"/>
    </row>
    <row r="21" spans="2:15" x14ac:dyDescent="0.25">
      <c r="G21" s="25"/>
      <c r="H21" s="25"/>
      <c r="I21" s="25"/>
      <c r="J21" s="25"/>
      <c r="K21" s="25"/>
      <c r="L21" s="25"/>
      <c r="M21" s="25"/>
      <c r="N21" s="25"/>
      <c r="O21" s="25"/>
    </row>
    <row r="22" spans="2:15" s="6" customFormat="1" x14ac:dyDescent="0.25">
      <c r="B22" s="6" t="s">
        <v>149</v>
      </c>
      <c r="G22" s="23">
        <f>SUM(G23:G28)</f>
        <v>0</v>
      </c>
      <c r="H22" s="23">
        <f t="shared" ref="H22:O22" si="2">SUM(H23:H28)</f>
        <v>0</v>
      </c>
      <c r="I22" s="23">
        <f t="shared" si="2"/>
        <v>0</v>
      </c>
      <c r="J22" s="23">
        <f t="shared" si="2"/>
        <v>70000000</v>
      </c>
      <c r="K22" s="23">
        <f t="shared" si="2"/>
        <v>40000000</v>
      </c>
      <c r="L22" s="23">
        <f t="shared" si="2"/>
        <v>1000000</v>
      </c>
      <c r="M22" s="23">
        <f t="shared" si="2"/>
        <v>28000000</v>
      </c>
      <c r="N22" s="23">
        <f t="shared" si="2"/>
        <v>8000000</v>
      </c>
      <c r="O22" s="23">
        <f t="shared" si="2"/>
        <v>5500000</v>
      </c>
    </row>
    <row r="23" spans="2:15" x14ac:dyDescent="0.25">
      <c r="C23" t="s">
        <v>90</v>
      </c>
      <c r="D23" t="s">
        <v>288</v>
      </c>
      <c r="G23" s="41">
        <f>'Model Inputs'!G100</f>
        <v>0</v>
      </c>
      <c r="H23" s="41">
        <f>'Model Inputs'!H100</f>
        <v>0</v>
      </c>
      <c r="I23" s="41">
        <f>'Model Inputs'!I100</f>
        <v>0</v>
      </c>
      <c r="J23" s="41">
        <f>'Model Inputs'!J100</f>
        <v>30000000</v>
      </c>
      <c r="K23" s="41">
        <f>'Model Inputs'!K100</f>
        <v>0</v>
      </c>
      <c r="L23" s="41">
        <f>'Model Inputs'!L100</f>
        <v>0</v>
      </c>
      <c r="M23" s="41">
        <f>'Model Inputs'!M100</f>
        <v>0</v>
      </c>
      <c r="N23" s="41">
        <f>'Model Inputs'!N100</f>
        <v>0</v>
      </c>
      <c r="O23" s="41">
        <f>'Model Inputs'!O100</f>
        <v>0</v>
      </c>
    </row>
    <row r="24" spans="2:15" x14ac:dyDescent="0.25">
      <c r="C24" t="s">
        <v>91</v>
      </c>
      <c r="D24" t="s">
        <v>288</v>
      </c>
      <c r="G24" s="41">
        <f>'Model Inputs'!G101</f>
        <v>0</v>
      </c>
      <c r="H24" s="41">
        <f>'Model Inputs'!H101</f>
        <v>0</v>
      </c>
      <c r="I24" s="41">
        <f>'Model Inputs'!I101</f>
        <v>0</v>
      </c>
      <c r="J24" s="41">
        <f>'Model Inputs'!J101</f>
        <v>40000000</v>
      </c>
      <c r="K24" s="41">
        <f>'Model Inputs'!K101</f>
        <v>0</v>
      </c>
      <c r="L24" s="41">
        <f>'Model Inputs'!L101</f>
        <v>0</v>
      </c>
      <c r="M24" s="41">
        <f>'Model Inputs'!M101</f>
        <v>20000000</v>
      </c>
      <c r="N24" s="41">
        <f>'Model Inputs'!N101</f>
        <v>0</v>
      </c>
      <c r="O24" s="41">
        <f>'Model Inputs'!O101</f>
        <v>0</v>
      </c>
    </row>
    <row r="25" spans="2:15" x14ac:dyDescent="0.25">
      <c r="C25" t="s">
        <v>92</v>
      </c>
      <c r="D25" t="s">
        <v>288</v>
      </c>
      <c r="G25" s="41">
        <f>'Model Inputs'!G102</f>
        <v>0</v>
      </c>
      <c r="H25" s="41">
        <f>'Model Inputs'!H102</f>
        <v>0</v>
      </c>
      <c r="I25" s="41">
        <f>'Model Inputs'!I102</f>
        <v>0</v>
      </c>
      <c r="J25" s="41">
        <f>'Model Inputs'!J102</f>
        <v>0</v>
      </c>
      <c r="K25" s="41">
        <f>'Model Inputs'!K102</f>
        <v>20000000</v>
      </c>
      <c r="L25" s="41">
        <f>'Model Inputs'!L102</f>
        <v>0</v>
      </c>
      <c r="M25" s="41">
        <f>'Model Inputs'!M102</f>
        <v>5000000</v>
      </c>
      <c r="N25" s="41">
        <f>'Model Inputs'!N102</f>
        <v>0</v>
      </c>
      <c r="O25" s="41">
        <f>'Model Inputs'!O102</f>
        <v>0</v>
      </c>
    </row>
    <row r="26" spans="2:15" x14ac:dyDescent="0.25">
      <c r="C26" t="s">
        <v>93</v>
      </c>
      <c r="D26" t="s">
        <v>288</v>
      </c>
      <c r="G26" s="41">
        <f>'Model Inputs'!G103</f>
        <v>0</v>
      </c>
      <c r="H26" s="41">
        <f>'Model Inputs'!H103</f>
        <v>0</v>
      </c>
      <c r="I26" s="41">
        <f>'Model Inputs'!I103</f>
        <v>0</v>
      </c>
      <c r="J26" s="41">
        <f>'Model Inputs'!J103</f>
        <v>0</v>
      </c>
      <c r="K26" s="41">
        <f>'Model Inputs'!K103</f>
        <v>10000000</v>
      </c>
      <c r="L26" s="41">
        <f>'Model Inputs'!L103</f>
        <v>0</v>
      </c>
      <c r="M26" s="41">
        <f>'Model Inputs'!M103</f>
        <v>2000000</v>
      </c>
      <c r="N26" s="41">
        <f>'Model Inputs'!N103</f>
        <v>2000000</v>
      </c>
      <c r="O26" s="41">
        <f>'Model Inputs'!O103</f>
        <v>2000000</v>
      </c>
    </row>
    <row r="27" spans="2:15" x14ac:dyDescent="0.25">
      <c r="C27" t="s">
        <v>94</v>
      </c>
      <c r="D27" t="s">
        <v>288</v>
      </c>
      <c r="G27" s="41">
        <f>'Model Inputs'!G104</f>
        <v>0</v>
      </c>
      <c r="H27" s="41">
        <f>'Model Inputs'!H104</f>
        <v>0</v>
      </c>
      <c r="I27" s="41">
        <f>'Model Inputs'!I104</f>
        <v>0</v>
      </c>
      <c r="J27" s="41">
        <f>'Model Inputs'!J104</f>
        <v>0</v>
      </c>
      <c r="K27" s="41">
        <f>'Model Inputs'!K104</f>
        <v>8000000</v>
      </c>
      <c r="L27" s="41">
        <f>'Model Inputs'!L104</f>
        <v>1000000</v>
      </c>
      <c r="M27" s="41">
        <f>'Model Inputs'!M104</f>
        <v>1000000</v>
      </c>
      <c r="N27" s="41">
        <f>'Model Inputs'!N104</f>
        <v>6000000</v>
      </c>
      <c r="O27" s="41">
        <f>'Model Inputs'!O104</f>
        <v>1000000</v>
      </c>
    </row>
    <row r="28" spans="2:15" x14ac:dyDescent="0.25">
      <c r="C28" t="s">
        <v>95</v>
      </c>
      <c r="D28" t="s">
        <v>288</v>
      </c>
      <c r="G28" s="41">
        <f>'Model Inputs'!G105</f>
        <v>0</v>
      </c>
      <c r="H28" s="41">
        <f>'Model Inputs'!H105</f>
        <v>0</v>
      </c>
      <c r="I28" s="41">
        <f>'Model Inputs'!I105</f>
        <v>0</v>
      </c>
      <c r="J28" s="41">
        <f>'Model Inputs'!J105</f>
        <v>0</v>
      </c>
      <c r="K28" s="41">
        <f>'Model Inputs'!K105</f>
        <v>2000000</v>
      </c>
      <c r="L28" s="41">
        <f>'Model Inputs'!L105</f>
        <v>0</v>
      </c>
      <c r="M28" s="41">
        <f>'Model Inputs'!M105</f>
        <v>0</v>
      </c>
      <c r="N28" s="41">
        <f>'Model Inputs'!N105</f>
        <v>0</v>
      </c>
      <c r="O28" s="41">
        <f>'Model Inputs'!O105</f>
        <v>2500000</v>
      </c>
    </row>
    <row r="29" spans="2:15" x14ac:dyDescent="0.25">
      <c r="G29" s="25"/>
      <c r="H29" s="25"/>
      <c r="I29" s="25"/>
      <c r="J29" s="25"/>
      <c r="K29" s="25"/>
      <c r="L29" s="25"/>
      <c r="M29" s="25"/>
      <c r="N29" s="25"/>
      <c r="O29" s="25"/>
    </row>
    <row r="30" spans="2:15" x14ac:dyDescent="0.25">
      <c r="G30" s="25"/>
      <c r="H30" s="25"/>
      <c r="I30" s="25"/>
      <c r="J30" s="25"/>
      <c r="K30" s="25"/>
      <c r="L30" s="25"/>
      <c r="M30" s="25"/>
      <c r="N30" s="25"/>
      <c r="O30" s="25"/>
    </row>
    <row r="31" spans="2:15" s="6" customFormat="1" x14ac:dyDescent="0.25">
      <c r="B31" s="6" t="s">
        <v>148</v>
      </c>
      <c r="G31" s="23"/>
      <c r="H31" s="23"/>
      <c r="I31" s="23"/>
      <c r="J31" s="23"/>
      <c r="K31" s="23"/>
      <c r="L31" s="23"/>
      <c r="M31" s="23"/>
      <c r="N31" s="23"/>
      <c r="O31" s="23"/>
    </row>
    <row r="32" spans="2:15" x14ac:dyDescent="0.25">
      <c r="C32" t="s">
        <v>90</v>
      </c>
      <c r="D32" t="s">
        <v>288</v>
      </c>
      <c r="G32" s="25">
        <f>F32+G23-G12</f>
        <v>0</v>
      </c>
      <c r="H32" s="25">
        <f t="shared" ref="H32:O32" si="3">G32+H23-H12</f>
        <v>0</v>
      </c>
      <c r="I32" s="25">
        <f t="shared" si="3"/>
        <v>0</v>
      </c>
      <c r="J32" s="25">
        <f t="shared" si="3"/>
        <v>29142857.142857142</v>
      </c>
      <c r="K32" s="25">
        <f t="shared" si="3"/>
        <v>28285714.285714284</v>
      </c>
      <c r="L32" s="25">
        <f t="shared" si="3"/>
        <v>27428571.428571425</v>
      </c>
      <c r="M32" s="25">
        <f t="shared" si="3"/>
        <v>26571428.571428567</v>
      </c>
      <c r="N32" s="25">
        <f t="shared" si="3"/>
        <v>25714285.714285709</v>
      </c>
      <c r="O32" s="25">
        <f t="shared" si="3"/>
        <v>24857142.857142851</v>
      </c>
    </row>
    <row r="33" spans="2:15" x14ac:dyDescent="0.25">
      <c r="C33" t="s">
        <v>91</v>
      </c>
      <c r="D33" t="s">
        <v>288</v>
      </c>
      <c r="G33" s="25">
        <f t="shared" ref="G33:O36" si="4">F33+G24-G13</f>
        <v>0</v>
      </c>
      <c r="H33" s="25">
        <f t="shared" si="4"/>
        <v>0</v>
      </c>
      <c r="I33" s="25">
        <f t="shared" si="4"/>
        <v>0</v>
      </c>
      <c r="J33" s="25">
        <f t="shared" si="4"/>
        <v>37333333.333333336</v>
      </c>
      <c r="K33" s="25">
        <f t="shared" si="4"/>
        <v>34666666.666666672</v>
      </c>
      <c r="L33" s="25">
        <f t="shared" si="4"/>
        <v>32000000.000000004</v>
      </c>
      <c r="M33" s="25">
        <f t="shared" si="4"/>
        <v>48000000</v>
      </c>
      <c r="N33" s="25">
        <f t="shared" si="4"/>
        <v>44000000</v>
      </c>
      <c r="O33" s="25">
        <f t="shared" si="4"/>
        <v>40000000</v>
      </c>
    </row>
    <row r="34" spans="2:15" x14ac:dyDescent="0.25">
      <c r="C34" t="s">
        <v>92</v>
      </c>
      <c r="D34" t="s">
        <v>288</v>
      </c>
      <c r="G34" s="25">
        <f t="shared" si="4"/>
        <v>0</v>
      </c>
      <c r="H34" s="25">
        <f t="shared" si="4"/>
        <v>0</v>
      </c>
      <c r="I34" s="25">
        <f t="shared" si="4"/>
        <v>0</v>
      </c>
      <c r="J34" s="25">
        <f t="shared" si="4"/>
        <v>0</v>
      </c>
      <c r="K34" s="25">
        <f t="shared" si="4"/>
        <v>16000000</v>
      </c>
      <c r="L34" s="25">
        <f t="shared" si="4"/>
        <v>12000000</v>
      </c>
      <c r="M34" s="25">
        <f t="shared" si="4"/>
        <v>12000000</v>
      </c>
      <c r="N34" s="25">
        <f t="shared" si="4"/>
        <v>7000000</v>
      </c>
      <c r="O34" s="25">
        <f t="shared" si="4"/>
        <v>2000000</v>
      </c>
    </row>
    <row r="35" spans="2:15" x14ac:dyDescent="0.25">
      <c r="C35" t="s">
        <v>93</v>
      </c>
      <c r="D35" t="s">
        <v>288</v>
      </c>
      <c r="G35" s="25">
        <f t="shared" si="4"/>
        <v>0</v>
      </c>
      <c r="H35" s="25">
        <f t="shared" si="4"/>
        <v>0</v>
      </c>
      <c r="I35" s="25">
        <f t="shared" si="4"/>
        <v>0</v>
      </c>
      <c r="J35" s="25">
        <f t="shared" si="4"/>
        <v>0</v>
      </c>
      <c r="K35" s="25">
        <f t="shared" si="4"/>
        <v>8000000</v>
      </c>
      <c r="L35" s="25">
        <f t="shared" si="4"/>
        <v>6000000</v>
      </c>
      <c r="M35" s="25">
        <f t="shared" si="4"/>
        <v>5600000</v>
      </c>
      <c r="N35" s="25">
        <f t="shared" si="4"/>
        <v>4800000</v>
      </c>
      <c r="O35" s="25">
        <f t="shared" si="4"/>
        <v>3600000</v>
      </c>
    </row>
    <row r="36" spans="2:15" x14ac:dyDescent="0.25">
      <c r="C36" t="s">
        <v>94</v>
      </c>
      <c r="D36" t="s">
        <v>288</v>
      </c>
      <c r="G36" s="25">
        <f t="shared" si="4"/>
        <v>0</v>
      </c>
      <c r="H36" s="25">
        <f t="shared" si="4"/>
        <v>0</v>
      </c>
      <c r="I36" s="25">
        <f t="shared" si="4"/>
        <v>0</v>
      </c>
      <c r="J36" s="25">
        <f t="shared" si="4"/>
        <v>0</v>
      </c>
      <c r="K36" s="25">
        <f t="shared" si="4"/>
        <v>6000000</v>
      </c>
      <c r="L36" s="25">
        <f t="shared" si="4"/>
        <v>4750000</v>
      </c>
      <c r="M36" s="25">
        <f t="shared" si="4"/>
        <v>3250000</v>
      </c>
      <c r="N36" s="25">
        <f t="shared" si="4"/>
        <v>5250000</v>
      </c>
      <c r="O36" s="25">
        <f t="shared" si="4"/>
        <v>4000000</v>
      </c>
    </row>
    <row r="37" spans="2:15" x14ac:dyDescent="0.25">
      <c r="C37" t="s">
        <v>95</v>
      </c>
      <c r="D37" t="s">
        <v>288</v>
      </c>
      <c r="G37" s="25">
        <f>F37+G28-G19</f>
        <v>0</v>
      </c>
      <c r="H37" s="25">
        <f t="shared" ref="H37:O37" si="5">G37+H28-H19</f>
        <v>0</v>
      </c>
      <c r="I37" s="25">
        <f t="shared" si="5"/>
        <v>0</v>
      </c>
      <c r="J37" s="25">
        <f t="shared" si="5"/>
        <v>0</v>
      </c>
      <c r="K37" s="25">
        <f t="shared" si="5"/>
        <v>1600000</v>
      </c>
      <c r="L37" s="25">
        <f t="shared" si="5"/>
        <v>1200000</v>
      </c>
      <c r="M37" s="25">
        <f t="shared" si="5"/>
        <v>800000</v>
      </c>
      <c r="N37" s="25">
        <f t="shared" si="5"/>
        <v>400000</v>
      </c>
      <c r="O37" s="25">
        <f t="shared" si="5"/>
        <v>2000000</v>
      </c>
    </row>
    <row r="38" spans="2:15" x14ac:dyDescent="0.25">
      <c r="G38" s="25"/>
      <c r="H38" s="25"/>
      <c r="I38" s="25"/>
      <c r="J38" s="25"/>
      <c r="K38" s="25"/>
      <c r="L38" s="25"/>
      <c r="M38" s="25"/>
      <c r="N38" s="25"/>
      <c r="O38" s="25"/>
    </row>
    <row r="39" spans="2:15" x14ac:dyDescent="0.25">
      <c r="G39" s="25"/>
      <c r="H39" s="25"/>
      <c r="I39" s="25"/>
      <c r="J39" s="25"/>
      <c r="K39" s="25"/>
      <c r="L39" s="25"/>
      <c r="M39" s="25"/>
      <c r="N39" s="25"/>
      <c r="O39" s="25"/>
    </row>
    <row r="40" spans="2:15" x14ac:dyDescent="0.25">
      <c r="G40" s="25"/>
      <c r="H40" s="25"/>
      <c r="I40" s="25"/>
      <c r="J40" s="25"/>
      <c r="K40" s="25"/>
      <c r="L40" s="25"/>
      <c r="M40" s="25"/>
      <c r="N40" s="25"/>
      <c r="O40" s="25"/>
    </row>
    <row r="41" spans="2:15" x14ac:dyDescent="0.25">
      <c r="G41" s="25"/>
      <c r="H41" s="25"/>
      <c r="I41" s="25"/>
      <c r="J41" s="25"/>
      <c r="K41" s="25"/>
      <c r="L41" s="25"/>
      <c r="M41" s="25"/>
      <c r="N41" s="25"/>
      <c r="O41" s="25"/>
    </row>
    <row r="42" spans="2:15" x14ac:dyDescent="0.25">
      <c r="B42" s="6" t="s">
        <v>149</v>
      </c>
      <c r="C42" s="6"/>
      <c r="D42" s="6"/>
      <c r="G42" s="25"/>
      <c r="H42" s="25"/>
      <c r="I42" s="25"/>
      <c r="J42" s="25"/>
      <c r="K42" s="25"/>
      <c r="L42" s="25"/>
      <c r="M42" s="25"/>
      <c r="N42" s="25"/>
      <c r="O42" s="25"/>
    </row>
    <row r="43" spans="2:15" x14ac:dyDescent="0.25">
      <c r="C43" t="s">
        <v>90</v>
      </c>
      <c r="D43" t="s">
        <v>288</v>
      </c>
      <c r="G43" s="25">
        <f>G23</f>
        <v>0</v>
      </c>
      <c r="H43" s="25">
        <f t="shared" ref="H43:O43" si="6">H23</f>
        <v>0</v>
      </c>
      <c r="I43" s="25">
        <f t="shared" si="6"/>
        <v>0</v>
      </c>
      <c r="J43" s="25">
        <f t="shared" si="6"/>
        <v>30000000</v>
      </c>
      <c r="K43" s="25">
        <f t="shared" si="6"/>
        <v>0</v>
      </c>
      <c r="L43" s="25">
        <f t="shared" si="6"/>
        <v>0</v>
      </c>
      <c r="M43" s="25">
        <f t="shared" si="6"/>
        <v>0</v>
      </c>
      <c r="N43" s="25">
        <f t="shared" si="6"/>
        <v>0</v>
      </c>
      <c r="O43" s="25">
        <f t="shared" si="6"/>
        <v>0</v>
      </c>
    </row>
    <row r="44" spans="2:15" x14ac:dyDescent="0.25">
      <c r="C44" t="s">
        <v>91</v>
      </c>
      <c r="D44" t="s">
        <v>288</v>
      </c>
      <c r="G44" s="25">
        <f t="shared" ref="G44:O44" si="7">G24</f>
        <v>0</v>
      </c>
      <c r="H44" s="25">
        <f t="shared" si="7"/>
        <v>0</v>
      </c>
      <c r="I44" s="25">
        <f t="shared" si="7"/>
        <v>0</v>
      </c>
      <c r="J44" s="25">
        <f t="shared" si="7"/>
        <v>40000000</v>
      </c>
      <c r="K44" s="25">
        <f t="shared" si="7"/>
        <v>0</v>
      </c>
      <c r="L44" s="25">
        <f t="shared" si="7"/>
        <v>0</v>
      </c>
      <c r="M44" s="25">
        <f t="shared" si="7"/>
        <v>20000000</v>
      </c>
      <c r="N44" s="25">
        <f t="shared" si="7"/>
        <v>0</v>
      </c>
      <c r="O44" s="25">
        <f t="shared" si="7"/>
        <v>0</v>
      </c>
    </row>
    <row r="45" spans="2:15" x14ac:dyDescent="0.25">
      <c r="C45" t="s">
        <v>92</v>
      </c>
      <c r="D45" t="s">
        <v>288</v>
      </c>
      <c r="G45" s="25">
        <f t="shared" ref="G45:O45" si="8">G25</f>
        <v>0</v>
      </c>
      <c r="H45" s="25">
        <f t="shared" si="8"/>
        <v>0</v>
      </c>
      <c r="I45" s="25">
        <f t="shared" si="8"/>
        <v>0</v>
      </c>
      <c r="J45" s="25">
        <f t="shared" si="8"/>
        <v>0</v>
      </c>
      <c r="K45" s="25">
        <f t="shared" si="8"/>
        <v>20000000</v>
      </c>
      <c r="L45" s="25">
        <f t="shared" si="8"/>
        <v>0</v>
      </c>
      <c r="M45" s="25">
        <f t="shared" si="8"/>
        <v>5000000</v>
      </c>
      <c r="N45" s="25">
        <f t="shared" si="8"/>
        <v>0</v>
      </c>
      <c r="O45" s="25">
        <f t="shared" si="8"/>
        <v>0</v>
      </c>
    </row>
    <row r="46" spans="2:15" x14ac:dyDescent="0.25">
      <c r="C46" t="s">
        <v>93</v>
      </c>
      <c r="D46" t="s">
        <v>288</v>
      </c>
      <c r="G46" s="25">
        <f t="shared" ref="G46:O46" si="9">G26</f>
        <v>0</v>
      </c>
      <c r="H46" s="25">
        <f t="shared" si="9"/>
        <v>0</v>
      </c>
      <c r="I46" s="25">
        <f t="shared" si="9"/>
        <v>0</v>
      </c>
      <c r="J46" s="25">
        <f t="shared" si="9"/>
        <v>0</v>
      </c>
      <c r="K46" s="25">
        <f t="shared" si="9"/>
        <v>10000000</v>
      </c>
      <c r="L46" s="25">
        <f t="shared" si="9"/>
        <v>0</v>
      </c>
      <c r="M46" s="25">
        <f t="shared" si="9"/>
        <v>2000000</v>
      </c>
      <c r="N46" s="25">
        <f t="shared" si="9"/>
        <v>2000000</v>
      </c>
      <c r="O46" s="25">
        <f t="shared" si="9"/>
        <v>2000000</v>
      </c>
    </row>
    <row r="47" spans="2:15" x14ac:dyDescent="0.25">
      <c r="C47" t="s">
        <v>94</v>
      </c>
      <c r="D47" t="s">
        <v>288</v>
      </c>
      <c r="G47" s="25">
        <f t="shared" ref="G47:O47" si="10">G27</f>
        <v>0</v>
      </c>
      <c r="H47" s="25">
        <f t="shared" si="10"/>
        <v>0</v>
      </c>
      <c r="I47" s="25">
        <f t="shared" si="10"/>
        <v>0</v>
      </c>
      <c r="J47" s="25">
        <f t="shared" si="10"/>
        <v>0</v>
      </c>
      <c r="K47" s="25">
        <f t="shared" si="10"/>
        <v>8000000</v>
      </c>
      <c r="L47" s="25">
        <f t="shared" si="10"/>
        <v>1000000</v>
      </c>
      <c r="M47" s="25">
        <f t="shared" si="10"/>
        <v>1000000</v>
      </c>
      <c r="N47" s="25">
        <f t="shared" si="10"/>
        <v>6000000</v>
      </c>
      <c r="O47" s="25">
        <f t="shared" si="10"/>
        <v>1000000</v>
      </c>
    </row>
    <row r="48" spans="2:15" x14ac:dyDescent="0.25">
      <c r="C48" t="s">
        <v>95</v>
      </c>
      <c r="D48" t="s">
        <v>288</v>
      </c>
      <c r="G48" s="25">
        <f t="shared" ref="G48:O48" si="11">G28</f>
        <v>0</v>
      </c>
      <c r="H48" s="25">
        <f t="shared" si="11"/>
        <v>0</v>
      </c>
      <c r="I48" s="25">
        <f t="shared" si="11"/>
        <v>0</v>
      </c>
      <c r="J48" s="25">
        <f t="shared" si="11"/>
        <v>0</v>
      </c>
      <c r="K48" s="25">
        <f t="shared" si="11"/>
        <v>2000000</v>
      </c>
      <c r="L48" s="25">
        <f t="shared" si="11"/>
        <v>0</v>
      </c>
      <c r="M48" s="25">
        <f t="shared" si="11"/>
        <v>0</v>
      </c>
      <c r="N48" s="25">
        <f t="shared" si="11"/>
        <v>0</v>
      </c>
      <c r="O48" s="25">
        <f t="shared" si="11"/>
        <v>2500000</v>
      </c>
    </row>
    <row r="49" spans="2:15" x14ac:dyDescent="0.25">
      <c r="G49" s="25"/>
      <c r="H49" s="25"/>
      <c r="I49" s="25"/>
      <c r="J49" s="25"/>
      <c r="K49" s="25"/>
      <c r="L49" s="25"/>
      <c r="M49" s="25"/>
      <c r="N49" s="25"/>
      <c r="O49" s="25"/>
    </row>
    <row r="50" spans="2:15" x14ac:dyDescent="0.25">
      <c r="B50" s="6" t="s">
        <v>146</v>
      </c>
      <c r="C50" s="6"/>
      <c r="E50" s="6" t="s">
        <v>89</v>
      </c>
      <c r="G50" s="25"/>
      <c r="H50" s="25"/>
      <c r="I50" s="25"/>
      <c r="J50" s="25"/>
      <c r="K50" s="25"/>
      <c r="L50" s="25"/>
      <c r="M50" s="25"/>
      <c r="N50" s="25"/>
      <c r="O50" s="25"/>
    </row>
    <row r="51" spans="2:15" x14ac:dyDescent="0.25">
      <c r="C51" t="s">
        <v>90</v>
      </c>
      <c r="D51" s="37">
        <v>35</v>
      </c>
      <c r="E51">
        <v>0</v>
      </c>
      <c r="G51" s="25"/>
      <c r="H51" s="25"/>
      <c r="I51" s="25"/>
      <c r="J51" s="41">
        <f>SLN(SUM($G$43:J43),$E$51,$D$51)</f>
        <v>857142.85714285716</v>
      </c>
      <c r="K51" s="41">
        <f>SLN(SUM($G$43:K43),$E$51,$D$51)</f>
        <v>857142.85714285716</v>
      </c>
      <c r="L51" s="41">
        <f>SLN(SUM($G$43:L43),$E$51,$D$51)</f>
        <v>857142.85714285716</v>
      </c>
      <c r="M51" s="41">
        <f>SLN(SUM($G$43:M43),$E$51,$D$51)</f>
        <v>857142.85714285716</v>
      </c>
      <c r="N51" s="41">
        <f>SLN(SUM($G$43:N43),$E$51,$D$51)</f>
        <v>857142.85714285716</v>
      </c>
      <c r="O51" s="41">
        <f>SLN(SUM($G$43:O43),$E$51,$D$51)</f>
        <v>857142.85714285716</v>
      </c>
    </row>
    <row r="52" spans="2:15" x14ac:dyDescent="0.25">
      <c r="C52" t="s">
        <v>91</v>
      </c>
      <c r="D52" s="37">
        <v>15</v>
      </c>
      <c r="E52">
        <v>0</v>
      </c>
      <c r="G52" s="25"/>
      <c r="H52" s="25"/>
      <c r="I52" s="25"/>
      <c r="J52" s="41">
        <f>SLN(SUM($G44:J44),$E52,$D52)</f>
        <v>2666666.6666666665</v>
      </c>
      <c r="K52" s="41">
        <f>SLN(SUM($G44:K44),$E52,$D52)</f>
        <v>2666666.6666666665</v>
      </c>
      <c r="L52" s="41">
        <f>SLN(SUM($G44:L44),$E52,$D52)</f>
        <v>2666666.6666666665</v>
      </c>
      <c r="M52" s="41">
        <f>SLN(SUM($G44:M44),$E52,$D52)</f>
        <v>4000000</v>
      </c>
      <c r="N52" s="41">
        <f>SLN(SUM($G44:N44),$E52,$D52)</f>
        <v>4000000</v>
      </c>
      <c r="O52" s="41">
        <f>SLN(SUM($G44:O44),$E52,$D52)</f>
        <v>4000000</v>
      </c>
    </row>
    <row r="53" spans="2:15" x14ac:dyDescent="0.25">
      <c r="C53" t="s">
        <v>92</v>
      </c>
      <c r="D53" s="37">
        <v>5</v>
      </c>
      <c r="E53">
        <v>0</v>
      </c>
      <c r="G53" s="25"/>
      <c r="H53" s="25"/>
      <c r="I53" s="25"/>
      <c r="J53" s="41">
        <f>SLN(SUM($G45:J45),$E53,$D53)</f>
        <v>0</v>
      </c>
      <c r="K53" s="41">
        <f>SLN(SUM(G45:K45),$E53,$D53)</f>
        <v>4000000</v>
      </c>
      <c r="L53" s="41">
        <f t="shared" ref="L53:O53" si="12">SLN(SUM(H45:L45),$E53,$D53)</f>
        <v>4000000</v>
      </c>
      <c r="M53" s="41">
        <f t="shared" si="12"/>
        <v>5000000</v>
      </c>
      <c r="N53" s="41">
        <f t="shared" si="12"/>
        <v>5000000</v>
      </c>
      <c r="O53" s="41">
        <f t="shared" si="12"/>
        <v>5000000</v>
      </c>
    </row>
    <row r="54" spans="2:15" x14ac:dyDescent="0.25">
      <c r="C54" t="s">
        <v>93</v>
      </c>
      <c r="D54" s="37">
        <v>5</v>
      </c>
      <c r="E54">
        <v>0</v>
      </c>
      <c r="G54" s="25"/>
      <c r="H54" s="25"/>
      <c r="I54" s="25"/>
      <c r="J54" s="41">
        <f>SLN(SUM($G46:J46),$E54,$D54)</f>
        <v>0</v>
      </c>
      <c r="K54" s="41">
        <f>SLN(SUM(G46:K46),$E54,$D54)</f>
        <v>2000000</v>
      </c>
      <c r="L54" s="41">
        <f t="shared" ref="L54" si="13">SLN(SUM(H46:L46),$E54,$D54)</f>
        <v>2000000</v>
      </c>
      <c r="M54" s="41">
        <f t="shared" ref="M54" si="14">SLN(SUM(I46:M46),$E54,$D54)</f>
        <v>2400000</v>
      </c>
      <c r="N54" s="41">
        <f t="shared" ref="N54" si="15">SLN(SUM(J46:N46),$E54,$D54)</f>
        <v>2800000</v>
      </c>
      <c r="O54" s="41">
        <f t="shared" ref="O54" si="16">SLN(SUM(K46:O46),$E54,$D54)</f>
        <v>3200000</v>
      </c>
    </row>
    <row r="55" spans="2:15" x14ac:dyDescent="0.25">
      <c r="C55" t="s">
        <v>94</v>
      </c>
      <c r="D55" s="37">
        <v>4</v>
      </c>
      <c r="E55">
        <v>0</v>
      </c>
      <c r="G55" s="25"/>
      <c r="H55" s="25"/>
      <c r="I55" s="25"/>
      <c r="J55" s="41">
        <f>SLN(SUM(G47:J47),$E55,$D55)</f>
        <v>0</v>
      </c>
      <c r="K55" s="41">
        <f t="shared" ref="K55:O55" si="17">SLN(SUM(H47:K47),$E55,$D55)</f>
        <v>2000000</v>
      </c>
      <c r="L55" s="41">
        <f t="shared" si="17"/>
        <v>2250000</v>
      </c>
      <c r="M55" s="41">
        <f t="shared" si="17"/>
        <v>2500000</v>
      </c>
      <c r="N55" s="41">
        <f t="shared" si="17"/>
        <v>4000000</v>
      </c>
      <c r="O55" s="41">
        <f t="shared" si="17"/>
        <v>2250000</v>
      </c>
    </row>
    <row r="56" spans="2:15" x14ac:dyDescent="0.25">
      <c r="C56" t="s">
        <v>95</v>
      </c>
      <c r="D56" s="37">
        <v>5</v>
      </c>
      <c r="E56">
        <v>0</v>
      </c>
      <c r="G56" s="25"/>
      <c r="H56" s="25"/>
      <c r="I56" s="25"/>
      <c r="J56" s="41">
        <f>SLN(SUM($G48:J48),$E56,$D56)</f>
        <v>0</v>
      </c>
      <c r="K56" s="41">
        <f>SLN(SUM(G48:K48),$E56,$D56)</f>
        <v>400000</v>
      </c>
      <c r="L56" s="41">
        <f t="shared" ref="L56" si="18">SLN(SUM(H48:L48),$E56,$D56)</f>
        <v>400000</v>
      </c>
      <c r="M56" s="41">
        <f t="shared" ref="M56" si="19">SLN(SUM(I48:M48),$E56,$D56)</f>
        <v>400000</v>
      </c>
      <c r="N56" s="41">
        <f t="shared" ref="N56" si="20">SLN(SUM(J48:N48),$E56,$D56)</f>
        <v>400000</v>
      </c>
      <c r="O56" s="41">
        <f t="shared" ref="O56" si="21">SLN(SUM(K48:O48),$E56,$D56)</f>
        <v>900000</v>
      </c>
    </row>
    <row r="57" spans="2:15" x14ac:dyDescent="0.25">
      <c r="J57" s="41"/>
      <c r="K57" s="41"/>
      <c r="L57" s="41"/>
      <c r="M57" s="41"/>
      <c r="N57" s="41"/>
      <c r="O57" s="41"/>
    </row>
  </sheetData>
  <hyperlinks>
    <hyperlink ref="O1" location="'Table of Content'!A1" display="&gt;&gt; Table of Contents" xr:uid="{C1B4D6AD-E115-44A4-9753-FFE25CE4FABD}"/>
  </hyperlinks>
  <pageMargins left="0.7" right="0.7" top="0.75" bottom="0.75" header="0.3" footer="0.3"/>
  <pageSetup orientation="portrait" horizontalDpi="4294967293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8894-9E2F-4B23-87DA-7E3A03958AD8}">
  <sheetPr>
    <tabColor theme="9" tint="-0.499984740745262"/>
  </sheetPr>
  <dimension ref="B1:T33"/>
  <sheetViews>
    <sheetView showGridLines="0" topLeftCell="A18" zoomScale="80" zoomScaleNormal="80" workbookViewId="0">
      <selection activeCell="H46" sqref="H46"/>
    </sheetView>
  </sheetViews>
  <sheetFormatPr defaultRowHeight="15" x14ac:dyDescent="0.25"/>
  <cols>
    <col min="2" max="2" width="3.140625" style="6" customWidth="1"/>
    <col min="3" max="3" width="35.42578125" customWidth="1"/>
    <col min="5" max="5" width="10.7109375" customWidth="1"/>
    <col min="6" max="6" width="11.140625" customWidth="1"/>
    <col min="7" max="11" width="14.5703125" customWidth="1"/>
    <col min="12" max="14" width="16.28515625" bestFit="1" customWidth="1"/>
    <col min="15" max="15" width="16.140625" bestFit="1" customWidth="1"/>
  </cols>
  <sheetData>
    <row r="1" spans="2:20" s="14" customFormat="1" x14ac:dyDescent="0.25">
      <c r="B1" s="46"/>
      <c r="C1" s="14" t="str">
        <f>Summary!D3</f>
        <v>M-pharmaceutical</v>
      </c>
      <c r="K1" s="14" t="str">
        <f>Scenarios!K1</f>
        <v>Currently running scenario: Optimistic</v>
      </c>
      <c r="O1" s="52" t="s">
        <v>237</v>
      </c>
      <c r="T1" s="14" t="str">
        <f>Summary!K2</f>
        <v>Last Updated: 20-January-2025</v>
      </c>
    </row>
    <row r="3" spans="2:20" ht="21" x14ac:dyDescent="0.35">
      <c r="B3" s="16" t="s">
        <v>39</v>
      </c>
      <c r="C3" s="16"/>
      <c r="D3" s="16"/>
      <c r="E3" s="16"/>
      <c r="F3" s="16"/>
      <c r="G3" s="16"/>
      <c r="H3" s="16"/>
    </row>
    <row r="5" spans="2:20" x14ac:dyDescent="0.25">
      <c r="B5" s="20"/>
      <c r="C5" s="20"/>
      <c r="D5" s="20"/>
      <c r="E5" s="20"/>
      <c r="F5" s="21"/>
      <c r="G5" s="22">
        <v>2016</v>
      </c>
      <c r="H5" s="22">
        <v>2017</v>
      </c>
      <c r="I5" s="22">
        <v>2018</v>
      </c>
      <c r="J5" s="22">
        <v>2019</v>
      </c>
      <c r="K5" s="22">
        <v>2020</v>
      </c>
      <c r="L5" s="22">
        <v>2021</v>
      </c>
      <c r="M5" s="22">
        <v>2022</v>
      </c>
      <c r="N5" s="22">
        <v>2023</v>
      </c>
      <c r="O5" s="22">
        <v>2024</v>
      </c>
    </row>
    <row r="7" spans="2:20" x14ac:dyDescent="0.25">
      <c r="B7" s="6" t="s">
        <v>168</v>
      </c>
    </row>
    <row r="8" spans="2:20" x14ac:dyDescent="0.25">
      <c r="C8" t="s">
        <v>169</v>
      </c>
      <c r="D8" t="s">
        <v>288</v>
      </c>
      <c r="G8" s="41"/>
      <c r="H8" s="41">
        <f>G10</f>
        <v>0</v>
      </c>
      <c r="I8" s="41">
        <f t="shared" ref="I8:O8" si="0">H10</f>
        <v>0</v>
      </c>
      <c r="J8" s="41">
        <f t="shared" si="0"/>
        <v>0</v>
      </c>
      <c r="K8" s="41">
        <f t="shared" si="0"/>
        <v>100000000</v>
      </c>
      <c r="L8" s="41">
        <f t="shared" si="0"/>
        <v>100000000</v>
      </c>
      <c r="M8" s="41">
        <f t="shared" si="0"/>
        <v>100000000</v>
      </c>
      <c r="N8" s="41">
        <f t="shared" si="0"/>
        <v>100000000</v>
      </c>
      <c r="O8" s="41">
        <f t="shared" si="0"/>
        <v>100000000</v>
      </c>
    </row>
    <row r="9" spans="2:20" x14ac:dyDescent="0.25">
      <c r="C9" t="s">
        <v>170</v>
      </c>
      <c r="D9" t="s">
        <v>288</v>
      </c>
      <c r="G9" s="41">
        <f>'Model Inputs'!G94</f>
        <v>0</v>
      </c>
      <c r="H9" s="41">
        <f>'Model Inputs'!H94</f>
        <v>0</v>
      </c>
      <c r="I9" s="41">
        <f>'Model Inputs'!I94</f>
        <v>0</v>
      </c>
      <c r="J9" s="41">
        <f>'Model Inputs'!J94</f>
        <v>100000000</v>
      </c>
      <c r="K9" s="41">
        <f>'Model Inputs'!K94</f>
        <v>0</v>
      </c>
      <c r="L9" s="41">
        <f>'Model Inputs'!L94</f>
        <v>0</v>
      </c>
      <c r="M9" s="41">
        <f>'Model Inputs'!M94</f>
        <v>0</v>
      </c>
      <c r="N9" s="41">
        <f>'Model Inputs'!N94</f>
        <v>0</v>
      </c>
      <c r="O9" s="41">
        <f>'Model Inputs'!O94</f>
        <v>0</v>
      </c>
    </row>
    <row r="10" spans="2:20" x14ac:dyDescent="0.25">
      <c r="C10" t="s">
        <v>171</v>
      </c>
      <c r="D10" t="s">
        <v>288</v>
      </c>
      <c r="G10" s="41">
        <f>SUM(G8:G9)</f>
        <v>0</v>
      </c>
      <c r="H10" s="41">
        <f>SUM(H8:H9)</f>
        <v>0</v>
      </c>
      <c r="I10" s="41">
        <f t="shared" ref="I10:O10" si="1">SUM(I8:I9)</f>
        <v>0</v>
      </c>
      <c r="J10" s="41">
        <f t="shared" si="1"/>
        <v>100000000</v>
      </c>
      <c r="K10" s="41">
        <f t="shared" si="1"/>
        <v>100000000</v>
      </c>
      <c r="L10" s="41">
        <f t="shared" si="1"/>
        <v>100000000</v>
      </c>
      <c r="M10" s="41">
        <f t="shared" si="1"/>
        <v>100000000</v>
      </c>
      <c r="N10" s="41">
        <f t="shared" si="1"/>
        <v>100000000</v>
      </c>
      <c r="O10" s="41">
        <f t="shared" si="1"/>
        <v>100000000</v>
      </c>
    </row>
    <row r="11" spans="2:20" x14ac:dyDescent="0.25">
      <c r="G11" s="25"/>
      <c r="H11" s="25"/>
      <c r="I11" s="25"/>
      <c r="J11" s="25"/>
      <c r="K11" s="25"/>
      <c r="L11" s="25"/>
      <c r="M11" s="25"/>
      <c r="N11" s="25"/>
      <c r="O11" s="25"/>
    </row>
    <row r="12" spans="2:20" x14ac:dyDescent="0.25">
      <c r="G12" s="25"/>
      <c r="H12" s="25"/>
      <c r="I12" s="25"/>
      <c r="J12" s="25"/>
      <c r="K12" s="25"/>
      <c r="L12" s="25"/>
      <c r="M12" s="25"/>
      <c r="N12" s="25"/>
      <c r="O12" s="25"/>
    </row>
    <row r="13" spans="2:20" x14ac:dyDescent="0.25">
      <c r="B13" s="6" t="s">
        <v>172</v>
      </c>
      <c r="G13" s="25"/>
      <c r="H13" s="25"/>
      <c r="I13" s="25"/>
      <c r="J13" s="25"/>
      <c r="K13" s="25"/>
      <c r="L13" s="25"/>
      <c r="M13" s="25"/>
      <c r="N13" s="25"/>
      <c r="O13" s="25"/>
    </row>
    <row r="14" spans="2:20" x14ac:dyDescent="0.25">
      <c r="C14" t="s">
        <v>169</v>
      </c>
      <c r="D14" t="s">
        <v>288</v>
      </c>
      <c r="G14" s="25"/>
      <c r="H14" s="41">
        <f>G16</f>
        <v>0</v>
      </c>
      <c r="I14" s="41">
        <f t="shared" ref="I14:O14" si="2">H16</f>
        <v>0</v>
      </c>
      <c r="J14" s="41">
        <f t="shared" si="2"/>
        <v>0</v>
      </c>
      <c r="K14" s="41">
        <f t="shared" si="2"/>
        <v>0</v>
      </c>
      <c r="L14" s="41">
        <f t="shared" si="2"/>
        <v>0</v>
      </c>
      <c r="M14" s="41">
        <f t="shared" si="2"/>
        <v>25000000</v>
      </c>
      <c r="N14" s="71">
        <f t="shared" si="2"/>
        <v>25000000</v>
      </c>
      <c r="O14" s="71">
        <f t="shared" si="2"/>
        <v>25000000</v>
      </c>
    </row>
    <row r="15" spans="2:20" x14ac:dyDescent="0.25">
      <c r="C15" t="s">
        <v>170</v>
      </c>
      <c r="D15" t="s">
        <v>288</v>
      </c>
      <c r="G15" s="41">
        <f>'Model Inputs'!G96</f>
        <v>0</v>
      </c>
      <c r="H15" s="41">
        <f>'Model Inputs'!H96</f>
        <v>0</v>
      </c>
      <c r="I15" s="41">
        <f>'Model Inputs'!I96</f>
        <v>0</v>
      </c>
      <c r="J15" s="41">
        <f>'Model Inputs'!J96</f>
        <v>0</v>
      </c>
      <c r="K15" s="41">
        <f>'Model Inputs'!K96</f>
        <v>0</v>
      </c>
      <c r="L15" s="41">
        <f>'Model Inputs'!L96</f>
        <v>25000000</v>
      </c>
      <c r="M15" s="41">
        <f>'Model Inputs'!M96</f>
        <v>0</v>
      </c>
      <c r="N15" s="71">
        <f>'Model Inputs'!N96</f>
        <v>0</v>
      </c>
      <c r="O15" s="71">
        <f>'Model Inputs'!O96</f>
        <v>0</v>
      </c>
    </row>
    <row r="16" spans="2:20" x14ac:dyDescent="0.25">
      <c r="C16" t="s">
        <v>171</v>
      </c>
      <c r="D16" t="s">
        <v>288</v>
      </c>
      <c r="G16" s="41">
        <f>SUM(G14:G15)</f>
        <v>0</v>
      </c>
      <c r="H16" s="41">
        <f>SUM(H14:H15)</f>
        <v>0</v>
      </c>
      <c r="I16" s="41">
        <f t="shared" ref="I16:O16" si="3">SUM(I14:I15)</f>
        <v>0</v>
      </c>
      <c r="J16" s="41">
        <f t="shared" si="3"/>
        <v>0</v>
      </c>
      <c r="K16" s="41">
        <f t="shared" si="3"/>
        <v>0</v>
      </c>
      <c r="L16" s="41">
        <f t="shared" si="3"/>
        <v>25000000</v>
      </c>
      <c r="M16" s="41">
        <f t="shared" si="3"/>
        <v>25000000</v>
      </c>
      <c r="N16" s="71">
        <f t="shared" si="3"/>
        <v>25000000</v>
      </c>
      <c r="O16" s="71">
        <f t="shared" si="3"/>
        <v>25000000</v>
      </c>
    </row>
    <row r="19" spans="2:15" x14ac:dyDescent="0.25">
      <c r="B19" s="6" t="s">
        <v>160</v>
      </c>
    </row>
    <row r="20" spans="2:15" x14ac:dyDescent="0.25">
      <c r="C20" t="s">
        <v>173</v>
      </c>
      <c r="D20" t="s">
        <v>288</v>
      </c>
      <c r="G20" s="41">
        <f ca="1">'Income Statement'!G39</f>
        <v>0</v>
      </c>
      <c r="H20" s="41">
        <f ca="1">'Income Statement'!H39</f>
        <v>0</v>
      </c>
      <c r="I20" s="41">
        <f ca="1">'Income Statement'!I39</f>
        <v>0</v>
      </c>
      <c r="J20" s="41">
        <f ca="1">'Income Statement'!J39</f>
        <v>-1472527.4725274725</v>
      </c>
      <c r="K20" s="41">
        <f ca="1">'Income Statement'!K39</f>
        <v>614000235.33343446</v>
      </c>
      <c r="L20" s="41">
        <f ca="1">'Income Statement'!L39</f>
        <v>734122037.13357043</v>
      </c>
      <c r="M20" s="41">
        <f ca="1">'Income Statement'!M39</f>
        <v>860178593.63374281</v>
      </c>
      <c r="N20" s="41">
        <f ca="1">'Income Statement'!N39</f>
        <v>1199482929.8361959</v>
      </c>
      <c r="O20" s="41">
        <f ca="1">'Income Statement'!O39</f>
        <v>1345191062.9880757</v>
      </c>
    </row>
    <row r="21" spans="2:15" x14ac:dyDescent="0.25">
      <c r="C21" t="s">
        <v>174</v>
      </c>
      <c r="D21" t="s">
        <v>73</v>
      </c>
      <c r="G21" s="50">
        <f>'Model Inputs'!G97</f>
        <v>0</v>
      </c>
      <c r="H21" s="50">
        <f>'Model Inputs'!H97</f>
        <v>0</v>
      </c>
      <c r="I21" s="50">
        <f>'Model Inputs'!I97</f>
        <v>0</v>
      </c>
      <c r="J21" s="50">
        <f>'Model Inputs'!J97</f>
        <v>0</v>
      </c>
      <c r="K21" s="50">
        <f>'Model Inputs'!K97</f>
        <v>0</v>
      </c>
      <c r="L21" s="50">
        <f>'Model Inputs'!L97</f>
        <v>0</v>
      </c>
      <c r="M21" s="50">
        <f>'Model Inputs'!M97</f>
        <v>0.05</v>
      </c>
      <c r="N21" s="50">
        <f>'Model Inputs'!N97</f>
        <v>0.05</v>
      </c>
      <c r="O21" s="50">
        <f>'Model Inputs'!O97</f>
        <v>0.05</v>
      </c>
    </row>
    <row r="22" spans="2:15" x14ac:dyDescent="0.25">
      <c r="C22" t="s">
        <v>175</v>
      </c>
      <c r="D22" t="s">
        <v>288</v>
      </c>
      <c r="G22" s="41">
        <f ca="1">MAX(0,G20)*G21</f>
        <v>0</v>
      </c>
      <c r="H22" s="41">
        <f t="shared" ref="H22:O22" ca="1" si="4">MAX(0,H20)*H21</f>
        <v>0</v>
      </c>
      <c r="I22" s="41">
        <f t="shared" ca="1" si="4"/>
        <v>0</v>
      </c>
      <c r="J22" s="41">
        <f t="shared" ca="1" si="4"/>
        <v>0</v>
      </c>
      <c r="K22" s="41">
        <f t="shared" ca="1" si="4"/>
        <v>0</v>
      </c>
      <c r="L22" s="41">
        <f t="shared" ca="1" si="4"/>
        <v>0</v>
      </c>
      <c r="M22" s="41">
        <f t="shared" ca="1" si="4"/>
        <v>43008929.681687146</v>
      </c>
      <c r="N22" s="41">
        <f t="shared" ca="1" si="4"/>
        <v>59974146.4918098</v>
      </c>
      <c r="O22" s="41">
        <f t="shared" ca="1" si="4"/>
        <v>67259553.149403796</v>
      </c>
    </row>
    <row r="23" spans="2:15" x14ac:dyDescent="0.25">
      <c r="C23" t="s">
        <v>176</v>
      </c>
      <c r="D23" t="s">
        <v>288</v>
      </c>
      <c r="G23" s="41">
        <f ca="1">G20-G22</f>
        <v>0</v>
      </c>
      <c r="H23" s="41">
        <f t="shared" ref="H23:O23" ca="1" si="5">H20-H22</f>
        <v>0</v>
      </c>
      <c r="I23" s="41">
        <f t="shared" ca="1" si="5"/>
        <v>0</v>
      </c>
      <c r="J23" s="41">
        <f t="shared" ca="1" si="5"/>
        <v>-1472527.4725274725</v>
      </c>
      <c r="K23" s="41">
        <f t="shared" ca="1" si="5"/>
        <v>614000235.33343446</v>
      </c>
      <c r="L23" s="41">
        <f t="shared" ca="1" si="5"/>
        <v>734122037.13357043</v>
      </c>
      <c r="M23" s="41">
        <f t="shared" ca="1" si="5"/>
        <v>817169663.95205569</v>
      </c>
      <c r="N23" s="41">
        <f t="shared" ca="1" si="5"/>
        <v>1139508783.3443861</v>
      </c>
      <c r="O23" s="41">
        <f t="shared" ca="1" si="5"/>
        <v>1277931509.8386719</v>
      </c>
    </row>
    <row r="24" spans="2:15" x14ac:dyDescent="0.25">
      <c r="C24" t="s">
        <v>177</v>
      </c>
      <c r="D24" t="s">
        <v>73</v>
      </c>
      <c r="G24" s="50">
        <f>'Model Inputs'!G95</f>
        <v>0</v>
      </c>
      <c r="H24" s="50">
        <f>'Model Inputs'!H95</f>
        <v>0</v>
      </c>
      <c r="I24" s="50">
        <f>'Model Inputs'!I95</f>
        <v>0</v>
      </c>
      <c r="J24" s="50">
        <f>'Model Inputs'!J95</f>
        <v>0</v>
      </c>
      <c r="K24" s="50">
        <f>'Model Inputs'!K95</f>
        <v>0</v>
      </c>
      <c r="L24" s="50">
        <f>'Model Inputs'!L95</f>
        <v>0</v>
      </c>
      <c r="M24" s="50">
        <f>'Model Inputs'!M95</f>
        <v>0.1</v>
      </c>
      <c r="N24" s="50">
        <f>'Model Inputs'!N95</f>
        <v>0.1</v>
      </c>
      <c r="O24" s="50">
        <f>'Model Inputs'!O95</f>
        <v>0.1</v>
      </c>
    </row>
    <row r="25" spans="2:15" x14ac:dyDescent="0.25">
      <c r="C25" t="s">
        <v>178</v>
      </c>
      <c r="D25" t="s">
        <v>288</v>
      </c>
      <c r="G25" s="34">
        <f ca="1">G23*G24</f>
        <v>0</v>
      </c>
      <c r="H25" s="34">
        <f t="shared" ref="H25:O25" ca="1" si="6">H23*H24</f>
        <v>0</v>
      </c>
      <c r="I25" s="34">
        <f t="shared" ca="1" si="6"/>
        <v>0</v>
      </c>
      <c r="J25" s="34">
        <f t="shared" ca="1" si="6"/>
        <v>0</v>
      </c>
      <c r="K25" s="34">
        <f t="shared" ca="1" si="6"/>
        <v>0</v>
      </c>
      <c r="L25" s="34">
        <f t="shared" ca="1" si="6"/>
        <v>0</v>
      </c>
      <c r="M25" s="34">
        <f t="shared" ca="1" si="6"/>
        <v>81716966.395205572</v>
      </c>
      <c r="N25" s="34">
        <f t="shared" ca="1" si="6"/>
        <v>113950878.33443862</v>
      </c>
      <c r="O25" s="34">
        <f t="shared" ca="1" si="6"/>
        <v>127793150.9838672</v>
      </c>
    </row>
    <row r="28" spans="2:15" x14ac:dyDescent="0.25">
      <c r="B28" s="6" t="s">
        <v>179</v>
      </c>
    </row>
    <row r="29" spans="2:15" x14ac:dyDescent="0.25">
      <c r="C29" t="s">
        <v>169</v>
      </c>
      <c r="D29" t="s">
        <v>288</v>
      </c>
      <c r="G29" s="41"/>
      <c r="H29" s="41">
        <f ca="1">G33</f>
        <v>0</v>
      </c>
      <c r="I29" s="41">
        <f t="shared" ref="I29:O29" ca="1" si="7">H33</f>
        <v>0</v>
      </c>
      <c r="J29" s="41">
        <f t="shared" ca="1" si="7"/>
        <v>0</v>
      </c>
      <c r="K29" s="41">
        <f t="shared" ca="1" si="7"/>
        <v>-1472527.4725274725</v>
      </c>
      <c r="L29" s="41">
        <f t="shared" ca="1" si="7"/>
        <v>612527707.86090696</v>
      </c>
      <c r="M29" s="41">
        <f t="shared" ca="1" si="7"/>
        <v>1346649744.9944773</v>
      </c>
      <c r="N29" s="41">
        <f t="shared" ca="1" si="7"/>
        <v>2082102442.5513272</v>
      </c>
      <c r="O29" s="41">
        <f t="shared" ca="1" si="7"/>
        <v>3107660347.5612745</v>
      </c>
    </row>
    <row r="30" spans="2:15" x14ac:dyDescent="0.25">
      <c r="C30" t="s">
        <v>173</v>
      </c>
      <c r="D30" t="s">
        <v>288</v>
      </c>
      <c r="G30" s="41">
        <f ca="1">G20</f>
        <v>0</v>
      </c>
      <c r="H30" s="41">
        <f t="shared" ref="H30:O30" ca="1" si="8">H20</f>
        <v>0</v>
      </c>
      <c r="I30" s="41">
        <f t="shared" ca="1" si="8"/>
        <v>0</v>
      </c>
      <c r="J30" s="41">
        <f t="shared" ca="1" si="8"/>
        <v>-1472527.4725274725</v>
      </c>
      <c r="K30" s="41">
        <f t="shared" ca="1" si="8"/>
        <v>614000235.33343446</v>
      </c>
      <c r="L30" s="41">
        <f t="shared" ca="1" si="8"/>
        <v>734122037.13357043</v>
      </c>
      <c r="M30" s="41">
        <f t="shared" ca="1" si="8"/>
        <v>860178593.63374281</v>
      </c>
      <c r="N30" s="41">
        <f t="shared" ca="1" si="8"/>
        <v>1199482929.8361959</v>
      </c>
      <c r="O30" s="41">
        <f t="shared" ca="1" si="8"/>
        <v>1345191062.9880757</v>
      </c>
    </row>
    <row r="31" spans="2:15" x14ac:dyDescent="0.25">
      <c r="C31" t="s">
        <v>180</v>
      </c>
      <c r="D31" t="s">
        <v>288</v>
      </c>
      <c r="G31" s="41">
        <f ca="1">-G22</f>
        <v>0</v>
      </c>
      <c r="H31" s="41">
        <f t="shared" ref="H31:O31" ca="1" si="9">-H22</f>
        <v>0</v>
      </c>
      <c r="I31" s="41">
        <f t="shared" ca="1" si="9"/>
        <v>0</v>
      </c>
      <c r="J31" s="41">
        <f t="shared" ca="1" si="9"/>
        <v>0</v>
      </c>
      <c r="K31" s="41">
        <f t="shared" ca="1" si="9"/>
        <v>0</v>
      </c>
      <c r="L31" s="41">
        <f t="shared" ca="1" si="9"/>
        <v>0</v>
      </c>
      <c r="M31" s="41">
        <f t="shared" ca="1" si="9"/>
        <v>-43008929.681687146</v>
      </c>
      <c r="N31" s="41">
        <f t="shared" ca="1" si="9"/>
        <v>-59974146.4918098</v>
      </c>
      <c r="O31" s="41">
        <f t="shared" ca="1" si="9"/>
        <v>-67259553.149403796</v>
      </c>
    </row>
    <row r="32" spans="2:15" x14ac:dyDescent="0.25">
      <c r="C32" t="s">
        <v>181</v>
      </c>
      <c r="D32" t="s">
        <v>288</v>
      </c>
      <c r="G32" s="41">
        <f ca="1">-G25</f>
        <v>0</v>
      </c>
      <c r="H32" s="41">
        <f t="shared" ref="H32:O32" ca="1" si="10">-H25</f>
        <v>0</v>
      </c>
      <c r="I32" s="41">
        <f t="shared" ca="1" si="10"/>
        <v>0</v>
      </c>
      <c r="J32" s="41">
        <f t="shared" ca="1" si="10"/>
        <v>0</v>
      </c>
      <c r="K32" s="41">
        <f t="shared" ca="1" si="10"/>
        <v>0</v>
      </c>
      <c r="L32" s="41">
        <f t="shared" ca="1" si="10"/>
        <v>0</v>
      </c>
      <c r="M32" s="41">
        <f t="shared" ca="1" si="10"/>
        <v>-81716966.395205572</v>
      </c>
      <c r="N32" s="41">
        <f t="shared" ca="1" si="10"/>
        <v>-113950878.33443862</v>
      </c>
      <c r="O32" s="41">
        <f t="shared" ca="1" si="10"/>
        <v>-127793150.9838672</v>
      </c>
    </row>
    <row r="33" spans="3:15" x14ac:dyDescent="0.25">
      <c r="C33" t="s">
        <v>171</v>
      </c>
      <c r="D33" t="s">
        <v>288</v>
      </c>
      <c r="G33" s="41">
        <f ca="1">SUM(G29:G32)</f>
        <v>0</v>
      </c>
      <c r="H33" s="41">
        <f t="shared" ref="H33:O33" ca="1" si="11">SUM(H29:H32)</f>
        <v>0</v>
      </c>
      <c r="I33" s="41">
        <f t="shared" ca="1" si="11"/>
        <v>0</v>
      </c>
      <c r="J33" s="41">
        <f t="shared" ca="1" si="11"/>
        <v>-1472527.4725274725</v>
      </c>
      <c r="K33" s="41">
        <f t="shared" ca="1" si="11"/>
        <v>612527707.86090696</v>
      </c>
      <c r="L33" s="41">
        <f t="shared" ca="1" si="11"/>
        <v>1346649744.9944773</v>
      </c>
      <c r="M33" s="41">
        <f t="shared" ca="1" si="11"/>
        <v>2082102442.5513272</v>
      </c>
      <c r="N33" s="41">
        <f t="shared" ca="1" si="11"/>
        <v>3107660347.5612745</v>
      </c>
      <c r="O33" s="41">
        <f t="shared" ca="1" si="11"/>
        <v>4257798706.41608</v>
      </c>
    </row>
  </sheetData>
  <hyperlinks>
    <hyperlink ref="O1" location="'Table of Content'!A1" display="&gt;&gt; Table of Contents" xr:uid="{FF238F45-5602-4566-8161-A639818EFD0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AFA7-7655-4EF7-B7BC-DDB094E3136E}">
  <sheetPr>
    <tabColor theme="9" tint="-0.499984740745262"/>
  </sheetPr>
  <dimension ref="B1:T18"/>
  <sheetViews>
    <sheetView showGridLines="0" zoomScale="80" zoomScaleNormal="80" workbookViewId="0">
      <selection activeCell="H46" sqref="H46"/>
    </sheetView>
  </sheetViews>
  <sheetFormatPr defaultRowHeight="15" x14ac:dyDescent="0.25"/>
  <cols>
    <col min="2" max="2" width="3.140625" customWidth="1"/>
    <col min="3" max="3" width="35.42578125" customWidth="1"/>
    <col min="5" max="5" width="10.7109375" customWidth="1"/>
    <col min="6" max="6" width="11.140625" customWidth="1"/>
    <col min="7" max="11" width="14.5703125" customWidth="1"/>
    <col min="12" max="14" width="16.28515625" bestFit="1" customWidth="1"/>
    <col min="15" max="15" width="16.140625" bestFit="1" customWidth="1"/>
  </cols>
  <sheetData>
    <row r="1" spans="2:20" s="14" customFormat="1" x14ac:dyDescent="0.25">
      <c r="C1" s="14" t="str">
        <f>Summary!D3</f>
        <v>M-pharmaceutical</v>
      </c>
      <c r="K1" s="14" t="str">
        <f>Scenarios!K1</f>
        <v>Currently running scenario: Optimistic</v>
      </c>
      <c r="O1" s="52" t="s">
        <v>237</v>
      </c>
      <c r="T1" s="14" t="str">
        <f>Summary!K2</f>
        <v>Last Updated: 20-January-2025</v>
      </c>
    </row>
    <row r="3" spans="2:20" ht="21" x14ac:dyDescent="0.35">
      <c r="B3" s="16" t="s">
        <v>40</v>
      </c>
      <c r="C3" s="16"/>
      <c r="D3" s="16"/>
      <c r="E3" s="16"/>
      <c r="F3" s="16"/>
      <c r="G3" s="16"/>
      <c r="H3" s="16"/>
    </row>
    <row r="5" spans="2:20" x14ac:dyDescent="0.25">
      <c r="B5" s="20"/>
      <c r="C5" s="20"/>
      <c r="D5" s="20"/>
      <c r="E5" s="20"/>
      <c r="F5" s="21"/>
      <c r="G5" s="22">
        <v>2016</v>
      </c>
      <c r="H5" s="22">
        <v>2017</v>
      </c>
      <c r="I5" s="22">
        <v>2018</v>
      </c>
      <c r="J5" s="22">
        <v>2019</v>
      </c>
      <c r="K5" s="22">
        <v>2020</v>
      </c>
      <c r="L5" s="22">
        <v>2021</v>
      </c>
      <c r="M5" s="22">
        <v>2022</v>
      </c>
      <c r="N5" s="22">
        <v>2023</v>
      </c>
      <c r="O5" s="22">
        <v>2024</v>
      </c>
    </row>
    <row r="6" spans="2:20" x14ac:dyDescent="0.25">
      <c r="B6" s="6"/>
    </row>
    <row r="8" spans="2:20" x14ac:dyDescent="0.25">
      <c r="B8" t="s">
        <v>182</v>
      </c>
      <c r="D8" t="s">
        <v>73</v>
      </c>
      <c r="G8" s="32">
        <f>'Model Inputs'!G61</f>
        <v>0.3</v>
      </c>
      <c r="H8" s="32">
        <f>'Model Inputs'!H61</f>
        <v>0.3</v>
      </c>
      <c r="I8" s="32">
        <f>'Model Inputs'!I61</f>
        <v>0.3</v>
      </c>
      <c r="J8" s="32">
        <f>'Model Inputs'!J61</f>
        <v>0.3</v>
      </c>
      <c r="K8" s="32">
        <f>'Model Inputs'!K61</f>
        <v>0.3</v>
      </c>
      <c r="L8" s="32">
        <f>'Model Inputs'!L61</f>
        <v>0.3</v>
      </c>
      <c r="M8" s="32">
        <f>'Model Inputs'!M61</f>
        <v>0.3</v>
      </c>
      <c r="N8" s="32">
        <f>'Model Inputs'!N61</f>
        <v>0.3</v>
      </c>
      <c r="O8" s="32">
        <f>'Model Inputs'!O61</f>
        <v>0.3</v>
      </c>
    </row>
    <row r="11" spans="2:20" x14ac:dyDescent="0.25">
      <c r="B11" t="s">
        <v>183</v>
      </c>
      <c r="D11" t="s">
        <v>288</v>
      </c>
      <c r="G11" s="25">
        <f ca="1">'Income Statement'!G35</f>
        <v>0</v>
      </c>
      <c r="H11" s="25">
        <f ca="1">'Income Statement'!H35</f>
        <v>0</v>
      </c>
      <c r="I11" s="25">
        <f ca="1">'Income Statement'!I35</f>
        <v>0</v>
      </c>
      <c r="J11" s="25">
        <f ca="1">'Income Statement'!J35</f>
        <v>-1472527.4725274725</v>
      </c>
      <c r="K11" s="25">
        <f ca="1">'Income Statement'!K35</f>
        <v>877143193.33347774</v>
      </c>
      <c r="L11" s="25">
        <f ca="1">'Income Statement'!L35</f>
        <v>1048745767.333672</v>
      </c>
      <c r="M11" s="25">
        <f ca="1">'Income Statement'!M35</f>
        <v>1228826562.3339183</v>
      </c>
      <c r="N11" s="25">
        <f ca="1">'Income Statement'!N35</f>
        <v>1713547042.6231372</v>
      </c>
      <c r="O11" s="25">
        <f ca="1">'Income Statement'!O35</f>
        <v>1921701518.554394</v>
      </c>
    </row>
    <row r="12" spans="2:20" x14ac:dyDescent="0.25">
      <c r="B12" t="s">
        <v>198</v>
      </c>
      <c r="D12" t="s">
        <v>288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71">
        <v>0</v>
      </c>
      <c r="O12" s="41">
        <v>0</v>
      </c>
    </row>
    <row r="13" spans="2:20" x14ac:dyDescent="0.25">
      <c r="B13" t="s">
        <v>184</v>
      </c>
      <c r="D13" t="s">
        <v>288</v>
      </c>
      <c r="G13" s="25">
        <f ca="1">G11-G12</f>
        <v>0</v>
      </c>
      <c r="H13" s="25">
        <f t="shared" ref="H13:O13" ca="1" si="0">H11-H12</f>
        <v>0</v>
      </c>
      <c r="I13" s="25">
        <f t="shared" ca="1" si="0"/>
        <v>0</v>
      </c>
      <c r="J13" s="25">
        <f t="shared" ca="1" si="0"/>
        <v>-1472527.4725274725</v>
      </c>
      <c r="K13" s="25">
        <f t="shared" ca="1" si="0"/>
        <v>877143193.33347774</v>
      </c>
      <c r="L13" s="25">
        <f t="shared" ca="1" si="0"/>
        <v>1048745767.333672</v>
      </c>
      <c r="M13" s="25">
        <f t="shared" ca="1" si="0"/>
        <v>1228826562.3339183</v>
      </c>
      <c r="N13" s="25">
        <f t="shared" ca="1" si="0"/>
        <v>1713547042.6231372</v>
      </c>
      <c r="O13" s="25">
        <f t="shared" ca="1" si="0"/>
        <v>1921701518.554394</v>
      </c>
    </row>
    <row r="14" spans="2:20" x14ac:dyDescent="0.25">
      <c r="G14" s="25"/>
      <c r="H14" s="25"/>
      <c r="I14" s="25"/>
      <c r="J14" s="25"/>
      <c r="K14" s="25"/>
      <c r="L14" s="25"/>
      <c r="M14" s="25"/>
      <c r="N14" s="25"/>
      <c r="O14" s="25"/>
    </row>
    <row r="15" spans="2:20" x14ac:dyDescent="0.25">
      <c r="G15" s="25"/>
      <c r="H15" s="25"/>
      <c r="I15" s="25"/>
      <c r="J15" s="25"/>
      <c r="K15" s="25"/>
      <c r="L15" s="25"/>
      <c r="M15" s="25"/>
      <c r="N15" s="25"/>
      <c r="O15" s="25"/>
    </row>
    <row r="16" spans="2:20" x14ac:dyDescent="0.25">
      <c r="B16" t="s">
        <v>185</v>
      </c>
      <c r="D16" t="s">
        <v>288</v>
      </c>
      <c r="G16" s="25">
        <f ca="1">G8*MAX(0,G13)</f>
        <v>0</v>
      </c>
      <c r="H16" s="25">
        <f t="shared" ref="H16:O16" ca="1" si="1">H8*MAX(0,H13)</f>
        <v>0</v>
      </c>
      <c r="I16" s="25">
        <f t="shared" ca="1" si="1"/>
        <v>0</v>
      </c>
      <c r="J16" s="25">
        <f t="shared" ca="1" si="1"/>
        <v>0</v>
      </c>
      <c r="K16" s="25">
        <f t="shared" ca="1" si="1"/>
        <v>263142958.0000433</v>
      </c>
      <c r="L16" s="25">
        <f t="shared" ca="1" si="1"/>
        <v>314623730.20010161</v>
      </c>
      <c r="M16" s="25">
        <f t="shared" ca="1" si="1"/>
        <v>368647968.70017546</v>
      </c>
      <c r="N16" s="25">
        <f t="shared" ca="1" si="1"/>
        <v>514064112.78694117</v>
      </c>
      <c r="O16" s="25">
        <f t="shared" ca="1" si="1"/>
        <v>576510455.56631815</v>
      </c>
    </row>
    <row r="17" spans="2:15" x14ac:dyDescent="0.25">
      <c r="B17" t="s">
        <v>186</v>
      </c>
      <c r="D17" t="s">
        <v>288</v>
      </c>
      <c r="G17" s="25">
        <f>G8*G12</f>
        <v>0</v>
      </c>
      <c r="H17" s="25">
        <f t="shared" ref="H17:O17" si="2">H8*H12</f>
        <v>0</v>
      </c>
      <c r="I17" s="25">
        <f t="shared" si="2"/>
        <v>0</v>
      </c>
      <c r="J17" s="25">
        <f t="shared" si="2"/>
        <v>0</v>
      </c>
      <c r="K17" s="25">
        <f t="shared" si="2"/>
        <v>0</v>
      </c>
      <c r="L17" s="25">
        <f t="shared" si="2"/>
        <v>0</v>
      </c>
      <c r="M17" s="25">
        <f t="shared" si="2"/>
        <v>0</v>
      </c>
      <c r="N17" s="25">
        <f t="shared" si="2"/>
        <v>0</v>
      </c>
      <c r="O17" s="25">
        <f t="shared" si="2"/>
        <v>0</v>
      </c>
    </row>
    <row r="18" spans="2:15" s="6" customFormat="1" x14ac:dyDescent="0.25">
      <c r="B18" s="6" t="s">
        <v>187</v>
      </c>
      <c r="D18" s="6" t="s">
        <v>288</v>
      </c>
      <c r="G18" s="56">
        <f ca="1">G8*MAX(0,G11)</f>
        <v>0</v>
      </c>
      <c r="H18" s="56">
        <f t="shared" ref="H18:O18" ca="1" si="3">H8*MAX(0,H11)</f>
        <v>0</v>
      </c>
      <c r="I18" s="56">
        <f t="shared" ca="1" si="3"/>
        <v>0</v>
      </c>
      <c r="J18" s="56">
        <f t="shared" ca="1" si="3"/>
        <v>0</v>
      </c>
      <c r="K18" s="56">
        <f t="shared" ca="1" si="3"/>
        <v>263142958.0000433</v>
      </c>
      <c r="L18" s="56">
        <f t="shared" ca="1" si="3"/>
        <v>314623730.20010161</v>
      </c>
      <c r="M18" s="56">
        <f t="shared" ca="1" si="3"/>
        <v>368647968.70017546</v>
      </c>
      <c r="N18" s="74">
        <f t="shared" ca="1" si="3"/>
        <v>514064112.78694117</v>
      </c>
      <c r="O18" s="74">
        <f t="shared" ca="1" si="3"/>
        <v>576510455.56631815</v>
      </c>
    </row>
  </sheetData>
  <hyperlinks>
    <hyperlink ref="O1" location="'Table of Content'!A1" display="&gt;&gt; Table of Contents" xr:uid="{A72ED891-0C00-4DB4-BF93-4179BE957D2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DE3BB-53DF-4441-A8FE-3D3F99F571B5}">
  <sheetPr>
    <tabColor theme="9" tint="-0.499984740745262"/>
  </sheetPr>
  <dimension ref="B1:T43"/>
  <sheetViews>
    <sheetView showGridLines="0" zoomScale="80" zoomScaleNormal="80" workbookViewId="0">
      <selection activeCell="H46" sqref="H46"/>
    </sheetView>
  </sheetViews>
  <sheetFormatPr defaultRowHeight="15" x14ac:dyDescent="0.25"/>
  <cols>
    <col min="2" max="2" width="30.42578125" bestFit="1" customWidth="1"/>
    <col min="7" max="9" width="10.85546875" customWidth="1"/>
    <col min="10" max="10" width="13.28515625" bestFit="1" customWidth="1"/>
    <col min="11" max="11" width="15.5703125" customWidth="1"/>
    <col min="12" max="14" width="16.140625" bestFit="1" customWidth="1"/>
    <col min="15" max="15" width="16.85546875" bestFit="1" customWidth="1"/>
  </cols>
  <sheetData>
    <row r="1" spans="2:20" s="14" customFormat="1" x14ac:dyDescent="0.25">
      <c r="C1" s="14" t="str">
        <f>Summary!D3</f>
        <v>M-pharmaceutical</v>
      </c>
      <c r="K1" s="14" t="str">
        <f>Scenarios!K1</f>
        <v>Currently running scenario: Optimistic</v>
      </c>
      <c r="O1" s="52" t="s">
        <v>237</v>
      </c>
      <c r="T1" s="14" t="str">
        <f>Summary!K2</f>
        <v>Last Updated: 20-January-2025</v>
      </c>
    </row>
    <row r="3" spans="2:20" ht="21" x14ac:dyDescent="0.35">
      <c r="B3" s="16" t="s">
        <v>2</v>
      </c>
      <c r="C3" s="16"/>
      <c r="D3" s="16"/>
      <c r="E3" s="16"/>
      <c r="F3" s="16"/>
      <c r="G3" s="16"/>
      <c r="H3" s="16"/>
    </row>
    <row r="5" spans="2:20" x14ac:dyDescent="0.25">
      <c r="B5" s="20"/>
      <c r="C5" s="20"/>
      <c r="D5" s="20"/>
      <c r="E5" s="20"/>
      <c r="F5" s="21"/>
      <c r="G5" s="22">
        <v>2016</v>
      </c>
      <c r="H5" s="22">
        <v>2017</v>
      </c>
      <c r="I5" s="22">
        <v>2018</v>
      </c>
      <c r="J5" s="22">
        <v>2019</v>
      </c>
      <c r="K5" s="22">
        <v>2020</v>
      </c>
      <c r="L5" s="22">
        <v>2021</v>
      </c>
      <c r="M5" s="22">
        <v>2022</v>
      </c>
      <c r="N5" s="22">
        <v>2023</v>
      </c>
      <c r="O5" s="22">
        <v>2024</v>
      </c>
    </row>
    <row r="6" spans="2:20" x14ac:dyDescent="0.25">
      <c r="B6" s="6"/>
    </row>
    <row r="7" spans="2:20" x14ac:dyDescent="0.25">
      <c r="B7" t="s">
        <v>133</v>
      </c>
      <c r="D7" t="s">
        <v>288</v>
      </c>
      <c r="G7" s="25">
        <f>Revenue!G8</f>
        <v>0</v>
      </c>
      <c r="H7" s="25">
        <f>Revenue!H8</f>
        <v>0</v>
      </c>
      <c r="I7" s="25">
        <f>Revenue!I8</f>
        <v>0</v>
      </c>
      <c r="J7" s="25">
        <f>Revenue!J8</f>
        <v>0</v>
      </c>
      <c r="K7" s="25">
        <f>Revenue!K8</f>
        <v>720000000</v>
      </c>
      <c r="L7" s="25">
        <f>Revenue!L8</f>
        <v>864000000</v>
      </c>
      <c r="M7" s="25">
        <f>Revenue!M8</f>
        <v>1080000000</v>
      </c>
      <c r="N7" s="25">
        <f>Revenue!N8</f>
        <v>1555200000</v>
      </c>
      <c r="O7" s="25">
        <f>Revenue!O8</f>
        <v>1728000000</v>
      </c>
    </row>
    <row r="8" spans="2:20" x14ac:dyDescent="0.25">
      <c r="B8" t="s">
        <v>111</v>
      </c>
      <c r="D8" t="s">
        <v>288</v>
      </c>
      <c r="G8" s="25">
        <f>Revenue!G9</f>
        <v>0</v>
      </c>
      <c r="H8" s="25">
        <f>Revenue!H9</f>
        <v>0</v>
      </c>
      <c r="I8" s="25">
        <f>Revenue!I9</f>
        <v>0</v>
      </c>
      <c r="J8" s="25">
        <f>Revenue!J9</f>
        <v>0</v>
      </c>
      <c r="K8" s="25">
        <f>Revenue!K9</f>
        <v>576000000</v>
      </c>
      <c r="L8" s="25">
        <f>Revenue!L9</f>
        <v>612000000</v>
      </c>
      <c r="M8" s="25">
        <f>Revenue!M9</f>
        <v>648000000</v>
      </c>
      <c r="N8" s="25">
        <f>Revenue!N9</f>
        <v>684000000</v>
      </c>
      <c r="O8" s="25">
        <f>Revenue!O9</f>
        <v>756000000</v>
      </c>
    </row>
    <row r="9" spans="2:20" x14ac:dyDescent="0.25">
      <c r="B9" t="s">
        <v>112</v>
      </c>
      <c r="D9" t="s">
        <v>288</v>
      </c>
      <c r="G9" s="25">
        <f>Revenue!G10</f>
        <v>0</v>
      </c>
      <c r="H9" s="25">
        <f>Revenue!H10</f>
        <v>0</v>
      </c>
      <c r="I9" s="25">
        <f>Revenue!I10</f>
        <v>0</v>
      </c>
      <c r="J9" s="25">
        <f>Revenue!J10</f>
        <v>0</v>
      </c>
      <c r="K9" s="25">
        <f>Revenue!K10</f>
        <v>28800000</v>
      </c>
      <c r="L9" s="25">
        <f>Revenue!L10</f>
        <v>43200000</v>
      </c>
      <c r="M9" s="25">
        <f>Revenue!M10</f>
        <v>63360000</v>
      </c>
      <c r="N9" s="25">
        <f>Revenue!N10</f>
        <v>80640000</v>
      </c>
      <c r="O9" s="25">
        <f>Revenue!O10</f>
        <v>115200000</v>
      </c>
    </row>
    <row r="10" spans="2:20" x14ac:dyDescent="0.25">
      <c r="B10" t="s">
        <v>113</v>
      </c>
      <c r="D10" t="s">
        <v>288</v>
      </c>
      <c r="G10" s="25">
        <f>Revenue!G11</f>
        <v>0</v>
      </c>
      <c r="H10" s="25">
        <f>Revenue!H11</f>
        <v>0</v>
      </c>
      <c r="I10" s="25">
        <f>Revenue!I11</f>
        <v>0</v>
      </c>
      <c r="J10" s="25">
        <f>Revenue!J11</f>
        <v>0</v>
      </c>
      <c r="K10" s="25">
        <f>Revenue!K11</f>
        <v>14400000</v>
      </c>
      <c r="L10" s="25">
        <f>Revenue!L11</f>
        <v>21600000</v>
      </c>
      <c r="M10" s="25">
        <f>Revenue!M11</f>
        <v>31680000</v>
      </c>
      <c r="N10" s="25">
        <f>Revenue!N11</f>
        <v>40320000</v>
      </c>
      <c r="O10" s="25">
        <f>Revenue!O11</f>
        <v>57600000</v>
      </c>
    </row>
    <row r="11" spans="2:20" x14ac:dyDescent="0.25">
      <c r="B11" s="47" t="s">
        <v>132</v>
      </c>
      <c r="C11" s="47"/>
      <c r="D11" t="s">
        <v>288</v>
      </c>
      <c r="E11" s="47"/>
      <c r="F11" s="47"/>
      <c r="G11" s="57">
        <f>SUM(G7:G10)</f>
        <v>0</v>
      </c>
      <c r="H11" s="57">
        <f t="shared" ref="H11:O11" si="0">SUM(H7:H10)</f>
        <v>0</v>
      </c>
      <c r="I11" s="57">
        <f t="shared" si="0"/>
        <v>0</v>
      </c>
      <c r="J11" s="57">
        <f t="shared" si="0"/>
        <v>0</v>
      </c>
      <c r="K11" s="57">
        <f t="shared" si="0"/>
        <v>1339200000</v>
      </c>
      <c r="L11" s="57">
        <f t="shared" si="0"/>
        <v>1540800000</v>
      </c>
      <c r="M11" s="57">
        <f t="shared" si="0"/>
        <v>1823040000</v>
      </c>
      <c r="N11" s="57">
        <f t="shared" si="0"/>
        <v>2360160000</v>
      </c>
      <c r="O11" s="57">
        <f t="shared" si="0"/>
        <v>2656800000</v>
      </c>
    </row>
    <row r="12" spans="2:20" x14ac:dyDescent="0.25">
      <c r="G12" s="25"/>
      <c r="H12" s="25"/>
      <c r="I12" s="25"/>
      <c r="J12" s="25"/>
      <c r="K12" s="25"/>
      <c r="L12" s="25"/>
      <c r="M12" s="25"/>
      <c r="N12" s="25"/>
      <c r="O12" s="25"/>
    </row>
    <row r="13" spans="2:20" x14ac:dyDescent="0.25">
      <c r="B13" t="s">
        <v>135</v>
      </c>
      <c r="D13" t="s">
        <v>288</v>
      </c>
      <c r="G13" s="25">
        <f>-'Cost of Sales'!G7</f>
        <v>0</v>
      </c>
      <c r="H13" s="25">
        <f>-'Cost of Sales'!H7</f>
        <v>0</v>
      </c>
      <c r="I13" s="25">
        <f>-'Cost of Sales'!I7</f>
        <v>0</v>
      </c>
      <c r="J13" s="25">
        <f>-'Cost of Sales'!J7</f>
        <v>0</v>
      </c>
      <c r="K13" s="25">
        <f>-'Cost of Sales'!K7</f>
        <v>-388800000</v>
      </c>
      <c r="L13" s="25">
        <f>-'Cost of Sales'!L7</f>
        <v>-450360000</v>
      </c>
      <c r="M13" s="25">
        <f>-'Cost of Sales'!M7</f>
        <v>-577476000</v>
      </c>
      <c r="N13" s="81">
        <f>-'Cost of Sales'!N7</f>
        <v>-670464000</v>
      </c>
      <c r="O13" s="81">
        <f>-'Cost of Sales'!O7</f>
        <v>-813240000</v>
      </c>
    </row>
    <row r="14" spans="2:20" x14ac:dyDescent="0.25">
      <c r="B14" s="47" t="s">
        <v>5</v>
      </c>
      <c r="C14" s="47"/>
      <c r="D14" s="47" t="s">
        <v>288</v>
      </c>
      <c r="E14" s="47"/>
      <c r="F14" s="47"/>
      <c r="G14" s="57">
        <f>G11+G13</f>
        <v>0</v>
      </c>
      <c r="H14" s="57">
        <f t="shared" ref="H14:O14" si="1">H11+H13</f>
        <v>0</v>
      </c>
      <c r="I14" s="57">
        <f t="shared" si="1"/>
        <v>0</v>
      </c>
      <c r="J14" s="57">
        <f t="shared" si="1"/>
        <v>0</v>
      </c>
      <c r="K14" s="57">
        <f t="shared" si="1"/>
        <v>950400000</v>
      </c>
      <c r="L14" s="57">
        <f t="shared" si="1"/>
        <v>1090440000</v>
      </c>
      <c r="M14" s="57">
        <f t="shared" si="1"/>
        <v>1245564000</v>
      </c>
      <c r="N14" s="25">
        <f t="shared" si="1"/>
        <v>1689696000</v>
      </c>
      <c r="O14" s="25">
        <f t="shared" si="1"/>
        <v>1843560000</v>
      </c>
    </row>
    <row r="16" spans="2:20" s="11" customFormat="1" x14ac:dyDescent="0.25">
      <c r="B16" s="11" t="s">
        <v>22</v>
      </c>
      <c r="D16" s="11" t="s">
        <v>73</v>
      </c>
      <c r="G16" s="49">
        <f>IFERROR(G14/G11,0)</f>
        <v>0</v>
      </c>
      <c r="H16" s="49">
        <f t="shared" ref="H16:O16" si="2">IFERROR(H14/H11,0)</f>
        <v>0</v>
      </c>
      <c r="I16" s="49">
        <f t="shared" si="2"/>
        <v>0</v>
      </c>
      <c r="J16" s="49">
        <f t="shared" si="2"/>
        <v>0</v>
      </c>
      <c r="K16" s="49">
        <f t="shared" si="2"/>
        <v>0.70967741935483875</v>
      </c>
      <c r="L16" s="49">
        <f t="shared" si="2"/>
        <v>0.70771028037383177</v>
      </c>
      <c r="M16" s="49">
        <f t="shared" si="2"/>
        <v>0.68323459715639812</v>
      </c>
      <c r="N16" s="73">
        <f t="shared" si="2"/>
        <v>0.71592434411226358</v>
      </c>
      <c r="O16" s="73">
        <f t="shared" si="2"/>
        <v>0.69390243902439019</v>
      </c>
    </row>
    <row r="18" spans="2:15" x14ac:dyDescent="0.25">
      <c r="B18" t="s">
        <v>48</v>
      </c>
      <c r="D18" t="s">
        <v>288</v>
      </c>
      <c r="G18" s="41">
        <f>-Scenarios!K78</f>
        <v>0</v>
      </c>
      <c r="H18" s="41">
        <f>-Scenarios!L78</f>
        <v>0</v>
      </c>
      <c r="I18" s="41">
        <f>-Scenarios!M78</f>
        <v>0</v>
      </c>
      <c r="J18" s="41">
        <f>-Scenarios!N78</f>
        <v>0</v>
      </c>
      <c r="K18" s="41">
        <f>-Scenarios!O78</f>
        <v>-66347580.174927108</v>
      </c>
      <c r="L18" s="41">
        <f>-Scenarios!P78</f>
        <v>-68516580.174927115</v>
      </c>
      <c r="M18" s="41">
        <f>-Scenarios!Q78</f>
        <v>-79257096.209912524</v>
      </c>
      <c r="N18" s="71">
        <f>-Scenarios!R78</f>
        <v>-81426096.209912524</v>
      </c>
      <c r="O18" s="71">
        <f>-Scenarios!S78</f>
        <v>-83595096.209912524</v>
      </c>
    </row>
    <row r="19" spans="2:15" x14ac:dyDescent="0.25">
      <c r="B19" t="s">
        <v>65</v>
      </c>
      <c r="D19" t="s">
        <v>288</v>
      </c>
      <c r="G19" s="41">
        <f>-Scenarios!K85</f>
        <v>0</v>
      </c>
      <c r="H19" s="41">
        <f>-Scenarios!L85</f>
        <v>0</v>
      </c>
      <c r="I19" s="41">
        <f>-Scenarios!M85</f>
        <v>0</v>
      </c>
      <c r="J19" s="41">
        <f>-Scenarios!N85</f>
        <v>0</v>
      </c>
      <c r="K19" s="41">
        <f>-Scenarios!O85</f>
        <v>-1980000</v>
      </c>
      <c r="L19" s="41">
        <f>-Scenarios!P85</f>
        <v>-1980000</v>
      </c>
      <c r="M19" s="41">
        <f>-Scenarios!Q85</f>
        <v>-1980000</v>
      </c>
      <c r="N19" s="41">
        <f>-Scenarios!R85</f>
        <v>-1980000</v>
      </c>
      <c r="O19" s="71">
        <f>-Scenarios!S85</f>
        <v>-1980000</v>
      </c>
    </row>
    <row r="20" spans="2:15" x14ac:dyDescent="0.25">
      <c r="B20" t="s">
        <v>70</v>
      </c>
      <c r="D20" t="s">
        <v>288</v>
      </c>
      <c r="G20" s="41">
        <f>-'Model Inputs'!G57</f>
        <v>0</v>
      </c>
      <c r="H20" s="41">
        <f>-'Model Inputs'!H57</f>
        <v>0</v>
      </c>
      <c r="I20" s="41">
        <f>-'Model Inputs'!I57</f>
        <v>0</v>
      </c>
      <c r="J20" s="41">
        <f>-'Model Inputs'!J57</f>
        <v>0</v>
      </c>
      <c r="K20" s="41">
        <f>-'Model Inputs'!K57</f>
        <v>0</v>
      </c>
      <c r="L20" s="41">
        <f>-'Model Inputs'!L57</f>
        <v>0</v>
      </c>
      <c r="M20" s="41">
        <f>-'Model Inputs'!M57</f>
        <v>0</v>
      </c>
      <c r="N20" s="41">
        <f>-'Model Inputs'!N57</f>
        <v>0</v>
      </c>
      <c r="O20" s="41">
        <f>-'Model Inputs'!O57</f>
        <v>0</v>
      </c>
    </row>
    <row r="21" spans="2:15" x14ac:dyDescent="0.25">
      <c r="B21" t="s">
        <v>189</v>
      </c>
      <c r="D21" s="19" t="s">
        <v>288</v>
      </c>
      <c r="G21" s="41"/>
      <c r="H21" s="41"/>
      <c r="I21" s="41"/>
      <c r="J21" s="41"/>
      <c r="K21" s="41"/>
      <c r="L21" s="41"/>
      <c r="M21" s="41"/>
      <c r="N21" s="41"/>
      <c r="O21" s="41"/>
    </row>
    <row r="22" spans="2:15" x14ac:dyDescent="0.25">
      <c r="B22" s="47" t="s">
        <v>7</v>
      </c>
      <c r="C22" s="47"/>
      <c r="D22" t="s">
        <v>288</v>
      </c>
      <c r="E22" s="47"/>
      <c r="F22" s="47"/>
      <c r="G22" s="57">
        <f>SUM(G18:G21)</f>
        <v>0</v>
      </c>
      <c r="H22" s="57">
        <f t="shared" ref="H22:O22" si="3">SUM(H18:H21)</f>
        <v>0</v>
      </c>
      <c r="I22" s="57">
        <f t="shared" si="3"/>
        <v>0</v>
      </c>
      <c r="J22" s="57">
        <f t="shared" si="3"/>
        <v>0</v>
      </c>
      <c r="K22" s="57">
        <f t="shared" si="3"/>
        <v>-68327580.174927115</v>
      </c>
      <c r="L22" s="57">
        <f>SUM(L18:L21)</f>
        <v>-70496580.174927115</v>
      </c>
      <c r="M22" s="57">
        <f t="shared" si="3"/>
        <v>-81237096.209912524</v>
      </c>
      <c r="N22" s="57">
        <f t="shared" si="3"/>
        <v>-83406096.209912524</v>
      </c>
      <c r="O22" s="57">
        <f t="shared" si="3"/>
        <v>-85575096.209912524</v>
      </c>
    </row>
    <row r="23" spans="2:15" x14ac:dyDescent="0.25">
      <c r="G23" s="25"/>
      <c r="H23" s="25"/>
      <c r="I23" s="25"/>
      <c r="J23" s="25"/>
      <c r="K23" s="25"/>
      <c r="L23" s="25"/>
      <c r="M23" s="25"/>
      <c r="N23" s="25"/>
      <c r="O23" s="25"/>
    </row>
    <row r="24" spans="2:15" s="11" customFormat="1" x14ac:dyDescent="0.25">
      <c r="B24" s="11" t="s">
        <v>191</v>
      </c>
      <c r="D24" t="s">
        <v>288</v>
      </c>
      <c r="G24" s="58">
        <f>G14+G22</f>
        <v>0</v>
      </c>
      <c r="H24" s="58">
        <f t="shared" ref="H24:O24" si="4">H14+H22</f>
        <v>0</v>
      </c>
      <c r="I24" s="58">
        <f t="shared" si="4"/>
        <v>0</v>
      </c>
      <c r="J24" s="58">
        <f t="shared" si="4"/>
        <v>0</v>
      </c>
      <c r="K24" s="58">
        <f t="shared" si="4"/>
        <v>882072419.82507288</v>
      </c>
      <c r="L24" s="61">
        <f>L14+L22</f>
        <v>1019943419.8250729</v>
      </c>
      <c r="M24" s="58">
        <f t="shared" si="4"/>
        <v>1164326903.7900875</v>
      </c>
      <c r="N24" s="58">
        <f t="shared" si="4"/>
        <v>1606289903.7900875</v>
      </c>
      <c r="O24" s="58">
        <f t="shared" si="4"/>
        <v>1757984903.7900875</v>
      </c>
    </row>
    <row r="26" spans="2:15" s="11" customFormat="1" x14ac:dyDescent="0.25">
      <c r="B26" s="11" t="s">
        <v>190</v>
      </c>
      <c r="D26" s="11" t="s">
        <v>73</v>
      </c>
      <c r="G26" s="49">
        <f>IFERROR(G24/G11,0)</f>
        <v>0</v>
      </c>
      <c r="H26" s="49">
        <f t="shared" ref="H26:O26" si="5">IFERROR(H24/H11,0)</f>
        <v>0</v>
      </c>
      <c r="I26" s="49">
        <f t="shared" si="5"/>
        <v>0</v>
      </c>
      <c r="J26" s="49">
        <f t="shared" si="5"/>
        <v>0</v>
      </c>
      <c r="K26" s="49">
        <f t="shared" si="5"/>
        <v>0.65865622746794572</v>
      </c>
      <c r="L26" s="49">
        <f t="shared" si="5"/>
        <v>0.66195704817307432</v>
      </c>
      <c r="M26" s="49">
        <f t="shared" si="5"/>
        <v>0.63867326212814168</v>
      </c>
      <c r="N26" s="49">
        <f t="shared" si="5"/>
        <v>0.68058517379757622</v>
      </c>
      <c r="O26" s="49">
        <f t="shared" si="5"/>
        <v>0.66169260154700671</v>
      </c>
    </row>
    <row r="28" spans="2:15" x14ac:dyDescent="0.25">
      <c r="B28" t="s">
        <v>192</v>
      </c>
      <c r="D28" t="s">
        <v>288</v>
      </c>
      <c r="G28" s="25">
        <f>-SUM(Depreciation!G7:G8)</f>
        <v>0</v>
      </c>
      <c r="H28" s="25">
        <f>-SUM(Depreciation!H7:H8)</f>
        <v>0</v>
      </c>
      <c r="I28" s="25">
        <f>-SUM(Depreciation!I7:I8)</f>
        <v>0</v>
      </c>
      <c r="J28" s="25">
        <f>-SUM(Depreciation!J7:J8)</f>
        <v>-3523809.5238095238</v>
      </c>
      <c r="K28" s="25">
        <f>-SUM(Depreciation!K7:K8)</f>
        <v>-11923809.523809524</v>
      </c>
      <c r="L28" s="25">
        <f>-SUM(Depreciation!L7:L8)</f>
        <v>-12173809.523809524</v>
      </c>
      <c r="M28" s="25">
        <f>-SUM(Depreciation!M7:M8)</f>
        <v>-15157142.857142858</v>
      </c>
      <c r="N28" s="25">
        <f>-SUM(Depreciation!N7:N8)</f>
        <v>-17057142.857142858</v>
      </c>
      <c r="O28" s="25">
        <f>-SUM(Depreciation!O7:O8)</f>
        <v>-16207142.857142858</v>
      </c>
    </row>
    <row r="29" spans="2:15" x14ac:dyDescent="0.25">
      <c r="B29" s="47" t="s">
        <v>193</v>
      </c>
      <c r="C29" s="47"/>
      <c r="D29" s="47" t="s">
        <v>288</v>
      </c>
      <c r="E29" s="47"/>
      <c r="F29" s="47"/>
      <c r="G29" s="57">
        <f>G24+G28</f>
        <v>0</v>
      </c>
      <c r="H29" s="57">
        <f t="shared" ref="H29:O29" si="6">H24+H28</f>
        <v>0</v>
      </c>
      <c r="I29" s="57">
        <f t="shared" si="6"/>
        <v>0</v>
      </c>
      <c r="J29" s="57">
        <f t="shared" si="6"/>
        <v>-3523809.5238095238</v>
      </c>
      <c r="K29" s="57">
        <f t="shared" si="6"/>
        <v>870148610.30126333</v>
      </c>
      <c r="L29" s="57">
        <f>L24+L28</f>
        <v>1007769610.3012633</v>
      </c>
      <c r="M29" s="57">
        <f t="shared" si="6"/>
        <v>1149169760.9329445</v>
      </c>
      <c r="N29" s="57">
        <f t="shared" si="6"/>
        <v>1589232760.9329445</v>
      </c>
      <c r="O29" s="57">
        <f t="shared" si="6"/>
        <v>1741777760.9329445</v>
      </c>
    </row>
    <row r="31" spans="2:15" s="11" customFormat="1" x14ac:dyDescent="0.25">
      <c r="B31" s="11" t="s">
        <v>194</v>
      </c>
      <c r="D31" s="11" t="s">
        <v>73</v>
      </c>
      <c r="G31" s="49">
        <f>IFERROR(G29/G11,0)</f>
        <v>0</v>
      </c>
      <c r="H31" s="49">
        <f t="shared" ref="H31:O31" si="7">IFERROR(H29/H11,0)</f>
        <v>0</v>
      </c>
      <c r="I31" s="49">
        <f t="shared" si="7"/>
        <v>0</v>
      </c>
      <c r="J31" s="49">
        <f t="shared" si="7"/>
        <v>0</v>
      </c>
      <c r="K31" s="49">
        <f t="shared" si="7"/>
        <v>0.64975254652125403</v>
      </c>
      <c r="L31" s="49">
        <f t="shared" si="7"/>
        <v>0.6540560814520141</v>
      </c>
      <c r="M31" s="49">
        <f t="shared" si="7"/>
        <v>0.63035904913383389</v>
      </c>
      <c r="N31" s="49">
        <f t="shared" si="7"/>
        <v>0.67335806086576522</v>
      </c>
      <c r="O31" s="49">
        <f t="shared" si="7"/>
        <v>0.65559235205244826</v>
      </c>
    </row>
    <row r="33" spans="2:15" x14ac:dyDescent="0.25">
      <c r="B33" t="s">
        <v>195</v>
      </c>
      <c r="D33" t="s">
        <v>288</v>
      </c>
      <c r="G33" s="41">
        <f ca="1">Debt!G57</f>
        <v>0</v>
      </c>
      <c r="H33" s="41">
        <f ca="1">Debt!H57</f>
        <v>0</v>
      </c>
      <c r="I33" s="41">
        <f ca="1">Debt!I57</f>
        <v>0</v>
      </c>
      <c r="J33" s="41">
        <f ca="1">Debt!J57</f>
        <v>2051282.0512820513</v>
      </c>
      <c r="K33" s="41">
        <f ca="1">Debt!K57</f>
        <v>16994583.032214385</v>
      </c>
      <c r="L33" s="41">
        <f ca="1">Debt!L57</f>
        <v>48976157.032408752</v>
      </c>
      <c r="M33" s="41">
        <f ca="1">Debt!M57</f>
        <v>85656801.400973901</v>
      </c>
      <c r="N33" s="41">
        <f ca="1">Debt!N57</f>
        <v>128314281.69019276</v>
      </c>
      <c r="O33" s="41">
        <f ca="1">Debt!O57</f>
        <v>181923757.62144956</v>
      </c>
    </row>
    <row r="34" spans="2:15" x14ac:dyDescent="0.25">
      <c r="B34" t="s">
        <v>196</v>
      </c>
      <c r="D34" s="19" t="s">
        <v>288</v>
      </c>
      <c r="G34" s="41">
        <f ca="1">Debt!G58</f>
        <v>0</v>
      </c>
      <c r="H34" s="41">
        <f ca="1">Debt!H58</f>
        <v>0</v>
      </c>
      <c r="I34" s="41">
        <f ca="1">Debt!I58</f>
        <v>0</v>
      </c>
      <c r="J34" s="41">
        <f ca="1">Debt!J58</f>
        <v>0</v>
      </c>
      <c r="K34" s="41">
        <f ca="1">Debt!K58</f>
        <v>-10000000</v>
      </c>
      <c r="L34" s="41">
        <f ca="1">Debt!L58</f>
        <v>-8000000</v>
      </c>
      <c r="M34" s="41">
        <f ca="1">Debt!M58</f>
        <v>-6000000</v>
      </c>
      <c r="N34" s="41">
        <f ca="1">Debt!N58</f>
        <v>-4000000</v>
      </c>
      <c r="O34" s="41">
        <f ca="1">Debt!O58</f>
        <v>-2000000</v>
      </c>
    </row>
    <row r="35" spans="2:15" x14ac:dyDescent="0.25">
      <c r="B35" s="47" t="s">
        <v>197</v>
      </c>
      <c r="C35" s="47"/>
      <c r="D35" t="s">
        <v>288</v>
      </c>
      <c r="E35" s="47"/>
      <c r="F35" s="47"/>
      <c r="G35" s="57">
        <f ca="1">SUM(G29,G33:G34)</f>
        <v>0</v>
      </c>
      <c r="H35" s="57">
        <f t="shared" ref="H35:O35" ca="1" si="8">SUM(H29,H33:H34)</f>
        <v>0</v>
      </c>
      <c r="I35" s="57">
        <f t="shared" ca="1" si="8"/>
        <v>0</v>
      </c>
      <c r="J35" s="57">
        <f t="shared" ca="1" si="8"/>
        <v>-1472527.4725274725</v>
      </c>
      <c r="K35" s="57">
        <f t="shared" ca="1" si="8"/>
        <v>877143193.33347774</v>
      </c>
      <c r="L35" s="57">
        <f ca="1">SUM(L29,L33:L34)</f>
        <v>1048745767.333672</v>
      </c>
      <c r="M35" s="57">
        <f t="shared" ca="1" si="8"/>
        <v>1228826562.3339183</v>
      </c>
      <c r="N35" s="57">
        <f t="shared" ca="1" si="8"/>
        <v>1713547042.6231372</v>
      </c>
      <c r="O35" s="57">
        <f t="shared" ca="1" si="8"/>
        <v>1921701518.554394</v>
      </c>
    </row>
    <row r="37" spans="2:15" x14ac:dyDescent="0.25">
      <c r="B37" t="s">
        <v>71</v>
      </c>
      <c r="D37" t="s">
        <v>288</v>
      </c>
      <c r="G37" s="41">
        <f ca="1">-Tax!G18</f>
        <v>0</v>
      </c>
      <c r="H37" s="41">
        <f ca="1">-Tax!H18</f>
        <v>0</v>
      </c>
      <c r="I37" s="41">
        <f ca="1">-Tax!I18</f>
        <v>0</v>
      </c>
      <c r="J37" s="41">
        <f ca="1">-Tax!J18</f>
        <v>0</v>
      </c>
      <c r="K37" s="41">
        <f ca="1">-Tax!K18</f>
        <v>-263142958.0000433</v>
      </c>
      <c r="L37" s="41">
        <f ca="1">-Tax!L18</f>
        <v>-314623730.20010161</v>
      </c>
      <c r="M37" s="41">
        <f ca="1">-Tax!M18</f>
        <v>-368647968.70017546</v>
      </c>
      <c r="N37" s="41">
        <f ca="1">-Tax!N18</f>
        <v>-514064112.78694117</v>
      </c>
      <c r="O37" s="41">
        <f ca="1">-Tax!O18</f>
        <v>-576510455.56631815</v>
      </c>
    </row>
    <row r="39" spans="2:15" s="6" customFormat="1" x14ac:dyDescent="0.25">
      <c r="B39" s="48" t="s">
        <v>173</v>
      </c>
      <c r="C39" s="48"/>
      <c r="D39" s="48" t="s">
        <v>288</v>
      </c>
      <c r="E39" s="48"/>
      <c r="F39" s="48"/>
      <c r="G39" s="59">
        <f t="shared" ref="G39:O39" ca="1" si="9">G35+G37</f>
        <v>0</v>
      </c>
      <c r="H39" s="59">
        <f t="shared" ca="1" si="9"/>
        <v>0</v>
      </c>
      <c r="I39" s="59">
        <f t="shared" ca="1" si="9"/>
        <v>0</v>
      </c>
      <c r="J39" s="59">
        <f t="shared" ca="1" si="9"/>
        <v>-1472527.4725274725</v>
      </c>
      <c r="K39" s="59">
        <f t="shared" ca="1" si="9"/>
        <v>614000235.33343446</v>
      </c>
      <c r="L39" s="59">
        <f t="shared" ca="1" si="9"/>
        <v>734122037.13357043</v>
      </c>
      <c r="M39" s="59">
        <f t="shared" ca="1" si="9"/>
        <v>860178593.63374281</v>
      </c>
      <c r="N39" s="59">
        <f t="shared" ca="1" si="9"/>
        <v>1199482929.8361959</v>
      </c>
      <c r="O39" s="59">
        <f t="shared" ca="1" si="9"/>
        <v>1345191062.9880757</v>
      </c>
    </row>
    <row r="40" spans="2:15" x14ac:dyDescent="0.25">
      <c r="K40" s="34"/>
    </row>
    <row r="41" spans="2:15" s="11" customFormat="1" x14ac:dyDescent="0.25">
      <c r="B41" s="11" t="s">
        <v>24</v>
      </c>
      <c r="D41" s="11" t="s">
        <v>73</v>
      </c>
      <c r="G41" s="49">
        <f t="shared" ref="G41:O41" ca="1" si="10">IFERROR(G39/G11,0)</f>
        <v>0</v>
      </c>
      <c r="H41" s="49">
        <f t="shared" ca="1" si="10"/>
        <v>0</v>
      </c>
      <c r="I41" s="49">
        <f t="shared" ca="1" si="10"/>
        <v>0</v>
      </c>
      <c r="J41" s="49">
        <f t="shared" ca="1" si="10"/>
        <v>0</v>
      </c>
      <c r="K41" s="49">
        <f t="shared" ca="1" si="10"/>
        <v>0.4584828519514893</v>
      </c>
      <c r="L41" s="49">
        <f t="shared" ca="1" si="10"/>
        <v>0.47645511236602445</v>
      </c>
      <c r="M41" s="49">
        <f t="shared" ca="1" si="10"/>
        <v>0.47183747676065407</v>
      </c>
      <c r="N41" s="49">
        <f t="shared" ca="1" si="10"/>
        <v>0.50822102308156902</v>
      </c>
      <c r="O41" s="49">
        <f t="shared" ca="1" si="10"/>
        <v>0.50632003274167259</v>
      </c>
    </row>
    <row r="43" spans="2:15" x14ac:dyDescent="0.25">
      <c r="K43" s="45"/>
    </row>
  </sheetData>
  <hyperlinks>
    <hyperlink ref="O1" location="'Table of Content'!A1" display="&gt;&gt; Table of Contents" xr:uid="{D03403EB-8F66-4F9E-B62E-8E3B287A67D3}"/>
  </hyperlinks>
  <pageMargins left="0.7" right="0.7" top="0.75" bottom="0.75" header="0.3" footer="0.3"/>
  <pageSetup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6FA8-D157-4717-A4E3-C3CBA38FC487}">
  <sheetPr>
    <tabColor theme="9" tint="-0.499984740745262"/>
  </sheetPr>
  <dimension ref="B1:T40"/>
  <sheetViews>
    <sheetView showGridLines="0" zoomScale="80" zoomScaleNormal="80" workbookViewId="0">
      <selection activeCell="H46" sqref="H46"/>
    </sheetView>
  </sheetViews>
  <sheetFormatPr defaultRowHeight="15" x14ac:dyDescent="0.25"/>
  <cols>
    <col min="2" max="2" width="3.140625" style="6" customWidth="1"/>
    <col min="3" max="3" width="24.28515625" customWidth="1"/>
    <col min="5" max="5" width="10.7109375" customWidth="1"/>
    <col min="6" max="6" width="11.140625" customWidth="1"/>
    <col min="7" max="9" width="14.5703125" customWidth="1"/>
    <col min="10" max="10" width="18.7109375" bestFit="1" customWidth="1"/>
    <col min="11" max="11" width="22.85546875" customWidth="1"/>
    <col min="12" max="12" width="19.140625" bestFit="1" customWidth="1"/>
    <col min="13" max="14" width="21.140625" bestFit="1" customWidth="1"/>
    <col min="15" max="15" width="24.5703125" bestFit="1" customWidth="1"/>
  </cols>
  <sheetData>
    <row r="1" spans="2:20" s="14" customFormat="1" x14ac:dyDescent="0.25">
      <c r="B1" s="46"/>
      <c r="C1" s="14" t="str">
        <f>Summary!D3</f>
        <v>M-pharmaceutical</v>
      </c>
      <c r="K1" s="14" t="str">
        <f>Scenarios!K1</f>
        <v>Currently running scenario: Optimistic</v>
      </c>
      <c r="O1" s="52" t="s">
        <v>237</v>
      </c>
      <c r="T1" s="14" t="str">
        <f>Summary!K2</f>
        <v>Last Updated: 20-January-2025</v>
      </c>
    </row>
    <row r="3" spans="2:20" ht="21" x14ac:dyDescent="0.35">
      <c r="B3" s="16" t="s">
        <v>9</v>
      </c>
      <c r="C3" s="16"/>
      <c r="D3" s="16"/>
      <c r="E3" s="16"/>
      <c r="F3" s="16"/>
      <c r="G3" s="16"/>
      <c r="H3" s="16"/>
    </row>
    <row r="5" spans="2:20" x14ac:dyDescent="0.25">
      <c r="B5" s="20"/>
      <c r="C5" s="20"/>
      <c r="D5" s="20"/>
      <c r="E5" s="20"/>
      <c r="F5" s="21"/>
      <c r="G5" s="22">
        <v>2016</v>
      </c>
      <c r="H5" s="22">
        <v>2017</v>
      </c>
      <c r="I5" s="22">
        <v>2018</v>
      </c>
      <c r="J5" s="22">
        <v>2019</v>
      </c>
      <c r="K5" s="22">
        <v>2020</v>
      </c>
      <c r="L5" s="22">
        <v>2021</v>
      </c>
      <c r="M5" s="22">
        <v>2022</v>
      </c>
      <c r="N5" s="22">
        <v>2023</v>
      </c>
      <c r="O5" s="22">
        <v>2024</v>
      </c>
    </row>
    <row r="8" spans="2:20" s="6" customFormat="1" x14ac:dyDescent="0.25">
      <c r="B8" s="6" t="s">
        <v>10</v>
      </c>
      <c r="E8" s="6" t="s">
        <v>288</v>
      </c>
      <c r="G8" s="23">
        <f>SUM(G9:G11)</f>
        <v>0</v>
      </c>
      <c r="H8" s="23">
        <f t="shared" ref="H8:O8" si="0">SUM(H9:H11)</f>
        <v>0</v>
      </c>
      <c r="I8" s="23">
        <f t="shared" si="0"/>
        <v>0</v>
      </c>
      <c r="J8" s="23">
        <f t="shared" si="0"/>
        <v>66476190.476190478</v>
      </c>
      <c r="K8" s="23">
        <f t="shared" si="0"/>
        <v>94552380.952380955</v>
      </c>
      <c r="L8" s="23">
        <f t="shared" si="0"/>
        <v>83378571.428571433</v>
      </c>
      <c r="M8" s="23">
        <f t="shared" si="0"/>
        <v>96221428.571428567</v>
      </c>
      <c r="N8" s="23">
        <f t="shared" si="0"/>
        <v>87164285.714285702</v>
      </c>
      <c r="O8" s="23">
        <f t="shared" si="0"/>
        <v>76457142.857142851</v>
      </c>
    </row>
    <row r="9" spans="2:20" x14ac:dyDescent="0.25">
      <c r="C9" t="s">
        <v>199</v>
      </c>
      <c r="E9" t="s">
        <v>288</v>
      </c>
      <c r="G9" s="25">
        <f>Depreciation!G37</f>
        <v>0</v>
      </c>
      <c r="H9" s="25">
        <f>Depreciation!H37</f>
        <v>0</v>
      </c>
      <c r="I9" s="25">
        <f>Depreciation!I37</f>
        <v>0</v>
      </c>
      <c r="J9" s="25">
        <f>Depreciation!J37</f>
        <v>0</v>
      </c>
      <c r="K9" s="25">
        <f>Depreciation!K37</f>
        <v>1600000</v>
      </c>
      <c r="L9" s="25">
        <f>Depreciation!L37</f>
        <v>1200000</v>
      </c>
      <c r="M9" s="25">
        <f>Depreciation!M37</f>
        <v>800000</v>
      </c>
      <c r="N9" s="25">
        <f>Depreciation!N37</f>
        <v>400000</v>
      </c>
      <c r="O9" s="25">
        <f>Depreciation!O37</f>
        <v>2000000</v>
      </c>
    </row>
    <row r="10" spans="2:20" x14ac:dyDescent="0.25">
      <c r="C10" t="s">
        <v>200</v>
      </c>
      <c r="E10" t="s">
        <v>288</v>
      </c>
      <c r="G10" s="25">
        <f>SUM(Depreciation!G32:G36)</f>
        <v>0</v>
      </c>
      <c r="H10" s="25">
        <f>SUM(Depreciation!H32:H36)</f>
        <v>0</v>
      </c>
      <c r="I10" s="25">
        <f>SUM(Depreciation!I32:I36)</f>
        <v>0</v>
      </c>
      <c r="J10" s="25">
        <f>SUM(Depreciation!J32:J36)</f>
        <v>66476190.476190478</v>
      </c>
      <c r="K10" s="25">
        <f>SUM(Depreciation!K32:K36)</f>
        <v>92952380.952380955</v>
      </c>
      <c r="L10" s="25">
        <f>SUM(Depreciation!L32:L36)</f>
        <v>82178571.428571433</v>
      </c>
      <c r="M10" s="25">
        <f>SUM(Depreciation!M32:M36)</f>
        <v>95421428.571428567</v>
      </c>
      <c r="N10" s="25">
        <f>SUM(Depreciation!N32:N36)</f>
        <v>86764285.714285702</v>
      </c>
      <c r="O10" s="25">
        <f>SUM(Depreciation!O32:O36)</f>
        <v>74457142.857142851</v>
      </c>
    </row>
    <row r="11" spans="2:20" x14ac:dyDescent="0.25">
      <c r="C11" t="s">
        <v>201</v>
      </c>
      <c r="E11" t="s">
        <v>288</v>
      </c>
      <c r="G11" s="25"/>
      <c r="H11" s="25"/>
      <c r="I11" s="25"/>
      <c r="J11" s="25"/>
      <c r="K11" s="25"/>
      <c r="L11" s="25"/>
      <c r="M11" s="25"/>
      <c r="N11" s="25"/>
      <c r="O11" s="25"/>
    </row>
    <row r="12" spans="2:20" x14ac:dyDescent="0.25">
      <c r="G12" s="25"/>
      <c r="H12" s="25"/>
      <c r="I12" s="25"/>
      <c r="J12" s="25"/>
      <c r="K12" s="25"/>
      <c r="L12" s="25"/>
      <c r="M12" s="25"/>
      <c r="N12" s="25"/>
      <c r="O12" s="25"/>
    </row>
    <row r="13" spans="2:20" s="6" customFormat="1" x14ac:dyDescent="0.25">
      <c r="B13" s="6" t="s">
        <v>11</v>
      </c>
      <c r="E13" t="s">
        <v>288</v>
      </c>
      <c r="G13" s="23">
        <f ca="1">SUM(G14:G18)</f>
        <v>0</v>
      </c>
      <c r="H13" s="23">
        <f t="shared" ref="H13:O13" ca="1" si="1">SUM(H14:H18)</f>
        <v>0</v>
      </c>
      <c r="I13" s="23">
        <f t="shared" ca="1" si="1"/>
        <v>0</v>
      </c>
      <c r="J13" s="23">
        <f t="shared" ca="1" si="1"/>
        <v>82051282.051282048</v>
      </c>
      <c r="K13" s="23">
        <f t="shared" ca="1" si="1"/>
        <v>670757792.66195083</v>
      </c>
      <c r="L13" s="23">
        <f t="shared" ca="1" si="1"/>
        <v>1445416159.867276</v>
      </c>
      <c r="M13" s="23">
        <f t="shared" ca="1" si="1"/>
        <v>2165687786.5826387</v>
      </c>
      <c r="N13" s="23">
        <f t="shared" ca="1" si="1"/>
        <v>3195907590.6141129</v>
      </c>
      <c r="O13" s="23">
        <f t="shared" ca="1" si="1"/>
        <v>4355358769.0383892</v>
      </c>
    </row>
    <row r="14" spans="2:20" x14ac:dyDescent="0.25">
      <c r="C14" t="s">
        <v>139</v>
      </c>
      <c r="E14" t="s">
        <v>288</v>
      </c>
      <c r="G14" s="25">
        <f>'Working Capital'!G14</f>
        <v>0</v>
      </c>
      <c r="H14" s="25">
        <f>'Working Capital'!H14</f>
        <v>0</v>
      </c>
      <c r="I14" s="25">
        <f>'Working Capital'!I14</f>
        <v>0</v>
      </c>
      <c r="J14" s="25">
        <f>'Working Capital'!J14</f>
        <v>0</v>
      </c>
      <c r="K14" s="25">
        <f>'Working Capital'!K14</f>
        <v>10652054.794520548</v>
      </c>
      <c r="L14" s="25">
        <f>'Working Capital'!L14</f>
        <v>12338630.136986302</v>
      </c>
      <c r="M14" s="25">
        <f>'Working Capital'!M14</f>
        <v>15821260.273972603</v>
      </c>
      <c r="N14" s="25">
        <f>'Working Capital'!N14</f>
        <v>18368876.712328766</v>
      </c>
      <c r="O14" s="25">
        <f>'Working Capital'!O14</f>
        <v>22280547.94520548</v>
      </c>
    </row>
    <row r="15" spans="2:20" x14ac:dyDescent="0.25">
      <c r="C15" t="s">
        <v>137</v>
      </c>
      <c r="E15" t="s">
        <v>288</v>
      </c>
      <c r="G15" s="25">
        <f>'Working Capital'!G12</f>
        <v>0</v>
      </c>
      <c r="H15" s="25">
        <f>'Working Capital'!H12</f>
        <v>0</v>
      </c>
      <c r="I15" s="25">
        <f>'Working Capital'!I12</f>
        <v>0</v>
      </c>
      <c r="J15" s="25">
        <f>'Working Capital'!J12</f>
        <v>0</v>
      </c>
      <c r="K15" s="25">
        <f>'Working Capital'!K12</f>
        <v>55035616.438356161</v>
      </c>
      <c r="L15" s="25">
        <f>'Working Capital'!L12</f>
        <v>63320547.94520548</v>
      </c>
      <c r="M15" s="25">
        <f>'Working Capital'!M12</f>
        <v>74919452.05479452</v>
      </c>
      <c r="N15" s="25">
        <f>'Working Capital'!N12</f>
        <v>96992876.712328762</v>
      </c>
      <c r="O15" s="25">
        <f>'Working Capital'!O12</f>
        <v>109183561.64383562</v>
      </c>
    </row>
    <row r="16" spans="2:20" x14ac:dyDescent="0.25">
      <c r="C16" t="s">
        <v>140</v>
      </c>
      <c r="E16" t="s">
        <v>288</v>
      </c>
      <c r="G16" s="25">
        <f>'Working Capital'!G15</f>
        <v>0</v>
      </c>
      <c r="H16" s="25">
        <f>'Working Capital'!H15</f>
        <v>0</v>
      </c>
      <c r="I16" s="25">
        <f>'Working Capital'!I15</f>
        <v>0</v>
      </c>
      <c r="J16" s="25">
        <f>'Working Capital'!J15</f>
        <v>0</v>
      </c>
      <c r="K16" s="25">
        <f>'Working Capital'!K15</f>
        <v>7338082.1917808224</v>
      </c>
      <c r="L16" s="25">
        <f>'Working Capital'!L15</f>
        <v>8442739.7260273974</v>
      </c>
      <c r="M16" s="25">
        <f>'Working Capital'!M15</f>
        <v>9989260.2739726026</v>
      </c>
      <c r="N16" s="25">
        <f>'Working Capital'!N15</f>
        <v>12932383.561643835</v>
      </c>
      <c r="O16" s="25">
        <f>'Working Capital'!O15</f>
        <v>14557808.219178082</v>
      </c>
    </row>
    <row r="17" spans="2:15" x14ac:dyDescent="0.25">
      <c r="G17" s="25"/>
      <c r="H17" s="25"/>
      <c r="I17" s="25"/>
      <c r="J17" s="25"/>
      <c r="K17" s="25"/>
      <c r="L17" s="25"/>
      <c r="M17" s="25"/>
      <c r="N17" s="25"/>
      <c r="O17" s="25"/>
    </row>
    <row r="18" spans="2:15" x14ac:dyDescent="0.25">
      <c r="C18" t="s">
        <v>202</v>
      </c>
      <c r="E18" t="s">
        <v>288</v>
      </c>
      <c r="G18" s="25">
        <f ca="1">F18+Cashflow!G38</f>
        <v>0</v>
      </c>
      <c r="H18" s="25">
        <f ca="1">G18+Cashflow!H38</f>
        <v>0</v>
      </c>
      <c r="I18" s="25">
        <f ca="1">H18+Cashflow!I38</f>
        <v>0</v>
      </c>
      <c r="J18" s="25">
        <f ca="1">I18+Cashflow!J38</f>
        <v>82051282.051282048</v>
      </c>
      <c r="K18" s="25">
        <f ca="1">J18+Cashflow!K38</f>
        <v>597732039.23729324</v>
      </c>
      <c r="L18" s="25">
        <f ca="1">K18+Cashflow!L38</f>
        <v>1361314242.0590568</v>
      </c>
      <c r="M18" s="25">
        <f ca="1">L18+Cashflow!M38</f>
        <v>2064957813.9798989</v>
      </c>
      <c r="N18" s="25">
        <f ca="1">M18+Cashflow!N38</f>
        <v>3067613453.6278114</v>
      </c>
      <c r="O18" s="25">
        <f ca="1">N18+Cashflow!O38</f>
        <v>4209336851.2301702</v>
      </c>
    </row>
    <row r="19" spans="2:15" x14ac:dyDescent="0.25">
      <c r="G19" s="25"/>
      <c r="H19" s="25"/>
      <c r="I19" s="25"/>
      <c r="J19" s="25"/>
      <c r="K19" s="25"/>
      <c r="L19" s="25"/>
      <c r="M19" s="25"/>
      <c r="N19" s="25"/>
      <c r="O19" s="25"/>
    </row>
    <row r="20" spans="2:15" s="6" customFormat="1" x14ac:dyDescent="0.25">
      <c r="B20" s="6" t="s">
        <v>203</v>
      </c>
      <c r="E20" s="6" t="s">
        <v>288</v>
      </c>
      <c r="G20" s="23">
        <f ca="1">G8+G13</f>
        <v>0</v>
      </c>
      <c r="H20" s="23">
        <f t="shared" ref="H20:O20" ca="1" si="2">H8+H13</f>
        <v>0</v>
      </c>
      <c r="I20" s="23">
        <f t="shared" ca="1" si="2"/>
        <v>0</v>
      </c>
      <c r="J20" s="23">
        <f t="shared" ca="1" si="2"/>
        <v>148527472.52747253</v>
      </c>
      <c r="K20" s="23">
        <f t="shared" ca="1" si="2"/>
        <v>765310173.61433172</v>
      </c>
      <c r="L20" s="23">
        <f t="shared" ca="1" si="2"/>
        <v>1528794731.2958474</v>
      </c>
      <c r="M20" s="23">
        <f t="shared" ca="1" si="2"/>
        <v>2261909215.1540675</v>
      </c>
      <c r="N20" s="23">
        <f t="shared" ca="1" si="2"/>
        <v>3283071876.3283987</v>
      </c>
      <c r="O20" s="23">
        <f t="shared" ca="1" si="2"/>
        <v>4431815911.8955317</v>
      </c>
    </row>
    <row r="21" spans="2:15" x14ac:dyDescent="0.25">
      <c r="G21" s="25"/>
      <c r="H21" s="25"/>
      <c r="I21" s="25"/>
      <c r="J21" s="25"/>
      <c r="K21" s="25"/>
      <c r="L21" s="25"/>
      <c r="M21" s="25"/>
      <c r="N21" s="25"/>
      <c r="O21" s="25"/>
    </row>
    <row r="22" spans="2:15" x14ac:dyDescent="0.25">
      <c r="G22" s="25"/>
      <c r="H22" s="25"/>
      <c r="I22" s="25"/>
      <c r="J22" s="25"/>
      <c r="K22" s="25"/>
      <c r="L22" s="25"/>
      <c r="M22" s="25"/>
      <c r="N22" s="25"/>
      <c r="O22" s="25"/>
    </row>
    <row r="23" spans="2:15" x14ac:dyDescent="0.25">
      <c r="B23" s="6" t="s">
        <v>12</v>
      </c>
      <c r="E23" s="6" t="s">
        <v>288</v>
      </c>
      <c r="G23" s="23">
        <f>SUM(G24:G26)</f>
        <v>0</v>
      </c>
      <c r="H23" s="23">
        <f t="shared" ref="H23:M23" si="3">SUM(H24:H26)</f>
        <v>0</v>
      </c>
      <c r="I23" s="23">
        <f t="shared" si="3"/>
        <v>0</v>
      </c>
      <c r="J23" s="23">
        <f t="shared" si="3"/>
        <v>50000000</v>
      </c>
      <c r="K23" s="23">
        <f t="shared" si="3"/>
        <v>40000000</v>
      </c>
      <c r="L23" s="23">
        <f t="shared" si="3"/>
        <v>30000000</v>
      </c>
      <c r="M23" s="23">
        <f t="shared" si="3"/>
        <v>20000000</v>
      </c>
      <c r="N23" s="23">
        <f>SUM(N24:N26)</f>
        <v>10000000</v>
      </c>
      <c r="O23" s="23">
        <f>SUM(O24:O26)</f>
        <v>0</v>
      </c>
    </row>
    <row r="24" spans="2:15" x14ac:dyDescent="0.25">
      <c r="C24" t="s">
        <v>204</v>
      </c>
      <c r="E24" t="s">
        <v>288</v>
      </c>
      <c r="G24" s="41">
        <f>Debt!G40+Debt!G47+Debt!G54</f>
        <v>0</v>
      </c>
      <c r="H24" s="41">
        <f>Debt!H40+Debt!H47+Debt!H54</f>
        <v>0</v>
      </c>
      <c r="I24" s="41">
        <f>Debt!I40+Debt!I47+Debt!I54</f>
        <v>0</v>
      </c>
      <c r="J24" s="41">
        <f>Debt!J40+Debt!J47+Debt!J54</f>
        <v>50000000</v>
      </c>
      <c r="K24" s="41">
        <f>Debt!K40+Debt!K47+Debt!K54</f>
        <v>40000000</v>
      </c>
      <c r="L24" s="41">
        <f>Debt!L40+Debt!L47+Debt!L54</f>
        <v>30000000</v>
      </c>
      <c r="M24" s="41">
        <f>Debt!M40+Debt!M47+Debt!M54</f>
        <v>20000000</v>
      </c>
      <c r="N24" s="41">
        <f>Debt!N40+Debt!N47+Debt!N54</f>
        <v>10000000</v>
      </c>
      <c r="O24" s="41">
        <f>Debt!O40+Debt!O47+Debt!O54</f>
        <v>0</v>
      </c>
    </row>
    <row r="25" spans="2:15" x14ac:dyDescent="0.25">
      <c r="C25" t="s">
        <v>205</v>
      </c>
      <c r="E25" t="s">
        <v>288</v>
      </c>
      <c r="G25" s="25">
        <f>Tax!G17</f>
        <v>0</v>
      </c>
      <c r="H25" s="25">
        <f>G25+Tax!H17</f>
        <v>0</v>
      </c>
      <c r="I25" s="25">
        <f>H25+Tax!I17</f>
        <v>0</v>
      </c>
      <c r="J25" s="25">
        <f>I25+Tax!J17</f>
        <v>0</v>
      </c>
      <c r="K25" s="25">
        <f>J25+Tax!K17</f>
        <v>0</v>
      </c>
      <c r="L25" s="25">
        <f>K25+Tax!L17</f>
        <v>0</v>
      </c>
      <c r="M25" s="25">
        <f>L25+Tax!M17</f>
        <v>0</v>
      </c>
      <c r="N25" s="25">
        <f>M25+Tax!N17</f>
        <v>0</v>
      </c>
      <c r="O25" s="25">
        <f>N25+Tax!O17</f>
        <v>0</v>
      </c>
    </row>
    <row r="26" spans="2:15" x14ac:dyDescent="0.25">
      <c r="C26" t="s">
        <v>206</v>
      </c>
      <c r="E26" t="s">
        <v>288</v>
      </c>
      <c r="G26" s="25"/>
      <c r="H26" s="25"/>
      <c r="I26" s="25"/>
      <c r="J26" s="25"/>
      <c r="K26" s="25"/>
      <c r="L26" s="25"/>
      <c r="M26" s="25"/>
      <c r="N26" s="25"/>
      <c r="O26" s="25"/>
    </row>
    <row r="27" spans="2:15" x14ac:dyDescent="0.25">
      <c r="G27" s="25"/>
      <c r="H27" s="25"/>
      <c r="I27" s="25"/>
      <c r="J27" s="25"/>
      <c r="K27" s="25"/>
      <c r="L27" s="25"/>
      <c r="M27" s="25"/>
      <c r="N27" s="25"/>
      <c r="O27" s="25"/>
    </row>
    <row r="28" spans="2:15" x14ac:dyDescent="0.25">
      <c r="B28" s="6" t="s">
        <v>13</v>
      </c>
      <c r="E28" s="6" t="s">
        <v>288</v>
      </c>
      <c r="G28" s="23">
        <f ca="1">SUM(G29:G31)</f>
        <v>0</v>
      </c>
      <c r="H28" s="23">
        <f t="shared" ref="H28:O28" ca="1" si="4">SUM(H29:H31)</f>
        <v>0</v>
      </c>
      <c r="I28" s="23">
        <f t="shared" ca="1" si="4"/>
        <v>0</v>
      </c>
      <c r="J28" s="23">
        <f t="shared" ca="1" si="4"/>
        <v>0</v>
      </c>
      <c r="K28" s="23">
        <f t="shared" ca="1" si="4"/>
        <v>12782465.753424658</v>
      </c>
      <c r="L28" s="23">
        <f t="shared" ca="1" si="4"/>
        <v>27144986.301369864</v>
      </c>
      <c r="M28" s="23">
        <f t="shared" ca="1" si="4"/>
        <v>34806772.602739729</v>
      </c>
      <c r="N28" s="23">
        <f t="shared" ca="1" si="4"/>
        <v>40411528.767123282</v>
      </c>
      <c r="O28" s="23">
        <f t="shared" ca="1" si="4"/>
        <v>49017205.479452059</v>
      </c>
    </row>
    <row r="29" spans="2:15" x14ac:dyDescent="0.25">
      <c r="C29" t="s">
        <v>207</v>
      </c>
      <c r="E29" t="s">
        <v>288</v>
      </c>
      <c r="G29" s="41">
        <f ca="1">Debt!G28</f>
        <v>0</v>
      </c>
      <c r="H29" s="41">
        <f ca="1">Debt!H28</f>
        <v>0</v>
      </c>
      <c r="I29" s="41">
        <f ca="1">Debt!I28</f>
        <v>0</v>
      </c>
      <c r="J29" s="41">
        <f ca="1">Debt!J28</f>
        <v>0</v>
      </c>
      <c r="K29" s="41">
        <f ca="1">Debt!K28</f>
        <v>0</v>
      </c>
      <c r="L29" s="41">
        <f ca="1">Debt!L28</f>
        <v>0</v>
      </c>
      <c r="M29" s="41">
        <f ca="1">Debt!M28</f>
        <v>0</v>
      </c>
      <c r="N29" s="41">
        <f ca="1">Debt!N28</f>
        <v>0</v>
      </c>
      <c r="O29" s="41">
        <f ca="1">Debt!O28</f>
        <v>0</v>
      </c>
    </row>
    <row r="30" spans="2:15" x14ac:dyDescent="0.25">
      <c r="C30" t="s">
        <v>138</v>
      </c>
      <c r="E30" t="s">
        <v>288</v>
      </c>
      <c r="G30" s="25">
        <f>'Working Capital'!G13</f>
        <v>0</v>
      </c>
      <c r="H30" s="25">
        <f>'Working Capital'!H13</f>
        <v>0</v>
      </c>
      <c r="I30" s="25">
        <f>'Working Capital'!I13</f>
        <v>0</v>
      </c>
      <c r="J30" s="25">
        <f>'Working Capital'!J13</f>
        <v>0</v>
      </c>
      <c r="K30" s="25">
        <f>'Working Capital'!K13</f>
        <v>10652054.794520548</v>
      </c>
      <c r="L30" s="25">
        <f>'Working Capital'!L13</f>
        <v>24677260.273972604</v>
      </c>
      <c r="M30" s="25">
        <f>'Working Capital'!M13</f>
        <v>31642520.547945205</v>
      </c>
      <c r="N30" s="25">
        <f>'Working Capital'!N13</f>
        <v>36737753.424657531</v>
      </c>
      <c r="O30" s="25">
        <f>'Working Capital'!O13</f>
        <v>44561095.89041096</v>
      </c>
    </row>
    <row r="31" spans="2:15" x14ac:dyDescent="0.25">
      <c r="C31" t="s">
        <v>141</v>
      </c>
      <c r="E31" t="s">
        <v>288</v>
      </c>
      <c r="G31" s="25">
        <f>'Working Capital'!G16</f>
        <v>0</v>
      </c>
      <c r="H31" s="25">
        <f>'Working Capital'!H16</f>
        <v>0</v>
      </c>
      <c r="I31" s="25">
        <f>'Working Capital'!I16</f>
        <v>0</v>
      </c>
      <c r="J31" s="25">
        <f>'Working Capital'!J16</f>
        <v>0</v>
      </c>
      <c r="K31" s="25">
        <f>'Working Capital'!K16</f>
        <v>2130410.9589041094</v>
      </c>
      <c r="L31" s="25">
        <f>'Working Capital'!L16</f>
        <v>2467726.0273972601</v>
      </c>
      <c r="M31" s="25">
        <f>'Working Capital'!M16</f>
        <v>3164252.0547945206</v>
      </c>
      <c r="N31" s="25">
        <f>'Working Capital'!N16</f>
        <v>3673775.3424657532</v>
      </c>
      <c r="O31" s="25">
        <f>'Working Capital'!O16</f>
        <v>4456109.5890410962</v>
      </c>
    </row>
    <row r="32" spans="2:15" x14ac:dyDescent="0.25">
      <c r="G32" s="25"/>
      <c r="H32" s="25"/>
      <c r="I32" s="25"/>
      <c r="J32" s="25"/>
      <c r="K32" s="25"/>
      <c r="L32" s="25"/>
      <c r="M32" s="25"/>
      <c r="N32" s="25"/>
      <c r="O32" s="25"/>
    </row>
    <row r="33" spans="2:15" x14ac:dyDescent="0.25">
      <c r="B33" s="6" t="s">
        <v>208</v>
      </c>
      <c r="E33" s="6" t="s">
        <v>288</v>
      </c>
      <c r="G33" s="23">
        <f ca="1">SUM(G34:G36)</f>
        <v>0</v>
      </c>
      <c r="H33" s="23">
        <f t="shared" ref="H33:O33" ca="1" si="5">SUM(H34:H36)</f>
        <v>0</v>
      </c>
      <c r="I33" s="23">
        <f t="shared" ca="1" si="5"/>
        <v>0</v>
      </c>
      <c r="J33" s="23">
        <f t="shared" ca="1" si="5"/>
        <v>98527472.527472526</v>
      </c>
      <c r="K33" s="23">
        <f t="shared" ca="1" si="5"/>
        <v>712527707.86090696</v>
      </c>
      <c r="L33" s="23">
        <f t="shared" ca="1" si="5"/>
        <v>1471649744.9944773</v>
      </c>
      <c r="M33" s="23">
        <f t="shared" ca="1" si="5"/>
        <v>2207102442.5513272</v>
      </c>
      <c r="N33" s="23">
        <f t="shared" ca="1" si="5"/>
        <v>3232660347.5612745</v>
      </c>
      <c r="O33" s="23">
        <f t="shared" ca="1" si="5"/>
        <v>4382798706.4160805</v>
      </c>
    </row>
    <row r="34" spans="2:15" x14ac:dyDescent="0.25">
      <c r="C34" t="s">
        <v>209</v>
      </c>
      <c r="E34" t="s">
        <v>288</v>
      </c>
      <c r="G34" s="41">
        <f>Equity!G10+Equity!G16</f>
        <v>0</v>
      </c>
      <c r="H34" s="41">
        <f>Equity!H10+Equity!H16</f>
        <v>0</v>
      </c>
      <c r="I34" s="41">
        <f>Equity!I10+Equity!I16</f>
        <v>0</v>
      </c>
      <c r="J34" s="41">
        <f>Equity!J10+Equity!J16</f>
        <v>100000000</v>
      </c>
      <c r="K34" s="41">
        <f>Equity!K10+Equity!K16</f>
        <v>100000000</v>
      </c>
      <c r="L34" s="41">
        <f>Equity!L10+Equity!L16</f>
        <v>125000000</v>
      </c>
      <c r="M34" s="41">
        <f>Equity!M10+Equity!M16</f>
        <v>125000000</v>
      </c>
      <c r="N34" s="41">
        <f>Equity!N10+Equity!N16</f>
        <v>125000000</v>
      </c>
      <c r="O34" s="41">
        <f>Equity!O10+Equity!O16</f>
        <v>125000000</v>
      </c>
    </row>
    <row r="35" spans="2:15" x14ac:dyDescent="0.25">
      <c r="C35" t="s">
        <v>210</v>
      </c>
      <c r="E35" t="s">
        <v>288</v>
      </c>
      <c r="G35" s="41">
        <f ca="1">Equity!G33</f>
        <v>0</v>
      </c>
      <c r="H35" s="41">
        <f ca="1">Equity!H33</f>
        <v>0</v>
      </c>
      <c r="I35" s="41">
        <f ca="1">Equity!I33</f>
        <v>0</v>
      </c>
      <c r="J35" s="41">
        <f ca="1">Equity!J33</f>
        <v>-1472527.4725274725</v>
      </c>
      <c r="K35" s="41">
        <f ca="1">Equity!K33</f>
        <v>612527707.86090696</v>
      </c>
      <c r="L35" s="41">
        <f ca="1">Equity!L33</f>
        <v>1346649744.9944773</v>
      </c>
      <c r="M35" s="41">
        <f ca="1">Equity!M33</f>
        <v>2082102442.5513272</v>
      </c>
      <c r="N35" s="41">
        <f ca="1">Equity!N33</f>
        <v>3107660347.5612745</v>
      </c>
      <c r="O35" s="41">
        <f ca="1">Equity!O33</f>
        <v>4257798706.41608</v>
      </c>
    </row>
    <row r="36" spans="2:15" x14ac:dyDescent="0.25">
      <c r="C36" t="s">
        <v>211</v>
      </c>
      <c r="E36" t="s">
        <v>288</v>
      </c>
      <c r="G36" s="25"/>
      <c r="H36" s="25"/>
      <c r="I36" s="25"/>
      <c r="J36" s="25"/>
      <c r="K36" s="25"/>
      <c r="L36" s="25"/>
      <c r="M36" s="25"/>
      <c r="N36" s="25"/>
      <c r="O36" s="25"/>
    </row>
    <row r="37" spans="2:15" x14ac:dyDescent="0.25">
      <c r="G37" s="25"/>
      <c r="H37" s="25"/>
      <c r="I37" s="25"/>
      <c r="J37" s="25"/>
      <c r="K37" s="25"/>
      <c r="L37" s="25"/>
      <c r="M37" s="25"/>
      <c r="N37" s="25"/>
      <c r="O37" s="25"/>
    </row>
    <row r="38" spans="2:15" x14ac:dyDescent="0.25">
      <c r="B38" s="6" t="s">
        <v>212</v>
      </c>
      <c r="E38" s="6" t="s">
        <v>288</v>
      </c>
      <c r="G38" s="23">
        <f ca="1">G23+G28+G33</f>
        <v>0</v>
      </c>
      <c r="H38" s="23">
        <f t="shared" ref="H38:O38" ca="1" si="6">H23+H28+H33</f>
        <v>0</v>
      </c>
      <c r="I38" s="23">
        <f t="shared" ca="1" si="6"/>
        <v>0</v>
      </c>
      <c r="J38" s="23">
        <f t="shared" ca="1" si="6"/>
        <v>148527472.52747253</v>
      </c>
      <c r="K38" s="23">
        <f t="shared" ca="1" si="6"/>
        <v>765310173.6143316</v>
      </c>
      <c r="L38" s="23">
        <f t="shared" ca="1" si="6"/>
        <v>1528794731.2958472</v>
      </c>
      <c r="M38" s="23">
        <f t="shared" ca="1" si="6"/>
        <v>2261909215.154067</v>
      </c>
      <c r="N38" s="23">
        <f t="shared" ca="1" si="6"/>
        <v>3283071876.3283978</v>
      </c>
      <c r="O38" s="23">
        <f t="shared" ca="1" si="6"/>
        <v>4431815911.8955326</v>
      </c>
    </row>
    <row r="39" spans="2:15" x14ac:dyDescent="0.25">
      <c r="G39" s="25"/>
      <c r="H39" s="25"/>
      <c r="I39" s="25"/>
      <c r="J39" s="25"/>
      <c r="K39" s="25"/>
      <c r="L39" s="25"/>
      <c r="M39" s="25"/>
      <c r="N39" s="25"/>
      <c r="O39" s="25"/>
    </row>
    <row r="40" spans="2:15" s="11" customFormat="1" x14ac:dyDescent="0.25">
      <c r="B40" s="11" t="s">
        <v>213</v>
      </c>
      <c r="E40" s="11" t="s">
        <v>288</v>
      </c>
      <c r="G40" s="58">
        <f ca="1">G20-G38</f>
        <v>0</v>
      </c>
      <c r="H40" s="58">
        <f t="shared" ref="H40:O40" ca="1" si="7">H20-H38</f>
        <v>0</v>
      </c>
      <c r="I40" s="58">
        <f t="shared" ca="1" si="7"/>
        <v>0</v>
      </c>
      <c r="J40" s="58">
        <f t="shared" ca="1" si="7"/>
        <v>0</v>
      </c>
      <c r="K40" s="58">
        <f t="shared" ca="1" si="7"/>
        <v>0</v>
      </c>
      <c r="L40" s="58">
        <f t="shared" ca="1" si="7"/>
        <v>0</v>
      </c>
      <c r="M40" s="58">
        <f t="shared" ca="1" si="7"/>
        <v>0</v>
      </c>
      <c r="N40" s="58">
        <f t="shared" ca="1" si="7"/>
        <v>0</v>
      </c>
      <c r="O40" s="58">
        <f t="shared" ca="1" si="7"/>
        <v>0</v>
      </c>
    </row>
  </sheetData>
  <hyperlinks>
    <hyperlink ref="O1" location="'Table of Content'!A1" display="&gt;&gt; Table of Contents" xr:uid="{8D9A3ECF-7064-46AF-9DE8-CD6341D6C1F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E133-916B-4E90-9A81-0926DB73ADC5}">
  <sheetPr>
    <tabColor theme="9" tint="-0.499984740745262"/>
  </sheetPr>
  <dimension ref="B1:T49"/>
  <sheetViews>
    <sheetView showGridLines="0" zoomScale="80" zoomScaleNormal="80" workbookViewId="0">
      <selection activeCell="H46" sqref="H46"/>
    </sheetView>
  </sheetViews>
  <sheetFormatPr defaultRowHeight="15" x14ac:dyDescent="0.25"/>
  <cols>
    <col min="2" max="2" width="3.140625" customWidth="1"/>
    <col min="3" max="3" width="24.28515625" customWidth="1"/>
    <col min="5" max="5" width="10.7109375" customWidth="1"/>
    <col min="6" max="6" width="11.140625" customWidth="1"/>
    <col min="7" max="9" width="14.5703125" customWidth="1"/>
    <col min="10" max="15" width="16.140625" customWidth="1"/>
  </cols>
  <sheetData>
    <row r="1" spans="2:20" s="14" customFormat="1" x14ac:dyDescent="0.25">
      <c r="C1" s="14" t="str">
        <f>Summary!D3</f>
        <v>M-pharmaceutical</v>
      </c>
      <c r="K1" s="14" t="str">
        <f>Scenarios!K1</f>
        <v>Currently running scenario: Optimistic</v>
      </c>
      <c r="O1" s="52" t="s">
        <v>237</v>
      </c>
      <c r="T1" s="14" t="str">
        <f>Summary!K2</f>
        <v>Last Updated: 20-January-2025</v>
      </c>
    </row>
    <row r="3" spans="2:20" ht="21" x14ac:dyDescent="0.35">
      <c r="B3" s="16" t="s">
        <v>15</v>
      </c>
      <c r="C3" s="16"/>
      <c r="D3" s="16"/>
      <c r="E3" s="16"/>
      <c r="F3" s="16"/>
      <c r="G3" s="16"/>
      <c r="H3" s="16"/>
    </row>
    <row r="5" spans="2:20" x14ac:dyDescent="0.25">
      <c r="B5" s="20"/>
      <c r="C5" s="20"/>
      <c r="D5" s="20"/>
      <c r="E5" s="20"/>
      <c r="F5" s="21"/>
      <c r="G5" s="22">
        <v>2016</v>
      </c>
      <c r="H5" s="22">
        <v>2017</v>
      </c>
      <c r="I5" s="22">
        <v>2018</v>
      </c>
      <c r="J5" s="22">
        <v>2019</v>
      </c>
      <c r="K5" s="22">
        <v>2020</v>
      </c>
      <c r="L5" s="22">
        <v>2021</v>
      </c>
      <c r="M5" s="22">
        <v>2022</v>
      </c>
      <c r="N5" s="22">
        <v>2023</v>
      </c>
      <c r="O5" s="22">
        <v>2024</v>
      </c>
    </row>
    <row r="6" spans="2:20" x14ac:dyDescent="0.25">
      <c r="B6" s="6"/>
    </row>
    <row r="8" spans="2:20" s="6" customFormat="1" x14ac:dyDescent="0.25">
      <c r="B8" s="6" t="s">
        <v>16</v>
      </c>
      <c r="E8" s="6" t="s">
        <v>288</v>
      </c>
      <c r="G8" s="23">
        <f ca="1">SUM(G9:G19)</f>
        <v>0</v>
      </c>
      <c r="H8" s="23">
        <f t="shared" ref="H8:I8" ca="1" si="0">SUM(H9:H19)</f>
        <v>0</v>
      </c>
      <c r="I8" s="23">
        <f t="shared" ca="1" si="0"/>
        <v>0</v>
      </c>
      <c r="J8" s="23">
        <f ca="1">SUM(J9:J19)</f>
        <v>0</v>
      </c>
      <c r="K8" s="23">
        <f ca="1">SUM(K9:K19)</f>
        <v>558686174.15379679</v>
      </c>
      <c r="L8" s="23">
        <f t="shared" ref="L8" ca="1" si="1">SUM(L9:L19)</f>
        <v>708606045.7893548</v>
      </c>
      <c r="M8" s="23">
        <f t="shared" ref="M8" ca="1" si="2">SUM(M9:M19)</f>
        <v>786712666.59676099</v>
      </c>
      <c r="N8" s="23">
        <f t="shared" ref="N8" ca="1" si="3">SUM(N9:N19)</f>
        <v>1070266382.7839681</v>
      </c>
      <c r="O8" s="23">
        <f t="shared" ref="O8" ca="1" si="4">SUM(O9:O19)</f>
        <v>1172352344.1141801</v>
      </c>
    </row>
    <row r="9" spans="2:20" x14ac:dyDescent="0.25">
      <c r="C9" t="s">
        <v>8</v>
      </c>
      <c r="E9" t="s">
        <v>288</v>
      </c>
      <c r="G9" s="25">
        <f ca="1">'Income Statement'!G39</f>
        <v>0</v>
      </c>
      <c r="H9" s="25">
        <f ca="1">'Income Statement'!H39</f>
        <v>0</v>
      </c>
      <c r="I9" s="25">
        <f ca="1">'Income Statement'!I39</f>
        <v>0</v>
      </c>
      <c r="J9" s="25">
        <f ca="1">'Income Statement'!J39</f>
        <v>-1472527.4725274725</v>
      </c>
      <c r="K9" s="25">
        <f ca="1">'Income Statement'!K39</f>
        <v>614000235.33343446</v>
      </c>
      <c r="L9" s="25">
        <f ca="1">'Income Statement'!L39</f>
        <v>734122037.13357043</v>
      </c>
      <c r="M9" s="25">
        <f ca="1">'Income Statement'!M39</f>
        <v>860178593.63374281</v>
      </c>
      <c r="N9" s="25">
        <f ca="1">'Income Statement'!N39</f>
        <v>1199482929.8361959</v>
      </c>
      <c r="O9" s="25">
        <f ca="1">'Income Statement'!O39</f>
        <v>1345191062.9880757</v>
      </c>
    </row>
    <row r="10" spans="2:20" x14ac:dyDescent="0.25">
      <c r="C10" s="51" t="s">
        <v>215</v>
      </c>
      <c r="E10" t="s">
        <v>288</v>
      </c>
      <c r="G10" s="25">
        <f>-'Income Statement'!G28</f>
        <v>0</v>
      </c>
      <c r="H10" s="25">
        <f>-'Income Statement'!H28</f>
        <v>0</v>
      </c>
      <c r="I10" s="25">
        <f>-'Income Statement'!I28</f>
        <v>0</v>
      </c>
      <c r="J10" s="25">
        <f>-'Income Statement'!J28</f>
        <v>3523809.5238095238</v>
      </c>
      <c r="K10" s="25">
        <f>-'Income Statement'!K28</f>
        <v>11923809.523809524</v>
      </c>
      <c r="L10" s="25">
        <f>-'Income Statement'!L28</f>
        <v>12173809.523809524</v>
      </c>
      <c r="M10" s="25">
        <f>-'Income Statement'!M28</f>
        <v>15157142.857142858</v>
      </c>
      <c r="N10" s="25">
        <f>-'Income Statement'!N28</f>
        <v>17057142.857142858</v>
      </c>
      <c r="O10" s="25">
        <f>-'Income Statement'!O28</f>
        <v>16207142.857142858</v>
      </c>
    </row>
    <row r="11" spans="2:20" x14ac:dyDescent="0.25">
      <c r="C11" s="51" t="s">
        <v>216</v>
      </c>
      <c r="E11" t="s">
        <v>288</v>
      </c>
      <c r="G11" s="25">
        <f ca="1">-'Income Statement'!G33</f>
        <v>0</v>
      </c>
      <c r="H11" s="25">
        <f ca="1">-'Income Statement'!H33</f>
        <v>0</v>
      </c>
      <c r="I11" s="25">
        <f ca="1">-'Income Statement'!I33</f>
        <v>0</v>
      </c>
      <c r="J11" s="25">
        <f ca="1">-'Income Statement'!J33</f>
        <v>-2051282.0512820513</v>
      </c>
      <c r="K11" s="25">
        <f ca="1">-'Income Statement'!K33</f>
        <v>-16994583.032214385</v>
      </c>
      <c r="L11" s="25">
        <f ca="1">-'Income Statement'!L33</f>
        <v>-48976157.032408752</v>
      </c>
      <c r="M11" s="25">
        <f ca="1">-'Income Statement'!M33</f>
        <v>-85656801.400973901</v>
      </c>
      <c r="N11" s="25">
        <f ca="1">-'Income Statement'!N33</f>
        <v>-128314281.69019276</v>
      </c>
      <c r="O11" s="25">
        <f ca="1">-'Income Statement'!O33</f>
        <v>-181923757.62144956</v>
      </c>
    </row>
    <row r="12" spans="2:20" x14ac:dyDescent="0.25">
      <c r="C12" s="51" t="s">
        <v>217</v>
      </c>
      <c r="E12" t="s">
        <v>288</v>
      </c>
      <c r="G12" s="25">
        <f ca="1">-'Income Statement'!G34</f>
        <v>0</v>
      </c>
      <c r="H12" s="25">
        <f ca="1">-'Income Statement'!H34</f>
        <v>0</v>
      </c>
      <c r="I12" s="25">
        <f ca="1">-'Income Statement'!I34</f>
        <v>0</v>
      </c>
      <c r="J12" s="25">
        <f ca="1">-'Income Statement'!J34</f>
        <v>0</v>
      </c>
      <c r="K12" s="25">
        <f ca="1">-'Income Statement'!K34</f>
        <v>10000000</v>
      </c>
      <c r="L12" s="25">
        <f ca="1">-'Income Statement'!L34</f>
        <v>8000000</v>
      </c>
      <c r="M12" s="25">
        <f ca="1">-'Income Statement'!M34</f>
        <v>6000000</v>
      </c>
      <c r="N12" s="25">
        <f ca="1">-'Income Statement'!N34</f>
        <v>4000000</v>
      </c>
      <c r="O12" s="25">
        <f ca="1">-'Income Statement'!O34</f>
        <v>2000000</v>
      </c>
    </row>
    <row r="13" spans="2:20" x14ac:dyDescent="0.25">
      <c r="C13" t="s">
        <v>218</v>
      </c>
      <c r="E13" t="s">
        <v>288</v>
      </c>
      <c r="G13" s="25">
        <f>'Balance Sheet'!F14-'Balance Sheet'!G14</f>
        <v>0</v>
      </c>
      <c r="H13" s="25">
        <f>'Balance Sheet'!G14-'Balance Sheet'!H14</f>
        <v>0</v>
      </c>
      <c r="I13" s="25">
        <f>'Balance Sheet'!H14-'Balance Sheet'!I14</f>
        <v>0</v>
      </c>
      <c r="J13" s="25">
        <f>'Balance Sheet'!I14-'Balance Sheet'!J14</f>
        <v>0</v>
      </c>
      <c r="K13" s="25">
        <f>'Balance Sheet'!J14-'Balance Sheet'!K14</f>
        <v>-10652054.794520548</v>
      </c>
      <c r="L13" s="25">
        <f>'Balance Sheet'!K14-'Balance Sheet'!L14</f>
        <v>-1686575.3424657546</v>
      </c>
      <c r="M13" s="25">
        <f>'Balance Sheet'!L14-'Balance Sheet'!M14</f>
        <v>-3482630.1369863003</v>
      </c>
      <c r="N13" s="25">
        <f>'Balance Sheet'!M14-'Balance Sheet'!N14</f>
        <v>-2547616.438356163</v>
      </c>
      <c r="O13" s="25">
        <f>'Balance Sheet'!N14-'Balance Sheet'!O14</f>
        <v>-3911671.2328767143</v>
      </c>
    </row>
    <row r="14" spans="2:20" x14ac:dyDescent="0.25">
      <c r="C14" t="s">
        <v>219</v>
      </c>
      <c r="E14" t="s">
        <v>288</v>
      </c>
      <c r="G14" s="25">
        <f>'Balance Sheet'!F15-'Balance Sheet'!G15</f>
        <v>0</v>
      </c>
      <c r="H14" s="25">
        <f>'Balance Sheet'!G15-'Balance Sheet'!H15</f>
        <v>0</v>
      </c>
      <c r="I14" s="25">
        <f>'Balance Sheet'!H15-'Balance Sheet'!I15</f>
        <v>0</v>
      </c>
      <c r="J14" s="25">
        <f>'Balance Sheet'!I15-'Balance Sheet'!J15</f>
        <v>0</v>
      </c>
      <c r="K14" s="25">
        <f>'Balance Sheet'!J15-'Balance Sheet'!K15</f>
        <v>-55035616.438356161</v>
      </c>
      <c r="L14" s="25">
        <f>'Balance Sheet'!K15-'Balance Sheet'!L15</f>
        <v>-8284931.5068493187</v>
      </c>
      <c r="M14" s="25">
        <f>'Balance Sheet'!L15-'Balance Sheet'!M15</f>
        <v>-11598904.10958904</v>
      </c>
      <c r="N14" s="25">
        <f>'Balance Sheet'!M15-'Balance Sheet'!N15</f>
        <v>-22073424.657534242</v>
      </c>
      <c r="O14" s="25">
        <f>'Balance Sheet'!N15-'Balance Sheet'!O15</f>
        <v>-12190684.931506857</v>
      </c>
    </row>
    <row r="15" spans="2:20" x14ac:dyDescent="0.25">
      <c r="C15" t="s">
        <v>220</v>
      </c>
      <c r="E15" t="s">
        <v>288</v>
      </c>
      <c r="G15" s="25">
        <f>'Balance Sheet'!F16-'Balance Sheet'!G16</f>
        <v>0</v>
      </c>
      <c r="H15" s="25">
        <f>'Balance Sheet'!G16-'Balance Sheet'!H16</f>
        <v>0</v>
      </c>
      <c r="I15" s="25">
        <f>'Balance Sheet'!H16-'Balance Sheet'!I16</f>
        <v>0</v>
      </c>
      <c r="J15" s="25">
        <f>'Balance Sheet'!I16-'Balance Sheet'!J16</f>
        <v>0</v>
      </c>
      <c r="K15" s="25">
        <f>'Balance Sheet'!J16-'Balance Sheet'!K16</f>
        <v>-7338082.1917808224</v>
      </c>
      <c r="L15" s="25">
        <f>'Balance Sheet'!K16-'Balance Sheet'!L16</f>
        <v>-1104657.5342465751</v>
      </c>
      <c r="M15" s="25">
        <f>'Balance Sheet'!L16-'Balance Sheet'!M16</f>
        <v>-1546520.5479452051</v>
      </c>
      <c r="N15" s="25">
        <f>'Balance Sheet'!M16-'Balance Sheet'!N16</f>
        <v>-2943123.2876712326</v>
      </c>
      <c r="O15" s="25">
        <f>'Balance Sheet'!N16-'Balance Sheet'!O16</f>
        <v>-1625424.6575342473</v>
      </c>
    </row>
    <row r="16" spans="2:20" x14ac:dyDescent="0.25">
      <c r="C16" t="s">
        <v>221</v>
      </c>
      <c r="E16" t="s">
        <v>288</v>
      </c>
      <c r="G16" s="25">
        <f>'Balance Sheet'!G30-'Balance Sheet'!F30</f>
        <v>0</v>
      </c>
      <c r="H16" s="25">
        <f>'Balance Sheet'!H30-'Balance Sheet'!G30</f>
        <v>0</v>
      </c>
      <c r="I16" s="25">
        <f>'Balance Sheet'!I30-'Balance Sheet'!H30</f>
        <v>0</v>
      </c>
      <c r="J16" s="25">
        <f>'Balance Sheet'!J30-'Balance Sheet'!I30</f>
        <v>0</v>
      </c>
      <c r="K16" s="25">
        <f>'Balance Sheet'!K30-'Balance Sheet'!J30</f>
        <v>10652054.794520548</v>
      </c>
      <c r="L16" s="25">
        <f>'Balance Sheet'!L30-'Balance Sheet'!K30</f>
        <v>14025205.479452057</v>
      </c>
      <c r="M16" s="25">
        <f>'Balance Sheet'!M30-'Balance Sheet'!L30</f>
        <v>6965260.2739726007</v>
      </c>
      <c r="N16" s="25">
        <f>'Balance Sheet'!N30-'Balance Sheet'!M30</f>
        <v>5095232.876712326</v>
      </c>
      <c r="O16" s="25">
        <f>'Balance Sheet'!O30-'Balance Sheet'!N30</f>
        <v>7823342.4657534286</v>
      </c>
    </row>
    <row r="17" spans="2:15" x14ac:dyDescent="0.25">
      <c r="C17" t="s">
        <v>222</v>
      </c>
      <c r="E17" t="s">
        <v>288</v>
      </c>
      <c r="G17" s="25">
        <f>'Balance Sheet'!G31-'Balance Sheet'!F31</f>
        <v>0</v>
      </c>
      <c r="H17" s="25">
        <f>'Balance Sheet'!H31-'Balance Sheet'!G31</f>
        <v>0</v>
      </c>
      <c r="I17" s="25">
        <f>'Balance Sheet'!I31-'Balance Sheet'!H31</f>
        <v>0</v>
      </c>
      <c r="J17" s="25">
        <f>'Balance Sheet'!J31-'Balance Sheet'!I31</f>
        <v>0</v>
      </c>
      <c r="K17" s="25">
        <f>'Balance Sheet'!K31-'Balance Sheet'!J31</f>
        <v>2130410.9589041094</v>
      </c>
      <c r="L17" s="25">
        <f>'Balance Sheet'!L31-'Balance Sheet'!K31</f>
        <v>337315.06849315064</v>
      </c>
      <c r="M17" s="25">
        <f>'Balance Sheet'!M31-'Balance Sheet'!L31</f>
        <v>696526.02739726054</v>
      </c>
      <c r="N17" s="25">
        <f>'Balance Sheet'!N31-'Balance Sheet'!M31</f>
        <v>509523.2876712326</v>
      </c>
      <c r="O17" s="25">
        <f>'Balance Sheet'!O31-'Balance Sheet'!N31</f>
        <v>782334.24657534296</v>
      </c>
    </row>
    <row r="18" spans="2:15" x14ac:dyDescent="0.25">
      <c r="C18" s="51" t="s">
        <v>223</v>
      </c>
      <c r="E18" t="s">
        <v>288</v>
      </c>
      <c r="G18" s="25">
        <f ca="1">Tax!G18</f>
        <v>0</v>
      </c>
      <c r="H18" s="25">
        <f ca="1">Tax!H18</f>
        <v>0</v>
      </c>
      <c r="I18" s="25">
        <f ca="1">Tax!I18</f>
        <v>0</v>
      </c>
      <c r="J18" s="25">
        <f ca="1">Tax!J18</f>
        <v>0</v>
      </c>
      <c r="K18" s="25">
        <f ca="1">Tax!K18</f>
        <v>263142958.0000433</v>
      </c>
      <c r="L18" s="25">
        <f ca="1">Tax!L18</f>
        <v>314623730.20010161</v>
      </c>
      <c r="M18" s="25">
        <f ca="1">Tax!M18</f>
        <v>368647968.70017546</v>
      </c>
      <c r="N18" s="25">
        <f ca="1">Tax!N18</f>
        <v>514064112.78694117</v>
      </c>
      <c r="O18" s="25">
        <f ca="1">Tax!O18</f>
        <v>576510455.56631815</v>
      </c>
    </row>
    <row r="19" spans="2:15" x14ac:dyDescent="0.25">
      <c r="C19" s="51" t="s">
        <v>224</v>
      </c>
      <c r="E19" t="s">
        <v>288</v>
      </c>
      <c r="G19" s="25">
        <f ca="1">-Tax!G16</f>
        <v>0</v>
      </c>
      <c r="H19" s="25">
        <f ca="1">-Tax!H16</f>
        <v>0</v>
      </c>
      <c r="I19" s="25">
        <f ca="1">-Tax!I16</f>
        <v>0</v>
      </c>
      <c r="J19" s="25">
        <f ca="1">-Tax!J16</f>
        <v>0</v>
      </c>
      <c r="K19" s="25">
        <f ca="1">-Tax!K16</f>
        <v>-263142958.0000433</v>
      </c>
      <c r="L19" s="25">
        <f ca="1">-Tax!L16</f>
        <v>-314623730.20010161</v>
      </c>
      <c r="M19" s="25">
        <f ca="1">-Tax!M16</f>
        <v>-368647968.70017546</v>
      </c>
      <c r="N19" s="25">
        <f ca="1">-Tax!N16</f>
        <v>-514064112.78694117</v>
      </c>
      <c r="O19" s="25">
        <f ca="1">-Tax!O16</f>
        <v>-576510455.56631815</v>
      </c>
    </row>
    <row r="20" spans="2:15" x14ac:dyDescent="0.25">
      <c r="G20" s="25"/>
      <c r="H20" s="25"/>
      <c r="I20" s="25"/>
      <c r="J20" s="25"/>
      <c r="K20" s="25"/>
      <c r="L20" s="25"/>
      <c r="M20" s="25"/>
      <c r="N20" s="25"/>
      <c r="O20" s="25"/>
    </row>
    <row r="21" spans="2:15" s="6" customFormat="1" x14ac:dyDescent="0.25">
      <c r="B21" s="6" t="s">
        <v>17</v>
      </c>
      <c r="E21" s="6" t="s">
        <v>288</v>
      </c>
      <c r="G21" s="23">
        <f ca="1">SUM(G22:G27)</f>
        <v>0</v>
      </c>
      <c r="H21" s="23">
        <f t="shared" ref="H21:I21" ca="1" si="5">SUM(H22:H27)</f>
        <v>0</v>
      </c>
      <c r="I21" s="23">
        <f t="shared" ca="1" si="5"/>
        <v>0</v>
      </c>
      <c r="J21" s="23">
        <f t="shared" ref="J21" ca="1" si="6">SUM(J22:J27)</f>
        <v>-67948717.948717952</v>
      </c>
      <c r="K21" s="23">
        <f t="shared" ref="K21" ca="1" si="7">SUM(K22:K27)</f>
        <v>-23005416.967785615</v>
      </c>
      <c r="L21" s="23">
        <f t="shared" ref="L21" ca="1" si="8">SUM(L22:L27)</f>
        <v>47976157.032408752</v>
      </c>
      <c r="M21" s="23">
        <f t="shared" ref="M21" ca="1" si="9">SUM(M22:M27)</f>
        <v>57656801.400973901</v>
      </c>
      <c r="N21" s="23">
        <f t="shared" ref="N21" ca="1" si="10">SUM(N22:N27)</f>
        <v>120314281.69019276</v>
      </c>
      <c r="O21" s="23">
        <f t="shared" ref="O21" ca="1" si="11">SUM(O22:O27)</f>
        <v>176423757.62144956</v>
      </c>
    </row>
    <row r="22" spans="2:15" x14ac:dyDescent="0.25">
      <c r="C22" t="s">
        <v>225</v>
      </c>
      <c r="E22" t="s">
        <v>288</v>
      </c>
      <c r="G22" s="41">
        <f>-Depreciation!G22</f>
        <v>0</v>
      </c>
      <c r="H22" s="41">
        <f>-Depreciation!H22</f>
        <v>0</v>
      </c>
      <c r="I22" s="41">
        <f>-Depreciation!I22</f>
        <v>0</v>
      </c>
      <c r="J22" s="41">
        <f>-Depreciation!J22</f>
        <v>-70000000</v>
      </c>
      <c r="K22" s="41">
        <f>-Depreciation!K22</f>
        <v>-40000000</v>
      </c>
      <c r="L22" s="41">
        <f>-Depreciation!L22</f>
        <v>-1000000</v>
      </c>
      <c r="M22" s="41">
        <f>-Depreciation!M22</f>
        <v>-28000000</v>
      </c>
      <c r="N22" s="41">
        <f>-Depreciation!N22</f>
        <v>-8000000</v>
      </c>
      <c r="O22" s="41">
        <f>-Depreciation!O22</f>
        <v>-5500000</v>
      </c>
    </row>
    <row r="23" spans="2:15" x14ac:dyDescent="0.25">
      <c r="C23" t="s">
        <v>227</v>
      </c>
      <c r="E23" t="s">
        <v>288</v>
      </c>
      <c r="G23" s="41"/>
      <c r="H23" s="41"/>
      <c r="I23" s="41"/>
      <c r="J23" s="41"/>
      <c r="K23" s="41"/>
      <c r="L23" s="41"/>
      <c r="M23" s="41"/>
      <c r="N23" s="41"/>
      <c r="O23" s="41"/>
    </row>
    <row r="24" spans="2:15" x14ac:dyDescent="0.25">
      <c r="C24" t="s">
        <v>195</v>
      </c>
      <c r="E24" t="s">
        <v>288</v>
      </c>
      <c r="G24" s="41">
        <f ca="1">'Income Statement'!G33</f>
        <v>0</v>
      </c>
      <c r="H24" s="41">
        <f ca="1">'Income Statement'!H33</f>
        <v>0</v>
      </c>
      <c r="I24" s="41">
        <f ca="1">'Income Statement'!I33</f>
        <v>0</v>
      </c>
      <c r="J24" s="41">
        <f ca="1">'Income Statement'!J33</f>
        <v>2051282.0512820513</v>
      </c>
      <c r="K24" s="41">
        <f ca="1">'Income Statement'!K33</f>
        <v>16994583.032214385</v>
      </c>
      <c r="L24" s="41">
        <f ca="1">'Income Statement'!L33</f>
        <v>48976157.032408752</v>
      </c>
      <c r="M24" s="41">
        <f ca="1">'Income Statement'!M33</f>
        <v>85656801.400973901</v>
      </c>
      <c r="N24" s="41">
        <f ca="1">'Income Statement'!N33</f>
        <v>128314281.69019276</v>
      </c>
      <c r="O24" s="41">
        <f ca="1">'Income Statement'!O33</f>
        <v>181923757.62144956</v>
      </c>
    </row>
    <row r="25" spans="2:15" x14ac:dyDescent="0.25">
      <c r="C25" t="s">
        <v>226</v>
      </c>
      <c r="E25" t="s">
        <v>288</v>
      </c>
      <c r="G25" s="41">
        <f>'Balance Sheet'!F11-'Balance Sheet'!G11</f>
        <v>0</v>
      </c>
      <c r="H25" s="41">
        <f>'Balance Sheet'!G11-'Balance Sheet'!H11</f>
        <v>0</v>
      </c>
      <c r="I25" s="41">
        <f>'Balance Sheet'!H11-'Balance Sheet'!I11</f>
        <v>0</v>
      </c>
      <c r="J25" s="41">
        <f>'Balance Sheet'!I11-'Balance Sheet'!J11</f>
        <v>0</v>
      </c>
      <c r="K25" s="41">
        <f>'Balance Sheet'!J11-'Balance Sheet'!K11</f>
        <v>0</v>
      </c>
      <c r="L25" s="41">
        <f>'Balance Sheet'!K11-'Balance Sheet'!L11</f>
        <v>0</v>
      </c>
      <c r="M25" s="41">
        <f>'Balance Sheet'!L11-'Balance Sheet'!M11</f>
        <v>0</v>
      </c>
      <c r="N25" s="41">
        <f>'Balance Sheet'!M11-'Balance Sheet'!N11</f>
        <v>0</v>
      </c>
      <c r="O25" s="41">
        <f>'Balance Sheet'!N11-'Balance Sheet'!O11</f>
        <v>0</v>
      </c>
    </row>
    <row r="26" spans="2:15" x14ac:dyDescent="0.25">
      <c r="C26" t="s">
        <v>228</v>
      </c>
      <c r="E26" t="s">
        <v>288</v>
      </c>
      <c r="G26" s="41">
        <f>'Balance Sheet'!G25-'Balance Sheet'!F25</f>
        <v>0</v>
      </c>
      <c r="H26" s="41">
        <f>'Balance Sheet'!H25-'Balance Sheet'!G25</f>
        <v>0</v>
      </c>
      <c r="I26" s="41">
        <f>'Balance Sheet'!I25-'Balance Sheet'!H25</f>
        <v>0</v>
      </c>
      <c r="J26" s="41">
        <f>'Balance Sheet'!J25-'Balance Sheet'!I25</f>
        <v>0</v>
      </c>
      <c r="K26" s="41">
        <f>'Balance Sheet'!K25-'Balance Sheet'!J25</f>
        <v>0</v>
      </c>
      <c r="L26" s="41">
        <f>'Balance Sheet'!L25-'Balance Sheet'!K25</f>
        <v>0</v>
      </c>
      <c r="M26" s="41">
        <f>'Balance Sheet'!M25-'Balance Sheet'!L25</f>
        <v>0</v>
      </c>
      <c r="N26" s="41">
        <f>'Balance Sheet'!N25-'Balance Sheet'!M25</f>
        <v>0</v>
      </c>
      <c r="O26" s="41">
        <f>'Balance Sheet'!O25-'Balance Sheet'!N25</f>
        <v>0</v>
      </c>
    </row>
    <row r="27" spans="2:15" x14ac:dyDescent="0.25">
      <c r="C27" t="s">
        <v>229</v>
      </c>
      <c r="E27" t="s">
        <v>288</v>
      </c>
      <c r="G27" s="41">
        <f>'Balance Sheet'!G26-'Balance Sheet'!F26</f>
        <v>0</v>
      </c>
      <c r="H27" s="41">
        <f>'Balance Sheet'!H26-'Balance Sheet'!G26</f>
        <v>0</v>
      </c>
      <c r="I27" s="41">
        <f>'Balance Sheet'!I26-'Balance Sheet'!H26</f>
        <v>0</v>
      </c>
      <c r="J27" s="41">
        <f>'Balance Sheet'!J26-'Balance Sheet'!I26</f>
        <v>0</v>
      </c>
      <c r="K27" s="41">
        <f>'Balance Sheet'!K26-'Balance Sheet'!J26</f>
        <v>0</v>
      </c>
      <c r="L27" s="41">
        <f>'Balance Sheet'!L26-'Balance Sheet'!K26</f>
        <v>0</v>
      </c>
      <c r="M27" s="41">
        <f>'Balance Sheet'!M26-'Balance Sheet'!L26</f>
        <v>0</v>
      </c>
      <c r="N27" s="41">
        <f>'Balance Sheet'!N26-'Balance Sheet'!M26</f>
        <v>0</v>
      </c>
      <c r="O27" s="41">
        <f>'Balance Sheet'!O26-'Balance Sheet'!N26</f>
        <v>0</v>
      </c>
    </row>
    <row r="28" spans="2:15" x14ac:dyDescent="0.25">
      <c r="G28" s="25"/>
      <c r="H28" s="25"/>
      <c r="I28" s="25"/>
      <c r="J28" s="25"/>
      <c r="K28" s="25"/>
      <c r="L28" s="25"/>
      <c r="M28" s="25"/>
      <c r="N28" s="25"/>
      <c r="O28" s="25"/>
    </row>
    <row r="29" spans="2:15" s="6" customFormat="1" x14ac:dyDescent="0.25">
      <c r="B29" s="6" t="s">
        <v>18</v>
      </c>
      <c r="E29" s="6" t="s">
        <v>288</v>
      </c>
      <c r="G29" s="56">
        <f ca="1">SUM(G30:G35)</f>
        <v>0</v>
      </c>
      <c r="H29" s="56">
        <f t="shared" ref="H29:I29" ca="1" si="12">SUM(H30:H35)</f>
        <v>0</v>
      </c>
      <c r="I29" s="56">
        <f t="shared" ca="1" si="12"/>
        <v>0</v>
      </c>
      <c r="J29" s="56">
        <f t="shared" ref="J29" ca="1" si="13">SUM(J30:J35)</f>
        <v>150000000</v>
      </c>
      <c r="K29" s="56">
        <f t="shared" ref="K29" ca="1" si="14">SUM(K30:K35)</f>
        <v>-20000000</v>
      </c>
      <c r="L29" s="56">
        <f t="shared" ref="L29" ca="1" si="15">SUM(L30:L35)</f>
        <v>7000000</v>
      </c>
      <c r="M29" s="56">
        <f t="shared" ref="M29" ca="1" si="16">SUM(M30:M35)</f>
        <v>-140725896.07689273</v>
      </c>
      <c r="N29" s="56">
        <f t="shared" ref="N29" ca="1" si="17">SUM(N30:N35)</f>
        <v>-187925024.82624841</v>
      </c>
      <c r="O29" s="56">
        <f t="shared" ref="O29" ca="1" si="18">SUM(O30:O35)</f>
        <v>-207052704.13327098</v>
      </c>
    </row>
    <row r="30" spans="2:15" x14ac:dyDescent="0.25">
      <c r="C30" t="s">
        <v>231</v>
      </c>
      <c r="E30" t="s">
        <v>288</v>
      </c>
      <c r="G30" s="41">
        <f ca="1">'Income Statement'!G34</f>
        <v>0</v>
      </c>
      <c r="H30" s="41">
        <f ca="1">'Income Statement'!H34</f>
        <v>0</v>
      </c>
      <c r="I30" s="41">
        <f ca="1">'Income Statement'!I34</f>
        <v>0</v>
      </c>
      <c r="J30" s="41">
        <f ca="1">'Income Statement'!J34</f>
        <v>0</v>
      </c>
      <c r="K30" s="41">
        <f ca="1">'Income Statement'!K34</f>
        <v>-10000000</v>
      </c>
      <c r="L30" s="41">
        <f ca="1">'Income Statement'!L34</f>
        <v>-8000000</v>
      </c>
      <c r="M30" s="41">
        <f ca="1">'Income Statement'!M34</f>
        <v>-6000000</v>
      </c>
      <c r="N30" s="41">
        <f ca="1">'Income Statement'!N34</f>
        <v>-4000000</v>
      </c>
      <c r="O30" s="41">
        <f ca="1">'Income Statement'!O34</f>
        <v>-2000000</v>
      </c>
    </row>
    <row r="31" spans="2:15" x14ac:dyDescent="0.25">
      <c r="C31" t="s">
        <v>230</v>
      </c>
      <c r="E31" t="s">
        <v>288</v>
      </c>
      <c r="G31" s="41">
        <f ca="1">Debt!G27</f>
        <v>0</v>
      </c>
      <c r="H31" s="41">
        <f ca="1">Debt!H27</f>
        <v>0</v>
      </c>
      <c r="I31" s="41">
        <f ca="1">Debt!I27</f>
        <v>0</v>
      </c>
      <c r="J31" s="41">
        <f ca="1">Debt!J27</f>
        <v>0</v>
      </c>
      <c r="K31" s="41">
        <f ca="1">Debt!K27</f>
        <v>0</v>
      </c>
      <c r="L31" s="41">
        <f ca="1">Debt!L27</f>
        <v>0</v>
      </c>
      <c r="M31" s="41">
        <f ca="1">Debt!M27</f>
        <v>0</v>
      </c>
      <c r="N31" s="41">
        <f ca="1">Debt!N27</f>
        <v>0</v>
      </c>
      <c r="O31" s="41">
        <f ca="1">Debt!O27</f>
        <v>0</v>
      </c>
    </row>
    <row r="32" spans="2:15" x14ac:dyDescent="0.25">
      <c r="C32" t="s">
        <v>232</v>
      </c>
      <c r="E32" t="s">
        <v>288</v>
      </c>
      <c r="G32" s="41">
        <f>Debt!G37+Debt!G44+Debt!G51</f>
        <v>0</v>
      </c>
      <c r="H32" s="41">
        <f>Debt!H37+Debt!H44+Debt!H51</f>
        <v>0</v>
      </c>
      <c r="I32" s="41">
        <f>Debt!I37+Debt!I44+Debt!I51</f>
        <v>0</v>
      </c>
      <c r="J32" s="41">
        <f>Debt!J37+Debt!J44+Debt!J51</f>
        <v>50000000</v>
      </c>
      <c r="K32" s="41">
        <f>Debt!K37+Debt!K44+Debt!K51</f>
        <v>0</v>
      </c>
      <c r="L32" s="41">
        <f>Debt!L37+Debt!L44+Debt!L51</f>
        <v>0</v>
      </c>
      <c r="M32" s="41">
        <f>Debt!M37+Debt!M44+Debt!M51</f>
        <v>0</v>
      </c>
      <c r="N32" s="41">
        <f>Debt!N37+Debt!N44+Debt!N51</f>
        <v>0</v>
      </c>
      <c r="O32" s="41">
        <f>Debt!O37+Debt!O44+Debt!O51</f>
        <v>0</v>
      </c>
    </row>
    <row r="33" spans="2:15" x14ac:dyDescent="0.25">
      <c r="C33" t="s">
        <v>233</v>
      </c>
      <c r="E33" t="s">
        <v>288</v>
      </c>
      <c r="G33" s="41">
        <f>Debt!G38+Debt!G45+Debt!G52</f>
        <v>0</v>
      </c>
      <c r="H33" s="41">
        <f>Debt!H38+Debt!H45+Debt!H52</f>
        <v>0</v>
      </c>
      <c r="I33" s="41">
        <f>Debt!I38+Debt!I45+Debt!I52</f>
        <v>0</v>
      </c>
      <c r="J33" s="41">
        <f>Debt!J38+Debt!J45+Debt!J52</f>
        <v>0</v>
      </c>
      <c r="K33" s="41">
        <f>Debt!K38+Debt!K45+Debt!K52</f>
        <v>-10000000</v>
      </c>
      <c r="L33" s="41">
        <f>Debt!L38+Debt!L45+Debt!L52</f>
        <v>-10000000</v>
      </c>
      <c r="M33" s="41">
        <f>Debt!M38+Debt!M45+Debt!M52</f>
        <v>-10000000</v>
      </c>
      <c r="N33" s="41">
        <f>Debt!N38+Debt!N45+Debt!N52</f>
        <v>-10000000</v>
      </c>
      <c r="O33" s="41">
        <f>Debt!O38+Debt!O45+Debt!O52</f>
        <v>-10000000</v>
      </c>
    </row>
    <row r="34" spans="2:15" x14ac:dyDescent="0.25">
      <c r="C34" t="s">
        <v>234</v>
      </c>
      <c r="E34" t="s">
        <v>288</v>
      </c>
      <c r="G34" s="41">
        <f ca="1">SUM(Equity!G31:G32)</f>
        <v>0</v>
      </c>
      <c r="H34" s="41">
        <f ca="1">SUM(Equity!H31:H32)</f>
        <v>0</v>
      </c>
      <c r="I34" s="41">
        <f ca="1">SUM(Equity!I31:I32)</f>
        <v>0</v>
      </c>
      <c r="J34" s="41">
        <f ca="1">SUM(Equity!J31:J32)</f>
        <v>0</v>
      </c>
      <c r="K34" s="41">
        <f ca="1">SUM(Equity!K31:K32)</f>
        <v>0</v>
      </c>
      <c r="L34" s="41">
        <f ca="1">SUM(Equity!L31:L32)</f>
        <v>0</v>
      </c>
      <c r="M34" s="41">
        <f ca="1">SUM(Equity!M31:M32)</f>
        <v>-124725896.07689272</v>
      </c>
      <c r="N34" s="41">
        <f ca="1">SUM(Equity!N31:N32)</f>
        <v>-173925024.82624841</v>
      </c>
      <c r="O34" s="41">
        <f ca="1">SUM(Equity!O31:O32)</f>
        <v>-195052704.13327098</v>
      </c>
    </row>
    <row r="35" spans="2:15" x14ac:dyDescent="0.25">
      <c r="C35" t="s">
        <v>235</v>
      </c>
      <c r="E35" t="s">
        <v>288</v>
      </c>
      <c r="G35" s="41">
        <f>Equity!G9+Equity!G15</f>
        <v>0</v>
      </c>
      <c r="H35" s="41">
        <f>Equity!H9+Equity!H15</f>
        <v>0</v>
      </c>
      <c r="I35" s="41">
        <f>Equity!I9+Equity!I15</f>
        <v>0</v>
      </c>
      <c r="J35" s="41">
        <f>Equity!J9+Equity!J15</f>
        <v>100000000</v>
      </c>
      <c r="K35" s="41">
        <f>Equity!K9+Equity!K15</f>
        <v>0</v>
      </c>
      <c r="L35" s="41">
        <f>Equity!L9+Equity!L15</f>
        <v>25000000</v>
      </c>
      <c r="M35" s="41">
        <f>Equity!M9+Equity!M15</f>
        <v>0</v>
      </c>
      <c r="N35" s="41">
        <f>Equity!N9+Equity!N15</f>
        <v>0</v>
      </c>
      <c r="O35" s="41">
        <f>Equity!O9+Equity!O15</f>
        <v>0</v>
      </c>
    </row>
    <row r="36" spans="2:15" x14ac:dyDescent="0.25">
      <c r="G36" s="25"/>
      <c r="H36" s="25"/>
      <c r="I36" s="25"/>
      <c r="J36" s="25"/>
      <c r="K36" s="25"/>
      <c r="L36" s="25"/>
      <c r="M36" s="25"/>
      <c r="N36" s="25"/>
      <c r="O36" s="25"/>
    </row>
    <row r="37" spans="2:15" x14ac:dyDescent="0.25">
      <c r="G37" s="25"/>
      <c r="H37" s="25"/>
      <c r="I37" s="25"/>
      <c r="J37" s="25"/>
      <c r="K37" s="25"/>
      <c r="L37" s="25"/>
      <c r="M37" s="25"/>
      <c r="N37" s="25"/>
      <c r="O37" s="25"/>
    </row>
    <row r="38" spans="2:15" s="6" customFormat="1" x14ac:dyDescent="0.25">
      <c r="B38" s="6" t="s">
        <v>19</v>
      </c>
      <c r="E38" s="6" t="s">
        <v>288</v>
      </c>
      <c r="G38" s="23">
        <f ca="1">G8+G21+G29</f>
        <v>0</v>
      </c>
      <c r="H38" s="23">
        <f t="shared" ref="H38:I38" ca="1" si="19">H8+H21+H29</f>
        <v>0</v>
      </c>
      <c r="I38" s="23">
        <f t="shared" ca="1" si="19"/>
        <v>0</v>
      </c>
      <c r="J38" s="23">
        <f t="shared" ref="J38:O38" ca="1" si="20">J8+J21+J29</f>
        <v>82051282.051282048</v>
      </c>
      <c r="K38" s="23">
        <f t="shared" ca="1" si="20"/>
        <v>515680757.1860112</v>
      </c>
      <c r="L38" s="23">
        <f t="shared" ca="1" si="20"/>
        <v>763582202.82176352</v>
      </c>
      <c r="M38" s="23">
        <f t="shared" ca="1" si="20"/>
        <v>703643571.92084217</v>
      </c>
      <c r="N38" s="23">
        <f t="shared" ca="1" si="20"/>
        <v>1002655639.6479125</v>
      </c>
      <c r="O38" s="23">
        <f t="shared" ca="1" si="20"/>
        <v>1141723397.6023586</v>
      </c>
    </row>
    <row r="39" spans="2:15" x14ac:dyDescent="0.25">
      <c r="G39" s="25"/>
      <c r="H39" s="25"/>
      <c r="I39" s="25"/>
      <c r="J39" s="25"/>
      <c r="K39" s="25"/>
      <c r="L39" s="25"/>
      <c r="M39" s="25"/>
      <c r="N39" s="25"/>
      <c r="O39" s="25"/>
    </row>
    <row r="40" spans="2:15" x14ac:dyDescent="0.25">
      <c r="B40" t="s">
        <v>151</v>
      </c>
      <c r="E40" t="s">
        <v>288</v>
      </c>
      <c r="G40" s="25"/>
      <c r="H40" s="25">
        <f ca="1">G41</f>
        <v>0</v>
      </c>
      <c r="I40" s="25">
        <f t="shared" ref="I40:O40" ca="1" si="21">H41</f>
        <v>0</v>
      </c>
      <c r="J40" s="25">
        <f t="shared" ca="1" si="21"/>
        <v>0</v>
      </c>
      <c r="K40" s="25">
        <f t="shared" ca="1" si="21"/>
        <v>82051282.051282048</v>
      </c>
      <c r="L40" s="25">
        <f t="shared" ca="1" si="21"/>
        <v>597732039.23729324</v>
      </c>
      <c r="M40" s="25">
        <f t="shared" ca="1" si="21"/>
        <v>1361314242.0590568</v>
      </c>
      <c r="N40" s="25">
        <f t="shared" ca="1" si="21"/>
        <v>2064957813.9798989</v>
      </c>
      <c r="O40" s="25">
        <f t="shared" ca="1" si="21"/>
        <v>3067613453.6278114</v>
      </c>
    </row>
    <row r="41" spans="2:15" x14ac:dyDescent="0.25">
      <c r="B41" t="s">
        <v>152</v>
      </c>
      <c r="E41" t="s">
        <v>288</v>
      </c>
      <c r="G41" s="25">
        <f ca="1">'Balance Sheet'!G18</f>
        <v>0</v>
      </c>
      <c r="H41" s="25">
        <f ca="1">'Balance Sheet'!H18</f>
        <v>0</v>
      </c>
      <c r="I41" s="25">
        <f ca="1">'Balance Sheet'!I18</f>
        <v>0</v>
      </c>
      <c r="J41" s="25">
        <f ca="1">'Balance Sheet'!J18</f>
        <v>82051282.051282048</v>
      </c>
      <c r="K41" s="25">
        <f ca="1">'Balance Sheet'!K18</f>
        <v>597732039.23729324</v>
      </c>
      <c r="L41" s="25">
        <f ca="1">'Balance Sheet'!L18</f>
        <v>1361314242.0590568</v>
      </c>
      <c r="M41" s="25">
        <f ca="1">'Balance Sheet'!M18</f>
        <v>2064957813.9798989</v>
      </c>
      <c r="N41" s="25">
        <f ca="1">'Balance Sheet'!N18</f>
        <v>3067613453.6278114</v>
      </c>
      <c r="O41" s="25">
        <f ca="1">'Balance Sheet'!O18</f>
        <v>4209336851.2301702</v>
      </c>
    </row>
    <row r="42" spans="2:15" x14ac:dyDescent="0.25">
      <c r="G42" s="25"/>
      <c r="H42" s="25"/>
      <c r="I42" s="25"/>
      <c r="J42" s="25"/>
      <c r="K42" s="25"/>
      <c r="L42" s="25"/>
      <c r="M42" s="25"/>
      <c r="N42" s="25"/>
      <c r="O42" s="25"/>
    </row>
    <row r="43" spans="2:15" s="11" customFormat="1" x14ac:dyDescent="0.25">
      <c r="B43" s="11" t="s">
        <v>213</v>
      </c>
      <c r="E43" s="11" t="s">
        <v>288</v>
      </c>
      <c r="G43" s="58">
        <f ca="1">G40+G38-G41</f>
        <v>0</v>
      </c>
      <c r="H43" s="58">
        <f t="shared" ref="H43:I43" ca="1" si="22">H40+H38-H41</f>
        <v>0</v>
      </c>
      <c r="I43" s="58">
        <f t="shared" ca="1" si="22"/>
        <v>0</v>
      </c>
      <c r="J43" s="58">
        <f t="shared" ref="J43:O43" ca="1" si="23">J40+J38-J41</f>
        <v>0</v>
      </c>
      <c r="K43" s="58">
        <f t="shared" ca="1" si="23"/>
        <v>0</v>
      </c>
      <c r="L43" s="58">
        <f t="shared" ca="1" si="23"/>
        <v>0</v>
      </c>
      <c r="M43" s="58">
        <f t="shared" ca="1" si="23"/>
        <v>0</v>
      </c>
      <c r="N43" s="58">
        <f t="shared" ca="1" si="23"/>
        <v>0</v>
      </c>
      <c r="O43" s="58">
        <f t="shared" ca="1" si="23"/>
        <v>0</v>
      </c>
    </row>
    <row r="44" spans="2:15" x14ac:dyDescent="0.25">
      <c r="G44" s="25"/>
      <c r="H44" s="25"/>
      <c r="I44" s="25"/>
      <c r="J44" s="25"/>
      <c r="K44" s="25"/>
      <c r="L44" s="25"/>
      <c r="M44" s="25"/>
      <c r="N44" s="25"/>
      <c r="O44" s="25"/>
    </row>
    <row r="45" spans="2:15" x14ac:dyDescent="0.25">
      <c r="G45" s="25"/>
      <c r="H45" s="25"/>
      <c r="I45" s="25"/>
      <c r="J45" s="25"/>
      <c r="K45" s="25"/>
      <c r="L45" s="25"/>
      <c r="M45" s="25"/>
      <c r="N45" s="25"/>
      <c r="O45" s="25"/>
    </row>
    <row r="46" spans="2:15" x14ac:dyDescent="0.25">
      <c r="G46" s="25"/>
      <c r="H46" s="25"/>
      <c r="I46" s="25"/>
      <c r="J46" s="25"/>
      <c r="K46" s="60"/>
      <c r="L46" s="25"/>
      <c r="M46" s="25"/>
      <c r="N46" s="25"/>
      <c r="O46" s="25"/>
    </row>
    <row r="47" spans="2:15" x14ac:dyDescent="0.25">
      <c r="B47" s="6" t="s">
        <v>20</v>
      </c>
      <c r="E47" s="6" t="s">
        <v>288</v>
      </c>
      <c r="G47" s="23">
        <f ca="1">SUM(G48:G49)</f>
        <v>0</v>
      </c>
      <c r="H47" s="23">
        <f t="shared" ref="H47:O47" ca="1" si="24">SUM(H48:H49)</f>
        <v>0</v>
      </c>
      <c r="I47" s="23">
        <f t="shared" ca="1" si="24"/>
        <v>0</v>
      </c>
      <c r="J47" s="23">
        <f ca="1">SUM(J48:J49)</f>
        <v>-67948717.948717952</v>
      </c>
      <c r="K47" s="23">
        <f t="shared" ca="1" si="24"/>
        <v>532680757.1860112</v>
      </c>
      <c r="L47" s="23">
        <f t="shared" ca="1" si="24"/>
        <v>754182202.82176352</v>
      </c>
      <c r="M47" s="23">
        <f t="shared" ca="1" si="24"/>
        <v>842569467.9977349</v>
      </c>
      <c r="N47" s="23">
        <f t="shared" ca="1" si="24"/>
        <v>1189380664.4741609</v>
      </c>
      <c r="O47" s="23">
        <f t="shared" ca="1" si="24"/>
        <v>1348176101.7356296</v>
      </c>
    </row>
    <row r="48" spans="2:15" x14ac:dyDescent="0.25">
      <c r="C48" t="s">
        <v>238</v>
      </c>
      <c r="E48" t="s">
        <v>288</v>
      </c>
      <c r="G48" s="25">
        <f ca="1">G8+G21</f>
        <v>0</v>
      </c>
      <c r="H48" s="25">
        <f t="shared" ref="H48:O48" ca="1" si="25">H8+H21</f>
        <v>0</v>
      </c>
      <c r="I48" s="25">
        <f t="shared" ca="1" si="25"/>
        <v>0</v>
      </c>
      <c r="J48" s="25">
        <f ca="1">J8+J21</f>
        <v>-67948717.948717952</v>
      </c>
      <c r="K48" s="25">
        <f t="shared" ca="1" si="25"/>
        <v>535680757.1860112</v>
      </c>
      <c r="L48" s="25">
        <f t="shared" ca="1" si="25"/>
        <v>756582202.82176352</v>
      </c>
      <c r="M48" s="25">
        <f t="shared" ca="1" si="25"/>
        <v>844369467.9977349</v>
      </c>
      <c r="N48" s="25">
        <f t="shared" ca="1" si="25"/>
        <v>1190580664.4741609</v>
      </c>
      <c r="O48" s="25">
        <f t="shared" ca="1" si="25"/>
        <v>1348776101.7356296</v>
      </c>
    </row>
    <row r="49" spans="3:15" x14ac:dyDescent="0.25">
      <c r="C49" t="s">
        <v>239</v>
      </c>
      <c r="E49" t="s">
        <v>288</v>
      </c>
      <c r="G49" s="25">
        <f ca="1">'Income Statement'!G34*Tax!G8</f>
        <v>0</v>
      </c>
      <c r="H49" s="25">
        <f ca="1">'Income Statement'!H34*Tax!H8</f>
        <v>0</v>
      </c>
      <c r="I49" s="25">
        <f ca="1">'Income Statement'!I34*Tax!I8</f>
        <v>0</v>
      </c>
      <c r="J49" s="25">
        <f ca="1">'Income Statement'!J34*Tax!J8</f>
        <v>0</v>
      </c>
      <c r="K49" s="25">
        <f ca="1">'Income Statement'!K34*Tax!K8</f>
        <v>-3000000</v>
      </c>
      <c r="L49" s="25">
        <f ca="1">'Income Statement'!L34*Tax!L8</f>
        <v>-2400000</v>
      </c>
      <c r="M49" s="25">
        <f ca="1">'Income Statement'!M34*Tax!M8</f>
        <v>-1800000</v>
      </c>
      <c r="N49" s="25">
        <f ca="1">'Income Statement'!N34*Tax!N8</f>
        <v>-1200000</v>
      </c>
      <c r="O49" s="25">
        <f ca="1">'Income Statement'!O34*Tax!O8</f>
        <v>-600000</v>
      </c>
    </row>
  </sheetData>
  <hyperlinks>
    <hyperlink ref="O1" location="'Table of Content'!A1" display="&gt;&gt; Table of Contents" xr:uid="{595653CE-AA5B-4135-B2F7-E371C431C2B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B107-BD32-4213-B421-B6C31E2454CB}">
  <sheetPr>
    <tabColor theme="9" tint="-0.499984740745262"/>
  </sheetPr>
  <dimension ref="A1:P38"/>
  <sheetViews>
    <sheetView showGridLines="0" zoomScale="80" zoomScaleNormal="80" workbookViewId="0">
      <selection activeCell="C5" sqref="C5"/>
    </sheetView>
  </sheetViews>
  <sheetFormatPr defaultRowHeight="15" x14ac:dyDescent="0.25"/>
  <cols>
    <col min="1" max="1" width="6.7109375" customWidth="1"/>
    <col min="2" max="2" width="31.28515625" bestFit="1" customWidth="1"/>
    <col min="3" max="3" width="20.42578125" bestFit="1" customWidth="1"/>
    <col min="10" max="10" width="15.85546875" bestFit="1" customWidth="1"/>
    <col min="11" max="11" width="16.28515625" bestFit="1" customWidth="1"/>
    <col min="12" max="12" width="17.7109375" customWidth="1"/>
    <col min="13" max="15" width="16.28515625" bestFit="1" customWidth="1"/>
  </cols>
  <sheetData>
    <row r="1" spans="1:16" x14ac:dyDescent="0.25">
      <c r="A1" s="14"/>
      <c r="B1" s="14"/>
      <c r="C1" s="14" t="str">
        <f>Summary!D3</f>
        <v>M-pharmaceutical</v>
      </c>
      <c r="D1" s="14"/>
      <c r="E1" s="14"/>
      <c r="F1" s="14"/>
      <c r="G1" s="14"/>
      <c r="H1" s="14"/>
      <c r="I1" s="14"/>
      <c r="J1" s="14"/>
      <c r="K1" s="14" t="str">
        <f>Scenarios!K1</f>
        <v>Currently running scenario: Optimistic</v>
      </c>
      <c r="L1" s="14"/>
      <c r="M1" s="14"/>
      <c r="N1" s="14"/>
      <c r="O1" s="52" t="s">
        <v>237</v>
      </c>
      <c r="P1" s="14"/>
    </row>
    <row r="3" spans="1:16" ht="21" x14ac:dyDescent="0.35">
      <c r="B3" s="16" t="s">
        <v>42</v>
      </c>
      <c r="C3" s="16"/>
      <c r="D3" s="16"/>
      <c r="E3" s="16"/>
      <c r="F3" s="16"/>
      <c r="G3" s="16"/>
      <c r="H3" s="16"/>
    </row>
    <row r="5" spans="1:16" x14ac:dyDescent="0.25">
      <c r="B5" t="s">
        <v>240</v>
      </c>
      <c r="C5" s="64">
        <f>C22</f>
        <v>0.18849285435975399</v>
      </c>
    </row>
    <row r="6" spans="1:16" x14ac:dyDescent="0.25">
      <c r="B6" t="s">
        <v>241</v>
      </c>
      <c r="C6" s="65">
        <v>0.05</v>
      </c>
      <c r="J6">
        <v>1</v>
      </c>
      <c r="K6">
        <v>2</v>
      </c>
      <c r="L6">
        <v>3</v>
      </c>
      <c r="M6">
        <v>4</v>
      </c>
      <c r="N6">
        <v>5</v>
      </c>
      <c r="O6">
        <v>6</v>
      </c>
    </row>
    <row r="7" spans="1:16" x14ac:dyDescent="0.25">
      <c r="B7" s="20"/>
      <c r="C7" s="20"/>
      <c r="D7" s="20"/>
      <c r="E7" s="20"/>
      <c r="F7" s="21"/>
      <c r="G7" s="22">
        <v>2016</v>
      </c>
      <c r="H7" s="22">
        <v>2017</v>
      </c>
      <c r="I7" s="22">
        <v>2018</v>
      </c>
      <c r="J7" s="22">
        <v>2019</v>
      </c>
      <c r="K7" s="22">
        <v>2020</v>
      </c>
      <c r="L7" s="22">
        <v>2021</v>
      </c>
      <c r="M7" s="22">
        <v>2022</v>
      </c>
      <c r="N7" s="22">
        <v>2023</v>
      </c>
      <c r="O7" s="22">
        <v>2024</v>
      </c>
    </row>
    <row r="8" spans="1:16" x14ac:dyDescent="0.25">
      <c r="B8" s="6" t="s">
        <v>242</v>
      </c>
      <c r="C8" s="62"/>
      <c r="D8" s="62"/>
      <c r="E8" s="62"/>
      <c r="F8" s="62"/>
      <c r="G8" s="62"/>
      <c r="H8" s="62"/>
      <c r="I8" s="62"/>
      <c r="J8" s="41">
        <f ca="1">Cashflow!J47</f>
        <v>-67948717.948717952</v>
      </c>
      <c r="K8" s="41">
        <f ca="1">Cashflow!K47</f>
        <v>532680757.1860112</v>
      </c>
      <c r="L8" s="41">
        <f ca="1">Cashflow!L47</f>
        <v>754182202.82176352</v>
      </c>
      <c r="M8" s="41">
        <f ca="1">Cashflow!M47</f>
        <v>842569467.9977349</v>
      </c>
      <c r="N8" s="41">
        <f ca="1">Cashflow!N47</f>
        <v>1189380664.4741609</v>
      </c>
      <c r="O8" s="41">
        <f ca="1">Cashflow!O47</f>
        <v>1348176101.7356296</v>
      </c>
    </row>
    <row r="9" spans="1:16" x14ac:dyDescent="0.25">
      <c r="C9" s="62"/>
      <c r="D9" s="62"/>
      <c r="E9" s="62"/>
      <c r="F9" s="62"/>
      <c r="G9" s="62"/>
      <c r="H9" s="62"/>
      <c r="I9" s="62"/>
    </row>
    <row r="10" spans="1:16" x14ac:dyDescent="0.25">
      <c r="B10" s="19" t="s">
        <v>243</v>
      </c>
      <c r="C10" s="63"/>
      <c r="D10" s="63"/>
      <c r="E10" s="63"/>
      <c r="F10" s="63"/>
      <c r="G10" s="63"/>
      <c r="H10" s="63"/>
      <c r="I10" s="63"/>
      <c r="J10" s="19">
        <f>1/(1+$C$5)^J6</f>
        <v>0.84140177732806321</v>
      </c>
      <c r="K10" s="19">
        <f t="shared" ref="K10:O10" si="0">1/(1+$C$5)^K6</f>
        <v>0.70795695089082378</v>
      </c>
      <c r="L10" s="19">
        <f t="shared" si="0"/>
        <v>0.59567623675129555</v>
      </c>
      <c r="M10" s="19">
        <f t="shared" si="0"/>
        <v>0.50120304431463225</v>
      </c>
      <c r="N10" s="19">
        <f t="shared" si="0"/>
        <v>0.4217131322885676</v>
      </c>
      <c r="O10" s="19">
        <f t="shared" si="0"/>
        <v>0.35483017903018549</v>
      </c>
    </row>
    <row r="11" spans="1:16" x14ac:dyDescent="0.25">
      <c r="B11" t="s">
        <v>244</v>
      </c>
      <c r="C11" s="62"/>
      <c r="D11" s="62"/>
      <c r="E11" s="62"/>
      <c r="F11" s="62"/>
      <c r="G11" s="62"/>
      <c r="H11" s="62"/>
      <c r="I11" s="62"/>
      <c r="J11" s="25">
        <f ca="1">J8*J10</f>
        <v>-57172172.049214557</v>
      </c>
      <c r="K11" s="25">
        <f ca="1">K8*K10</f>
        <v>377115044.65562373</v>
      </c>
      <c r="L11" s="25">
        <f t="shared" ref="L11:O11" ca="1" si="1">L8*L10</f>
        <v>449248416.4016704</v>
      </c>
      <c r="M11" s="25">
        <f t="shared" ca="1" si="1"/>
        <v>422298382.40702486</v>
      </c>
      <c r="N11" s="25">
        <f t="shared" ca="1" si="1"/>
        <v>501577445.49885625</v>
      </c>
      <c r="O11" s="25">
        <f t="shared" ca="1" si="1"/>
        <v>478373567.54307097</v>
      </c>
    </row>
    <row r="14" spans="1:16" x14ac:dyDescent="0.25">
      <c r="B14" t="s">
        <v>244</v>
      </c>
      <c r="C14" s="25">
        <f ca="1">SUM(J11:O11)</f>
        <v>2171440684.4570317</v>
      </c>
      <c r="D14" t="s">
        <v>288</v>
      </c>
    </row>
    <row r="15" spans="1:16" x14ac:dyDescent="0.25">
      <c r="B15" t="s">
        <v>245</v>
      </c>
      <c r="C15" s="25">
        <f ca="1">O8*(1+C6)/(C5-C6)</f>
        <v>10221357003.338505</v>
      </c>
      <c r="D15" t="s">
        <v>288</v>
      </c>
    </row>
    <row r="16" spans="1:16" x14ac:dyDescent="0.25">
      <c r="B16" s="19" t="s">
        <v>265</v>
      </c>
      <c r="C16" s="66">
        <f ca="1">C15*O10</f>
        <v>3626845935.4260421</v>
      </c>
      <c r="D16" s="19" t="s">
        <v>288</v>
      </c>
    </row>
    <row r="17" spans="2:6" x14ac:dyDescent="0.25">
      <c r="B17" t="s">
        <v>266</v>
      </c>
      <c r="C17" s="34">
        <f ca="1">C14+C16</f>
        <v>5798286619.8830738</v>
      </c>
      <c r="D17" t="s">
        <v>288</v>
      </c>
    </row>
    <row r="20" spans="2:6" x14ac:dyDescent="0.25">
      <c r="B20" t="s">
        <v>246</v>
      </c>
    </row>
    <row r="21" spans="2:6" x14ac:dyDescent="0.25">
      <c r="B21" t="s">
        <v>247</v>
      </c>
    </row>
    <row r="22" spans="2:6" x14ac:dyDescent="0.25">
      <c r="B22" t="s">
        <v>240</v>
      </c>
      <c r="C22" s="50">
        <f>C24/C26*C27+C25/C26*C28*(1-C29)</f>
        <v>0.18849285435975399</v>
      </c>
    </row>
    <row r="24" spans="2:6" x14ac:dyDescent="0.25">
      <c r="B24" t="s">
        <v>248</v>
      </c>
      <c r="C24" s="41">
        <f>'Model Inputs'!J94</f>
        <v>100000000</v>
      </c>
    </row>
    <row r="25" spans="2:6" x14ac:dyDescent="0.25">
      <c r="B25" t="s">
        <v>249</v>
      </c>
      <c r="C25" s="40">
        <f>'Model Inputs'!J65</f>
        <v>50000000</v>
      </c>
    </row>
    <row r="26" spans="2:6" x14ac:dyDescent="0.25">
      <c r="B26" t="s">
        <v>263</v>
      </c>
      <c r="C26" s="25">
        <f>C24+C25</f>
        <v>150000000</v>
      </c>
    </row>
    <row r="27" spans="2:6" x14ac:dyDescent="0.25">
      <c r="B27" t="s">
        <v>250</v>
      </c>
      <c r="C27" s="32">
        <f>F29+F30*(F31-F29)</f>
        <v>0.21273928153963101</v>
      </c>
      <c r="D27" t="s">
        <v>253</v>
      </c>
      <c r="E27" t="s">
        <v>267</v>
      </c>
    </row>
    <row r="28" spans="2:6" x14ac:dyDescent="0.25">
      <c r="B28" t="s">
        <v>251</v>
      </c>
      <c r="C28" s="32">
        <f>'Model Inputs'!J68</f>
        <v>0.2</v>
      </c>
    </row>
    <row r="29" spans="2:6" x14ac:dyDescent="0.25">
      <c r="B29" t="s">
        <v>252</v>
      </c>
      <c r="C29" s="32">
        <f>'Model Inputs'!G61</f>
        <v>0.3</v>
      </c>
      <c r="E29" t="s">
        <v>254</v>
      </c>
      <c r="F29" s="32">
        <v>0.1</v>
      </c>
    </row>
    <row r="30" spans="2:6" x14ac:dyDescent="0.25">
      <c r="E30" t="s">
        <v>255</v>
      </c>
      <c r="F30">
        <v>1.825</v>
      </c>
    </row>
    <row r="31" spans="2:6" x14ac:dyDescent="0.25">
      <c r="E31" t="s">
        <v>258</v>
      </c>
      <c r="F31" s="32">
        <v>0.16177494878883891</v>
      </c>
    </row>
    <row r="32" spans="2:6" x14ac:dyDescent="0.25">
      <c r="F32" s="32"/>
    </row>
    <row r="33" spans="4:9" x14ac:dyDescent="0.25">
      <c r="F33" s="32"/>
    </row>
    <row r="34" spans="4:9" x14ac:dyDescent="0.25">
      <c r="D34" t="s">
        <v>259</v>
      </c>
      <c r="F34" s="32"/>
      <c r="I34" t="s">
        <v>257</v>
      </c>
    </row>
    <row r="35" spans="4:9" x14ac:dyDescent="0.25">
      <c r="D35">
        <v>1984</v>
      </c>
      <c r="E35">
        <v>100</v>
      </c>
    </row>
    <row r="36" spans="4:9" x14ac:dyDescent="0.25">
      <c r="D36">
        <v>2020</v>
      </c>
      <c r="E36" s="40">
        <v>22100</v>
      </c>
      <c r="H36" t="s">
        <v>256</v>
      </c>
    </row>
    <row r="37" spans="4:9" x14ac:dyDescent="0.25">
      <c r="D37" t="s">
        <v>260</v>
      </c>
      <c r="I37" s="50">
        <f>_xlfn.RRI(D36-D35,E35,E36)</f>
        <v>0.16177494878883891</v>
      </c>
    </row>
    <row r="38" spans="4:9" x14ac:dyDescent="0.25">
      <c r="D38" t="s">
        <v>261</v>
      </c>
    </row>
  </sheetData>
  <hyperlinks>
    <hyperlink ref="O1" location="'Table of Content'!A1" display="&gt;&gt; Table of Contents" xr:uid="{50DB1248-5EFA-441F-B165-AD373F3790F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480B5-5EB0-4EF4-B2F3-E199E8B08143}">
  <sheetPr>
    <tabColor theme="9" tint="-0.499984740745262"/>
  </sheetPr>
  <dimension ref="A1:P33"/>
  <sheetViews>
    <sheetView showGridLines="0" zoomScale="80" zoomScaleNormal="80" workbookViewId="0">
      <selection activeCell="H46" sqref="H46"/>
    </sheetView>
  </sheetViews>
  <sheetFormatPr defaultRowHeight="15" x14ac:dyDescent="0.25"/>
  <cols>
    <col min="1" max="1" width="7.28515625" customWidth="1"/>
    <col min="2" max="2" width="3.28515625" customWidth="1"/>
    <col min="4" max="4" width="42.140625" customWidth="1"/>
    <col min="5" max="5" width="8.5703125" customWidth="1"/>
    <col min="7" max="12" width="9.28515625" bestFit="1" customWidth="1"/>
    <col min="13" max="14" width="9.7109375" bestFit="1" customWidth="1"/>
    <col min="15" max="15" width="10.5703125" customWidth="1"/>
  </cols>
  <sheetData>
    <row r="1" spans="1:16" x14ac:dyDescent="0.25">
      <c r="A1" s="14"/>
      <c r="B1" s="14"/>
      <c r="C1" s="14" t="str">
        <f>Summary!D3</f>
        <v>M-pharmaceutical</v>
      </c>
      <c r="D1" s="14"/>
      <c r="E1" s="14"/>
      <c r="F1" s="14"/>
      <c r="G1" s="14"/>
      <c r="H1" s="14"/>
      <c r="I1" s="14"/>
      <c r="J1" s="14"/>
      <c r="K1" s="14" t="str">
        <f>Scenarios!K1</f>
        <v>Currently running scenario: Optimistic</v>
      </c>
      <c r="L1" s="14"/>
      <c r="M1" s="14"/>
      <c r="N1" s="14"/>
      <c r="O1" s="52" t="s">
        <v>237</v>
      </c>
      <c r="P1" s="14"/>
    </row>
    <row r="4" spans="1:16" x14ac:dyDescent="0.25">
      <c r="B4" s="20"/>
      <c r="C4" s="20"/>
      <c r="D4" s="20"/>
      <c r="E4" s="20"/>
      <c r="F4" s="21"/>
      <c r="G4" s="22">
        <v>2016</v>
      </c>
      <c r="H4" s="22">
        <v>2017</v>
      </c>
      <c r="I4" s="22">
        <v>2018</v>
      </c>
      <c r="J4" s="22">
        <v>2019</v>
      </c>
      <c r="K4" s="22">
        <v>2020</v>
      </c>
      <c r="L4" s="22">
        <v>2021</v>
      </c>
      <c r="M4" s="22">
        <v>2022</v>
      </c>
      <c r="N4" s="22">
        <v>2023</v>
      </c>
      <c r="O4" s="22">
        <v>2024</v>
      </c>
    </row>
    <row r="5" spans="1:16" x14ac:dyDescent="0.25">
      <c r="B5" s="6"/>
    </row>
    <row r="7" spans="1:16" x14ac:dyDescent="0.25">
      <c r="C7" s="6" t="s">
        <v>268</v>
      </c>
    </row>
    <row r="8" spans="1:16" x14ac:dyDescent="0.25">
      <c r="C8" s="6"/>
      <c r="D8" t="s">
        <v>26</v>
      </c>
      <c r="G8" s="67">
        <f ca="1">IFERROR('Balance Sheet'!G13/'Balance Sheet'!G28,0)</f>
        <v>0</v>
      </c>
      <c r="H8" s="67">
        <f ca="1">IFERROR('Balance Sheet'!H13/'Balance Sheet'!H28,0)</f>
        <v>0</v>
      </c>
      <c r="I8" s="67">
        <f ca="1">IFERROR('Balance Sheet'!I13/'Balance Sheet'!I28,0)</f>
        <v>0</v>
      </c>
      <c r="J8" s="67">
        <f ca="1">IFERROR('Balance Sheet'!J13/'Balance Sheet'!J28,0)</f>
        <v>0</v>
      </c>
      <c r="K8" s="67">
        <f ca="1">IFERROR('Balance Sheet'!K13/'Balance Sheet'!K28,0)</f>
        <v>52.474835888548533</v>
      </c>
      <c r="L8" s="67">
        <f ca="1">IFERROR('Balance Sheet'!L13/'Balance Sheet'!L28,0)</f>
        <v>53.247997395170295</v>
      </c>
      <c r="M8" s="67">
        <f ca="1">IFERROR('Balance Sheet'!M13/'Balance Sheet'!M28,0)</f>
        <v>62.220298655675187</v>
      </c>
      <c r="N8" s="67">
        <f ca="1">IFERROR('Balance Sheet'!N13/'Balance Sheet'!N28,0)</f>
        <v>79.084055667157457</v>
      </c>
      <c r="O8" s="67">
        <f ca="1">IFERROR('Balance Sheet'!O13/'Balance Sheet'!O28,0)</f>
        <v>88.85367344868628</v>
      </c>
    </row>
    <row r="9" spans="1:16" x14ac:dyDescent="0.25">
      <c r="C9" s="6"/>
      <c r="D9" t="s">
        <v>269</v>
      </c>
      <c r="G9" s="67">
        <f ca="1">IFERROR(('Balance Sheet'!G13-'Balance Sheet'!G14)/'Balance Sheet'!G28,0)</f>
        <v>0</v>
      </c>
      <c r="H9" s="67">
        <f ca="1">IFERROR(('Balance Sheet'!H13-'Balance Sheet'!H14)/'Balance Sheet'!H28,0)</f>
        <v>0</v>
      </c>
      <c r="I9" s="67">
        <f ca="1">IFERROR(('Balance Sheet'!I13-'Balance Sheet'!I14)/'Balance Sheet'!I28,0)</f>
        <v>0</v>
      </c>
      <c r="J9" s="67">
        <f ca="1">IFERROR(('Balance Sheet'!J13-'Balance Sheet'!J14)/'Balance Sheet'!J28,0)</f>
        <v>0</v>
      </c>
      <c r="K9" s="67">
        <f ca="1">IFERROR(('Balance Sheet'!K13-'Balance Sheet'!K14)/'Balance Sheet'!K28,0)</f>
        <v>51.641502555215204</v>
      </c>
      <c r="L9" s="67">
        <f ca="1">IFERROR(('Balance Sheet'!L13-'Balance Sheet'!L14)/'Balance Sheet'!L28,0)</f>
        <v>52.793451940624841</v>
      </c>
      <c r="M9" s="67">
        <f ca="1">IFERROR(('Balance Sheet'!M13-'Balance Sheet'!M14)/'Balance Sheet'!M28,0)</f>
        <v>61.765753201129733</v>
      </c>
      <c r="N9" s="67">
        <f ca="1">IFERROR(('Balance Sheet'!N13-'Balance Sheet'!N14)/'Balance Sheet'!N28,0)</f>
        <v>78.629510212612004</v>
      </c>
      <c r="O9" s="67">
        <f ca="1">IFERROR(('Balance Sheet'!O13-'Balance Sheet'!O14)/'Balance Sheet'!O28,0)</f>
        <v>88.399127994140827</v>
      </c>
    </row>
    <row r="10" spans="1:16" x14ac:dyDescent="0.25">
      <c r="C10" s="6"/>
      <c r="D10" t="s">
        <v>270</v>
      </c>
      <c r="G10" s="67">
        <f ca="1">IFERROR('Balance Sheet'!G18/'Balance Sheet'!G28,0)</f>
        <v>0</v>
      </c>
      <c r="H10" s="67">
        <f ca="1">IFERROR('Balance Sheet'!H18/'Balance Sheet'!H28,0)</f>
        <v>0</v>
      </c>
      <c r="I10" s="67">
        <f ca="1">IFERROR('Balance Sheet'!I18/'Balance Sheet'!I28,0)</f>
        <v>0</v>
      </c>
      <c r="J10" s="67">
        <f ca="1">IFERROR('Balance Sheet'!J18/'Balance Sheet'!J28,0)</f>
        <v>0</v>
      </c>
      <c r="K10" s="67">
        <f ca="1">IFERROR('Balance Sheet'!K18/'Balance Sheet'!K28,0)</f>
        <v>46.761872925585571</v>
      </c>
      <c r="L10" s="67">
        <f ca="1">IFERROR('Balance Sheet'!L18/'Balance Sheet'!L28,0)</f>
        <v>50.149748721382053</v>
      </c>
      <c r="M10" s="67">
        <f ca="1">IFERROR('Balance Sheet'!M18/'Balance Sheet'!M28,0)</f>
        <v>59.326322424313503</v>
      </c>
      <c r="N10" s="67">
        <f ca="1">IFERROR('Balance Sheet'!N18/'Balance Sheet'!N28,0)</f>
        <v>75.909364164502037</v>
      </c>
      <c r="O10" s="67">
        <f ca="1">IFERROR('Balance Sheet'!O18/'Balance Sheet'!O28,0)</f>
        <v>85.874680330250939</v>
      </c>
    </row>
    <row r="11" spans="1:16" x14ac:dyDescent="0.25">
      <c r="C11" s="6"/>
    </row>
    <row r="12" spans="1:16" x14ac:dyDescent="0.25">
      <c r="C12" s="6"/>
    </row>
    <row r="13" spans="1:16" x14ac:dyDescent="0.25">
      <c r="C13" s="6" t="s">
        <v>271</v>
      </c>
    </row>
    <row r="14" spans="1:16" x14ac:dyDescent="0.25">
      <c r="C14" s="6"/>
      <c r="D14" t="s">
        <v>272</v>
      </c>
      <c r="G14" s="41">
        <f>'Working Capital'!G20</f>
        <v>0</v>
      </c>
      <c r="H14" s="41">
        <f>'Working Capital'!H20</f>
        <v>0</v>
      </c>
      <c r="I14" s="41">
        <f>'Working Capital'!I20</f>
        <v>0</v>
      </c>
      <c r="J14" s="41">
        <f>'Working Capital'!J20</f>
        <v>15</v>
      </c>
      <c r="K14" s="41">
        <f>'Working Capital'!K20</f>
        <v>15</v>
      </c>
      <c r="L14" s="41">
        <f>'Working Capital'!L20</f>
        <v>15</v>
      </c>
      <c r="M14" s="41">
        <f>'Working Capital'!M20</f>
        <v>15</v>
      </c>
      <c r="N14" s="71">
        <f>'Working Capital'!N20</f>
        <v>15</v>
      </c>
      <c r="O14" s="71">
        <f>'Working Capital'!O20</f>
        <v>15</v>
      </c>
    </row>
    <row r="15" spans="1:16" x14ac:dyDescent="0.25">
      <c r="C15" s="6"/>
      <c r="D15" t="s">
        <v>99</v>
      </c>
      <c r="G15" s="41">
        <f>'Working Capital'!G21</f>
        <v>0</v>
      </c>
      <c r="H15" s="41">
        <f>'Working Capital'!H21</f>
        <v>0</v>
      </c>
      <c r="I15" s="41">
        <f>'Working Capital'!I21</f>
        <v>0</v>
      </c>
      <c r="J15" s="41">
        <f>'Working Capital'!J21</f>
        <v>5</v>
      </c>
      <c r="K15" s="41">
        <f>'Working Capital'!K21</f>
        <v>10</v>
      </c>
      <c r="L15" s="41">
        <f>'Working Capital'!L21</f>
        <v>20</v>
      </c>
      <c r="M15" s="41">
        <f>'Working Capital'!M21</f>
        <v>20</v>
      </c>
      <c r="N15" s="71">
        <f>'Working Capital'!N21</f>
        <v>20</v>
      </c>
      <c r="O15" s="71">
        <f>'Working Capital'!O21</f>
        <v>20</v>
      </c>
    </row>
    <row r="16" spans="1:16" x14ac:dyDescent="0.25">
      <c r="C16" s="6"/>
      <c r="D16" t="s">
        <v>273</v>
      </c>
      <c r="G16" s="41">
        <f>'Working Capital'!G22</f>
        <v>0</v>
      </c>
      <c r="H16" s="41">
        <f>'Working Capital'!H22</f>
        <v>0</v>
      </c>
      <c r="I16" s="41">
        <f>'Working Capital'!I22</f>
        <v>0</v>
      </c>
      <c r="J16" s="41">
        <f>'Working Capital'!J22</f>
        <v>10</v>
      </c>
      <c r="K16" s="41">
        <f>'Working Capital'!K22</f>
        <v>10</v>
      </c>
      <c r="L16" s="41">
        <f>'Working Capital'!L22</f>
        <v>10</v>
      </c>
      <c r="M16" s="41">
        <f>'Working Capital'!M22</f>
        <v>10</v>
      </c>
      <c r="N16" s="71">
        <f>'Working Capital'!N22</f>
        <v>10</v>
      </c>
      <c r="O16" s="71">
        <f>'Working Capital'!O22</f>
        <v>10</v>
      </c>
    </row>
    <row r="17" spans="3:15" x14ac:dyDescent="0.25">
      <c r="C17" s="6"/>
      <c r="D17" t="s">
        <v>274</v>
      </c>
      <c r="G17" s="67">
        <f ca="1">IFERROR('Income Statement'!G11/AVERAGE('Balance Sheet'!F13:G13),0)</f>
        <v>0</v>
      </c>
      <c r="H17" s="67">
        <f ca="1">IFERROR('Income Statement'!H11/AVERAGE('Balance Sheet'!G13:H13),0)</f>
        <v>0</v>
      </c>
      <c r="I17" s="67">
        <f ca="1">IFERROR('Income Statement'!I11/AVERAGE('Balance Sheet'!H13:I13),0)</f>
        <v>0</v>
      </c>
      <c r="J17" s="67">
        <f ca="1">IFERROR('Income Statement'!J11/AVERAGE('Balance Sheet'!I13:J13),0)</f>
        <v>0</v>
      </c>
      <c r="K17" s="67">
        <f ca="1">IFERROR('Income Statement'!K11/AVERAGE('Balance Sheet'!J13:K13),0)</f>
        <v>3.5578742206585132</v>
      </c>
      <c r="L17" s="67">
        <f ca="1">IFERROR('Income Statement'!L11/AVERAGE('Balance Sheet'!K13:L13),0)</f>
        <v>1.4562129905799601</v>
      </c>
      <c r="M17" s="67">
        <f ca="1">IFERROR('Income Statement'!M11/AVERAGE('Balance Sheet'!L13:M13),0)</f>
        <v>1.0096856955847173</v>
      </c>
      <c r="N17" s="72">
        <f ca="1">IFERROR('Income Statement'!N11/AVERAGE('Balance Sheet'!M13:N13),0)</f>
        <v>0.88039467134649108</v>
      </c>
      <c r="O17" s="72">
        <f ca="1">IFERROR('Income Statement'!O11/AVERAGE('Balance Sheet'!N13:O13),0)</f>
        <v>0.70367005306438746</v>
      </c>
    </row>
    <row r="18" spans="3:15" x14ac:dyDescent="0.25">
      <c r="C18" s="6"/>
      <c r="D18" t="s">
        <v>275</v>
      </c>
      <c r="G18" s="67">
        <f>IFERROR('Income Statement'!G11/AVERAGE('Balance Sheet'!F8:G8),0)</f>
        <v>0</v>
      </c>
      <c r="H18" s="67">
        <f>IFERROR('Income Statement'!H11/AVERAGE('Balance Sheet'!G8:H8),0)</f>
        <v>0</v>
      </c>
      <c r="I18" s="67">
        <f>IFERROR('Income Statement'!I11/AVERAGE('Balance Sheet'!H8:I8),0)</f>
        <v>0</v>
      </c>
      <c r="J18" s="67">
        <f>IFERROR('Income Statement'!J11/AVERAGE('Balance Sheet'!I8:J8),0)</f>
        <v>0</v>
      </c>
      <c r="K18" s="67">
        <f>IFERROR('Income Statement'!K11/AVERAGE('Balance Sheet'!J8:K8),0)</f>
        <v>16.633073101490417</v>
      </c>
      <c r="L18" s="67">
        <f>IFERROR('Income Statement'!L11/AVERAGE('Balance Sheet'!K8:L8),0)</f>
        <v>17.319077758895236</v>
      </c>
      <c r="M18" s="67">
        <f>IFERROR('Income Statement'!M11/AVERAGE('Balance Sheet'!L8:M8),0)</f>
        <v>20.301113585746101</v>
      </c>
      <c r="N18" s="72">
        <f>IFERROR('Income Statement'!N11/AVERAGE('Balance Sheet'!M8:N8),0)</f>
        <v>25.739845758354758</v>
      </c>
      <c r="O18" s="72">
        <f>IFERROR('Income Statement'!O11/AVERAGE('Balance Sheet'!N8:O8),0)</f>
        <v>32.474963984808142</v>
      </c>
    </row>
    <row r="19" spans="3:15" x14ac:dyDescent="0.25">
      <c r="C19" s="6"/>
      <c r="D19" t="s">
        <v>276</v>
      </c>
      <c r="G19" s="67">
        <f ca="1">IFERROR('Income Statement'!G11/AVERAGE('Balance Sheet'!F20:G20),0)</f>
        <v>0</v>
      </c>
      <c r="H19" s="67">
        <f ca="1">IFERROR('Income Statement'!H11/AVERAGE('Balance Sheet'!G20:H20),0)</f>
        <v>0</v>
      </c>
      <c r="I19" s="67">
        <f ca="1">IFERROR('Income Statement'!I11/AVERAGE('Balance Sheet'!H20:I20),0)</f>
        <v>0</v>
      </c>
      <c r="J19" s="67">
        <f ca="1">IFERROR('Income Statement'!J11/AVERAGE('Balance Sheet'!I20:J20),0)</f>
        <v>0</v>
      </c>
      <c r="K19" s="67">
        <f ca="1">IFERROR('Income Statement'!K11/AVERAGE('Balance Sheet'!J20:K20),0)</f>
        <v>2.930936377274592</v>
      </c>
      <c r="L19" s="67">
        <f ca="1">IFERROR('Income Statement'!L11/AVERAGE('Balance Sheet'!K20:L20),0)</f>
        <v>1.3432689993401385</v>
      </c>
      <c r="M19" s="67">
        <f ca="1">IFERROR('Income Statement'!M11/AVERAGE('Balance Sheet'!L20:M20),0)</f>
        <v>0.96184773369459287</v>
      </c>
      <c r="N19" s="67">
        <f ca="1">IFERROR('Income Statement'!N11/AVERAGE('Balance Sheet'!M20:N20),0)</f>
        <v>0.85127792541092495</v>
      </c>
      <c r="O19" s="72">
        <f ca="1">IFERROR('Income Statement'!O11/AVERAGE('Balance Sheet'!N20:O20),0)</f>
        <v>0.68874624568237064</v>
      </c>
    </row>
    <row r="20" spans="3:15" x14ac:dyDescent="0.25">
      <c r="C20" s="6"/>
    </row>
    <row r="21" spans="3:15" x14ac:dyDescent="0.25">
      <c r="C21" s="6"/>
    </row>
    <row r="22" spans="3:15" x14ac:dyDescent="0.25">
      <c r="C22" s="6" t="s">
        <v>277</v>
      </c>
    </row>
    <row r="23" spans="3:15" x14ac:dyDescent="0.25">
      <c r="C23" s="6"/>
      <c r="D23" t="s">
        <v>278</v>
      </c>
      <c r="G23" s="67">
        <f ca="1">IFERROR(('Balance Sheet'!G23+'Balance Sheet'!G28)/'Balance Sheet'!G38,0)</f>
        <v>0</v>
      </c>
      <c r="H23" s="67">
        <f ca="1">IFERROR(('Balance Sheet'!H23+'Balance Sheet'!H28)/'Balance Sheet'!H38,0)</f>
        <v>0</v>
      </c>
      <c r="I23" s="67">
        <f ca="1">IFERROR(('Balance Sheet'!I23+'Balance Sheet'!I28)/'Balance Sheet'!I38,0)</f>
        <v>0</v>
      </c>
      <c r="J23" s="67">
        <f ca="1">IFERROR(('Balance Sheet'!J23+'Balance Sheet'!J28)/'Balance Sheet'!J38,0)</f>
        <v>0.33663805859721813</v>
      </c>
      <c r="K23" s="67">
        <f ca="1">IFERROR(('Balance Sheet'!K23+'Balance Sheet'!K28)/'Balance Sheet'!K38,0)</f>
        <v>6.8968723496969628E-2</v>
      </c>
      <c r="L23" s="67">
        <f ca="1">IFERROR(('Balance Sheet'!L23+'Balance Sheet'!L28)/'Balance Sheet'!L38,0)</f>
        <v>3.7379109916824638E-2</v>
      </c>
      <c r="M23" s="67">
        <f ca="1">IFERROR(('Balance Sheet'!M23+'Balance Sheet'!M28)/'Balance Sheet'!M38,0)</f>
        <v>2.4230314919605044E-2</v>
      </c>
      <c r="N23" s="67">
        <f ca="1">IFERROR(('Balance Sheet'!N23+'Balance Sheet'!N28)/'Balance Sheet'!N38,0)</f>
        <v>1.5354987848606193E-2</v>
      </c>
      <c r="O23" s="67">
        <f ca="1">IFERROR(('Balance Sheet'!O23+'Balance Sheet'!O28)/'Balance Sheet'!O38,0)</f>
        <v>1.1060298183388873E-2</v>
      </c>
    </row>
    <row r="24" spans="3:15" x14ac:dyDescent="0.25">
      <c r="C24" s="6"/>
      <c r="D24" t="s">
        <v>279</v>
      </c>
      <c r="G24" s="67">
        <f ca="1">IFERROR(('Balance Sheet'!G23+'Balance Sheet'!G28)/'Balance Sheet'!G33,0)</f>
        <v>0</v>
      </c>
      <c r="H24" s="67">
        <f ca="1">IFERROR(('Balance Sheet'!H23+'Balance Sheet'!H28)/'Balance Sheet'!H33,0)</f>
        <v>0</v>
      </c>
      <c r="I24" s="67">
        <f ca="1">IFERROR(('Balance Sheet'!I23+'Balance Sheet'!I28)/'Balance Sheet'!I33,0)</f>
        <v>0</v>
      </c>
      <c r="J24" s="67">
        <f ca="1">IFERROR(('Balance Sheet'!J23+'Balance Sheet'!J28)/'Balance Sheet'!J33,0)</f>
        <v>0.50747267454829359</v>
      </c>
      <c r="K24" s="67">
        <f ca="1">IFERROR(('Balance Sheet'!K23+'Balance Sheet'!K28)/'Balance Sheet'!K33,0)</f>
        <v>7.4077772935853839E-2</v>
      </c>
      <c r="L24" s="67">
        <f ca="1">IFERROR(('Balance Sheet'!L23+'Balance Sheet'!L28)/'Balance Sheet'!L33,0)</f>
        <v>3.8830561752711282E-2</v>
      </c>
      <c r="M24" s="67">
        <f ca="1">IFERROR(('Balance Sheet'!M23+'Balance Sheet'!M28)/'Balance Sheet'!M33,0)</f>
        <v>2.4832002151828153E-2</v>
      </c>
      <c r="N24" s="67">
        <f ca="1">IFERROR(('Balance Sheet'!N23+'Balance Sheet'!N28)/'Balance Sheet'!N33,0)</f>
        <v>1.5594440289761292E-2</v>
      </c>
      <c r="O24" s="67">
        <f ca="1">IFERROR(('Balance Sheet'!O23+'Balance Sheet'!O28)/'Balance Sheet'!O33,0)</f>
        <v>1.1183996519779619E-2</v>
      </c>
    </row>
    <row r="25" spans="3:15" x14ac:dyDescent="0.25">
      <c r="C25" s="6"/>
      <c r="D25" t="s">
        <v>280</v>
      </c>
      <c r="G25" s="67">
        <f ca="1">IFERROR(-'Income Statement'!G29/'Income Statement'!G34,0)</f>
        <v>0</v>
      </c>
      <c r="H25" s="67">
        <f ca="1">IFERROR(-'Income Statement'!H29/'Income Statement'!H34,0)</f>
        <v>0</v>
      </c>
      <c r="I25" s="67">
        <f ca="1">IFERROR(-'Income Statement'!I29/'Income Statement'!I34,0)</f>
        <v>0</v>
      </c>
      <c r="J25" s="67">
        <f ca="1">IFERROR(-'Income Statement'!J29/'Income Statement'!J34,0)</f>
        <v>0</v>
      </c>
      <c r="K25" s="67">
        <f ca="1">IFERROR(-'Income Statement'!K29/'Income Statement'!K34,0)</f>
        <v>87.01486103012634</v>
      </c>
      <c r="L25" s="67">
        <f ca="1">IFERROR(-'Income Statement'!L29/'Income Statement'!L34,0)</f>
        <v>125.97120128765792</v>
      </c>
      <c r="M25" s="67">
        <f ca="1">IFERROR(-'Income Statement'!M29/'Income Statement'!M34,0)</f>
        <v>191.52829348882409</v>
      </c>
      <c r="N25" s="67">
        <f ca="1">IFERROR(-'Income Statement'!N29/'Income Statement'!N34,0)</f>
        <v>397.30819023323613</v>
      </c>
      <c r="O25" s="67">
        <f ca="1">IFERROR(-'Income Statement'!O29/'Income Statement'!O34,0)</f>
        <v>870.8888804664723</v>
      </c>
    </row>
    <row r="26" spans="3:15" x14ac:dyDescent="0.25">
      <c r="C26" s="6"/>
    </row>
    <row r="27" spans="3:15" x14ac:dyDescent="0.25">
      <c r="C27" s="6"/>
    </row>
    <row r="28" spans="3:15" x14ac:dyDescent="0.25">
      <c r="C28" s="6" t="s">
        <v>281</v>
      </c>
    </row>
    <row r="29" spans="3:15" x14ac:dyDescent="0.25">
      <c r="C29" s="6"/>
      <c r="D29" t="s">
        <v>22</v>
      </c>
      <c r="G29" s="32">
        <f>'Income Statement'!G16</f>
        <v>0</v>
      </c>
      <c r="H29" s="32">
        <f>'Income Statement'!H16</f>
        <v>0</v>
      </c>
      <c r="I29" s="32">
        <f>'Income Statement'!I16</f>
        <v>0</v>
      </c>
      <c r="J29" s="32">
        <f>'Income Statement'!J16</f>
        <v>0</v>
      </c>
      <c r="K29" s="32">
        <f>'Income Statement'!K16</f>
        <v>0.70967741935483875</v>
      </c>
      <c r="L29" s="32">
        <f>'Income Statement'!L16</f>
        <v>0.70771028037383177</v>
      </c>
      <c r="M29" s="32">
        <f>'Income Statement'!M16</f>
        <v>0.68323459715639812</v>
      </c>
      <c r="N29" s="32">
        <f>'Income Statement'!N16</f>
        <v>0.71592434411226358</v>
      </c>
      <c r="O29" s="32">
        <f>'Income Statement'!O16</f>
        <v>0.69390243902439019</v>
      </c>
    </row>
    <row r="30" spans="3:15" x14ac:dyDescent="0.25">
      <c r="C30" s="6"/>
      <c r="D30" t="s">
        <v>23</v>
      </c>
      <c r="G30" s="32">
        <f>'Income Statement'!G31</f>
        <v>0</v>
      </c>
      <c r="H30" s="32">
        <f>'Income Statement'!H31</f>
        <v>0</v>
      </c>
      <c r="I30" s="32">
        <f>'Income Statement'!I31</f>
        <v>0</v>
      </c>
      <c r="J30" s="32">
        <f>'Income Statement'!J31</f>
        <v>0</v>
      </c>
      <c r="K30" s="32">
        <f>'Income Statement'!K31</f>
        <v>0.64975254652125403</v>
      </c>
      <c r="L30" s="32">
        <f>'Income Statement'!L31</f>
        <v>0.6540560814520141</v>
      </c>
      <c r="M30" s="32">
        <f>'Income Statement'!M31</f>
        <v>0.63035904913383389</v>
      </c>
      <c r="N30" s="32">
        <f>'Income Statement'!N31</f>
        <v>0.67335806086576522</v>
      </c>
      <c r="O30" s="32">
        <f>'Income Statement'!O31</f>
        <v>0.65559235205244826</v>
      </c>
    </row>
    <row r="31" spans="3:15" x14ac:dyDescent="0.25">
      <c r="C31" s="6"/>
      <c r="D31" t="s">
        <v>282</v>
      </c>
      <c r="G31" s="32">
        <f ca="1">'Income Statement'!G41</f>
        <v>0</v>
      </c>
      <c r="H31" s="32">
        <f ca="1">'Income Statement'!H41</f>
        <v>0</v>
      </c>
      <c r="I31" s="32">
        <f ca="1">'Income Statement'!I41</f>
        <v>0</v>
      </c>
      <c r="J31" s="32">
        <f ca="1">'Income Statement'!J41</f>
        <v>0</v>
      </c>
      <c r="K31" s="32">
        <f ca="1">'Income Statement'!K41</f>
        <v>0.4584828519514893</v>
      </c>
      <c r="L31" s="32">
        <f ca="1">'Income Statement'!L41</f>
        <v>0.47645511236602445</v>
      </c>
      <c r="M31" s="32">
        <f ca="1">'Income Statement'!M41</f>
        <v>0.47183747676065407</v>
      </c>
      <c r="N31" s="32">
        <f ca="1">'Income Statement'!N41</f>
        <v>0.50822102308156902</v>
      </c>
      <c r="O31" s="32">
        <f ca="1">'Income Statement'!O41</f>
        <v>0.50632003274167259</v>
      </c>
    </row>
    <row r="32" spans="3:15" x14ac:dyDescent="0.25">
      <c r="C32" s="6"/>
      <c r="D32" t="s">
        <v>283</v>
      </c>
      <c r="G32" s="50">
        <f ca="1">IFERROR('Income Statement'!G39/AVERAGE('Balance Sheet'!F20:G20),0)</f>
        <v>0</v>
      </c>
      <c r="H32" s="50">
        <f ca="1">IFERROR('Income Statement'!H39/AVERAGE('Balance Sheet'!G20:H20),0)</f>
        <v>0</v>
      </c>
      <c r="I32" s="50">
        <f ca="1">IFERROR('Income Statement'!I39/AVERAGE('Balance Sheet'!H20:I20),0)</f>
        <v>0</v>
      </c>
      <c r="J32" s="50">
        <f ca="1">IFERROR('Income Statement'!J39/AVERAGE('Balance Sheet'!I20:J20),0)</f>
        <v>-1.9828351583308673E-2</v>
      </c>
      <c r="K32" s="50">
        <f ca="1">IFERROR('Income Statement'!K39/AVERAGE('Balance Sheet'!J20:K20),0)</f>
        <v>1.3437840691412211</v>
      </c>
      <c r="L32" s="50">
        <f ca="1">IFERROR('Income Statement'!L39/AVERAGE('Balance Sheet'!K20:L20),0)</f>
        <v>0.6400073820184029</v>
      </c>
      <c r="M32" s="50">
        <f ca="1">IFERROR('Income Statement'!M39/AVERAGE('Balance Sheet'!L20:M20),0)</f>
        <v>0.45383580769441023</v>
      </c>
      <c r="N32" s="50">
        <f ca="1">IFERROR('Income Statement'!N39/AVERAGE('Balance Sheet'!M20:N20),0)</f>
        <v>0.43263733817909589</v>
      </c>
      <c r="O32" s="50">
        <f ca="1">IFERROR('Income Statement'!O39/AVERAGE('Balance Sheet'!N20:O20),0)</f>
        <v>0.34872602166460198</v>
      </c>
    </row>
    <row r="33" spans="3:15" x14ac:dyDescent="0.25">
      <c r="C33" s="6"/>
      <c r="D33" t="s">
        <v>284</v>
      </c>
      <c r="G33" s="50">
        <f ca="1">IFERROR('Income Statement'!G39/'Balance Sheet'!G33,0)</f>
        <v>0</v>
      </c>
      <c r="H33" s="50">
        <f ca="1">IFERROR('Income Statement'!H39/'Balance Sheet'!H33,0)</f>
        <v>0</v>
      </c>
      <c r="I33" s="50">
        <f ca="1">IFERROR('Income Statement'!I39/'Balance Sheet'!I33,0)</f>
        <v>0</v>
      </c>
      <c r="J33" s="50">
        <f ca="1">IFERROR('Income Statement'!J39/'Balance Sheet'!J33,0)</f>
        <v>-1.4945349096587107E-2</v>
      </c>
      <c r="K33" s="50">
        <f ca="1">IFERROR('Income Statement'!K39/'Balance Sheet'!K33,0)</f>
        <v>0.8617212054486082</v>
      </c>
      <c r="L33" s="50">
        <f ca="1">IFERROR('Income Statement'!L39/'Balance Sheet'!L33,0)</f>
        <v>0.49884290717308244</v>
      </c>
      <c r="M33" s="50">
        <f ca="1">IFERROR('Income Statement'!M39/'Balance Sheet'!M33,0)</f>
        <v>0.38973206546743194</v>
      </c>
      <c r="N33" s="50">
        <f ca="1">IFERROR('Income Statement'!N39/'Balance Sheet'!N33,0)</f>
        <v>0.37105133260940582</v>
      </c>
      <c r="O33" s="50">
        <f ca="1">IFERROR('Income Statement'!O39/'Balance Sheet'!O33,0)</f>
        <v>0.30692513005874977</v>
      </c>
    </row>
  </sheetData>
  <hyperlinks>
    <hyperlink ref="O1" location="'Table of Content'!A1" display="&gt;&gt; Table of Contents" xr:uid="{C136C3F1-9BE8-4829-9B71-7F1DEBF05C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Table of Content</vt:lpstr>
      <vt:lpstr>Dashboard</vt:lpstr>
      <vt:lpstr>Scenarios</vt:lpstr>
      <vt:lpstr>Model Inputs</vt:lpstr>
      <vt:lpstr>Directors and Staff Costs</vt:lpstr>
      <vt:lpstr>Debt</vt:lpstr>
      <vt:lpstr>Revenue</vt:lpstr>
      <vt:lpstr>Cost of Sales</vt:lpstr>
      <vt:lpstr>Working Capital</vt:lpstr>
      <vt:lpstr>Depreciation</vt:lpstr>
      <vt:lpstr>Equity</vt:lpstr>
      <vt:lpstr>Tax</vt:lpstr>
      <vt:lpstr>Income Statement</vt:lpstr>
      <vt:lpstr>Balance Sheet</vt:lpstr>
      <vt:lpstr>Cashflow</vt:lpstr>
      <vt:lpstr>DCF Valuation </vt:lpstr>
      <vt:lpstr>Financial Ratios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irafasha rene</cp:lastModifiedBy>
  <dcterms:created xsi:type="dcterms:W3CDTF">2020-03-30T14:28:56Z</dcterms:created>
  <dcterms:modified xsi:type="dcterms:W3CDTF">2025-01-24T23:15:25Z</dcterms:modified>
</cp:coreProperties>
</file>