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velasquez/Desktop/python_projects/LCA/"/>
    </mc:Choice>
  </mc:AlternateContent>
  <xr:revisionPtr revIDLastSave="0" documentId="13_ncr:1_{0A3A13FE-86BC-8347-AAB8-59757B837764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coal_composition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G12" i="3"/>
  <c r="I4" i="3"/>
  <c r="I3" i="3"/>
  <c r="I2" i="3"/>
  <c r="H4" i="3"/>
  <c r="B12" i="3"/>
  <c r="B11" i="3"/>
  <c r="B28" i="3"/>
  <c r="C28" i="3"/>
  <c r="C26" i="3"/>
  <c r="D26" i="3"/>
  <c r="C27" i="3"/>
  <c r="D27" i="3"/>
  <c r="B26" i="3"/>
  <c r="B27" i="3"/>
  <c r="H3" i="3"/>
  <c r="H2" i="3"/>
  <c r="B54" i="2"/>
  <c r="D54" i="2"/>
  <c r="C54" i="2"/>
  <c r="C44" i="2"/>
  <c r="D44" i="2"/>
  <c r="B44" i="2"/>
  <c r="E44" i="2"/>
  <c r="B53" i="2"/>
  <c r="E49" i="2"/>
  <c r="P13" i="2"/>
  <c r="U9" i="2" s="1"/>
  <c r="P17" i="2"/>
  <c r="Q10" i="2"/>
  <c r="R10" i="2"/>
  <c r="S10" i="2"/>
  <c r="T10" i="2"/>
  <c r="Q11" i="2"/>
  <c r="R11" i="2"/>
  <c r="S11" i="2"/>
  <c r="T11" i="2"/>
  <c r="R9" i="2"/>
  <c r="S9" i="2"/>
  <c r="T9" i="2"/>
  <c r="Q9" i="2"/>
  <c r="J59" i="2"/>
  <c r="L59" i="2"/>
  <c r="M25" i="2"/>
  <c r="N25" i="2" s="1"/>
  <c r="M24" i="2"/>
  <c r="N24" i="2" s="1"/>
  <c r="M23" i="2"/>
  <c r="N23" i="2" s="1"/>
  <c r="F23" i="2"/>
  <c r="K55" i="2"/>
  <c r="J55" i="2"/>
  <c r="L54" i="2"/>
  <c r="K54" i="2"/>
  <c r="K59" i="2" s="1"/>
  <c r="J54" i="2"/>
  <c r="L53" i="2"/>
  <c r="K53" i="2"/>
  <c r="J53" i="2"/>
  <c r="M19" i="2"/>
  <c r="M18" i="2"/>
  <c r="M17" i="2"/>
  <c r="L12" i="2"/>
  <c r="C59" i="2"/>
  <c r="B55" i="2"/>
  <c r="C55" i="2"/>
  <c r="C53" i="2"/>
  <c r="D53" i="2"/>
  <c r="E23" i="2"/>
  <c r="E25" i="2"/>
  <c r="F25" i="2" s="1"/>
  <c r="E24" i="2"/>
  <c r="F24" i="2" s="1"/>
  <c r="E18" i="2"/>
  <c r="E19" i="2"/>
  <c r="E17" i="2"/>
  <c r="D12" i="2"/>
  <c r="D59" i="2" l="1"/>
  <c r="B59" i="2"/>
</calcChain>
</file>

<file path=xl/sharedStrings.xml><?xml version="1.0" encoding="utf-8"?>
<sst xmlns="http://schemas.openxmlformats.org/spreadsheetml/2006/main" count="392" uniqueCount="103">
  <si>
    <t>fuel_type</t>
  </si>
  <si>
    <t>C</t>
  </si>
  <si>
    <t>H</t>
  </si>
  <si>
    <t>O</t>
  </si>
  <si>
    <t>Cl</t>
  </si>
  <si>
    <t>S</t>
  </si>
  <si>
    <t>N</t>
  </si>
  <si>
    <t>Ash</t>
  </si>
  <si>
    <t>H2O</t>
  </si>
  <si>
    <t>fd</t>
  </si>
  <si>
    <t>fw</t>
  </si>
  <si>
    <t>fc</t>
  </si>
  <si>
    <t>PCS_MJ/KG</t>
  </si>
  <si>
    <t>PCI_MJ/KG</t>
  </si>
  <si>
    <t>bituminous_coal</t>
  </si>
  <si>
    <t>lignite_coal</t>
  </si>
  <si>
    <t>natural_gas</t>
  </si>
  <si>
    <t>subbituminous_coal</t>
  </si>
  <si>
    <t>Nombre combustible</t>
  </si>
  <si>
    <t>Bituminous Coal</t>
  </si>
  <si>
    <t>Lignite Coal</t>
  </si>
  <si>
    <t>Subbituminous Coal</t>
  </si>
  <si>
    <t>Carbón</t>
  </si>
  <si>
    <t>Bituminoso</t>
  </si>
  <si>
    <t>Lignito</t>
  </si>
  <si>
    <t>O2</t>
  </si>
  <si>
    <t>N2</t>
  </si>
  <si>
    <t>Sub Bituminoso</t>
  </si>
  <si>
    <t>CO2</t>
  </si>
  <si>
    <t>SO2</t>
  </si>
  <si>
    <t>Aire [kg]</t>
  </si>
  <si>
    <t>Combustible [kg]</t>
  </si>
  <si>
    <t>Productos [kg]</t>
  </si>
  <si>
    <t>RAC</t>
  </si>
  <si>
    <t>R GS/Comb</t>
  </si>
  <si>
    <t>R GH/Comb</t>
  </si>
  <si>
    <t>Fd</t>
  </si>
  <si>
    <t>Fw</t>
  </si>
  <si>
    <t>Fc</t>
  </si>
  <si>
    <t>-</t>
  </si>
  <si>
    <t>PCS [MJ/kg]</t>
  </si>
  <si>
    <t>Flujo Gases Secos EPA</t>
  </si>
  <si>
    <t>Flujo Gases Húmedos EPA</t>
  </si>
  <si>
    <t>Flujo Gases CO2 EPA</t>
  </si>
  <si>
    <t>Flujo Gases Secos analítico</t>
  </si>
  <si>
    <t>Flujo Gases Húmedos analítico</t>
  </si>
  <si>
    <t>Flujo Gases CO2 analítico</t>
  </si>
  <si>
    <t>% error gases secos</t>
  </si>
  <si>
    <t>% de error gases humedos</t>
  </si>
  <si>
    <t>% de error gases CO2</t>
  </si>
  <si>
    <t>Total Reactantes [kg]</t>
  </si>
  <si>
    <t>% diferencia (Productos / Reactantes)</t>
  </si>
  <si>
    <t>Variable</t>
  </si>
  <si>
    <t>Unidad</t>
  </si>
  <si>
    <t>Valor</t>
  </si>
  <si>
    <t>MW</t>
  </si>
  <si>
    <t>Eficiencia planta</t>
  </si>
  <si>
    <t>%</t>
  </si>
  <si>
    <t>Masa combustible</t>
  </si>
  <si>
    <t>PCS combustible</t>
  </si>
  <si>
    <t>MJ/kg</t>
  </si>
  <si>
    <t>kg</t>
  </si>
  <si>
    <t>Tiempo de combustión*</t>
  </si>
  <si>
    <t>segundos</t>
  </si>
  <si>
    <t>Potencia resultante</t>
  </si>
  <si>
    <t>MWh</t>
  </si>
  <si>
    <t>Factores de emisión</t>
  </si>
  <si>
    <t>wall-fired dry bottom</t>
  </si>
  <si>
    <t>wall-fired wet bottom</t>
  </si>
  <si>
    <t>cyclone</t>
  </si>
  <si>
    <t>PM</t>
  </si>
  <si>
    <t>SOXB</t>
  </si>
  <si>
    <t>NOXC</t>
  </si>
  <si>
    <t>COD,E</t>
  </si>
  <si>
    <t>Bituminous</t>
  </si>
  <si>
    <t>38S</t>
  </si>
  <si>
    <t>Rating</t>
  </si>
  <si>
    <t>A</t>
  </si>
  <si>
    <t>SubBituminous</t>
  </si>
  <si>
    <t>35S</t>
  </si>
  <si>
    <t>D</t>
  </si>
  <si>
    <t>E</t>
  </si>
  <si>
    <t>PM-10</t>
  </si>
  <si>
    <t>10A</t>
  </si>
  <si>
    <t>2.3A</t>
  </si>
  <si>
    <t>7A</t>
  </si>
  <si>
    <t>2.6A</t>
  </si>
  <si>
    <t>2A</t>
  </si>
  <si>
    <t>0.26A</t>
  </si>
  <si>
    <t>HCl</t>
  </si>
  <si>
    <t>HF</t>
  </si>
  <si>
    <t>B</t>
  </si>
  <si>
    <t>CH4</t>
  </si>
  <si>
    <t>N2O</t>
  </si>
  <si>
    <t>SCF/HR</t>
  </si>
  <si>
    <t>kg combustible</t>
  </si>
  <si>
    <t>PCI</t>
  </si>
  <si>
    <t>Potencia</t>
  </si>
  <si>
    <t>mcomb</t>
  </si>
  <si>
    <t>kg/hr</t>
  </si>
  <si>
    <t>PCI [MJ/kg]</t>
  </si>
  <si>
    <t>Diferencia de combustible</t>
  </si>
  <si>
    <t>kg combustible total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</si>
</sst>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9" fontId="0" fillId="0" borderId="10" xfId="43" applyFont="1" applyBorder="1" applyAlignment="1">
      <alignment horizontal="center"/>
    </xf>
    <xf numFmtId="10" fontId="0" fillId="0" borderId="10" xfId="43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74" fontId="0" fillId="0" borderId="10" xfId="0" applyNumberFormat="1" applyBorder="1" applyAlignment="1">
      <alignment horizontal="center"/>
    </xf>
    <xf numFmtId="0" fontId="18" fillId="0" borderId="0" xfId="0" applyFont="1"/>
    <xf numFmtId="9" fontId="0" fillId="0" borderId="0" xfId="43" applyFont="1"/>
    <xf numFmtId="41" fontId="0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4"/>
    </sheetView>
  </sheetViews>
  <sheetFormatPr baseColWidth="10" defaultRowHeight="16" x14ac:dyDescent="0.2"/>
  <cols>
    <col min="2" max="2" width="18.5" bestFit="1" customWidth="1"/>
  </cols>
  <sheetData>
    <row r="1" spans="1:15" x14ac:dyDescent="0.2">
      <c r="A1" t="s">
        <v>0</v>
      </c>
      <c r="B1" s="2" t="s">
        <v>18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 s="1" t="s">
        <v>19</v>
      </c>
      <c r="C2" s="1">
        <v>71.400000000000006</v>
      </c>
      <c r="D2" s="1">
        <v>4.62</v>
      </c>
      <c r="E2" s="1">
        <v>6.09</v>
      </c>
      <c r="F2" s="1">
        <v>7.0000000000000007E-2</v>
      </c>
      <c r="G2" s="1">
        <v>0.64</v>
      </c>
      <c r="H2" s="1">
        <v>1.42</v>
      </c>
      <c r="I2" s="1">
        <v>9.7899999999999991</v>
      </c>
      <c r="J2" s="1">
        <v>5.63</v>
      </c>
      <c r="K2">
        <v>9780</v>
      </c>
      <c r="L2">
        <v>10640</v>
      </c>
      <c r="M2">
        <v>1800</v>
      </c>
      <c r="N2">
        <v>32.07</v>
      </c>
      <c r="O2">
        <v>29.19</v>
      </c>
    </row>
    <row r="3" spans="1:15" x14ac:dyDescent="0.2">
      <c r="A3" t="s">
        <v>15</v>
      </c>
      <c r="B3" s="1" t="s">
        <v>20</v>
      </c>
      <c r="C3" s="1">
        <v>39.700000000000003</v>
      </c>
      <c r="D3" s="1">
        <v>2.7</v>
      </c>
      <c r="E3" s="1">
        <v>11.4</v>
      </c>
      <c r="F3" s="1">
        <v>0.02</v>
      </c>
      <c r="G3" s="1">
        <v>7.0000000000000007E-2</v>
      </c>
      <c r="H3" s="1">
        <v>0.06</v>
      </c>
      <c r="I3" s="1">
        <v>7.8</v>
      </c>
      <c r="J3" s="1">
        <v>37</v>
      </c>
      <c r="K3">
        <v>9860</v>
      </c>
      <c r="L3">
        <v>11950</v>
      </c>
      <c r="M3">
        <v>1910</v>
      </c>
      <c r="N3">
        <v>15.34</v>
      </c>
      <c r="O3">
        <v>14.72</v>
      </c>
    </row>
    <row r="4" spans="1:15" x14ac:dyDescent="0.2">
      <c r="A4" t="s">
        <v>17</v>
      </c>
      <c r="B4" s="1" t="s">
        <v>21</v>
      </c>
      <c r="C4" s="1">
        <v>48</v>
      </c>
      <c r="D4" s="1">
        <v>3.4</v>
      </c>
      <c r="E4" s="1">
        <v>11</v>
      </c>
      <c r="F4" s="1">
        <v>0.03</v>
      </c>
      <c r="G4" s="1">
        <v>0.05</v>
      </c>
      <c r="H4" s="1">
        <v>0.62</v>
      </c>
      <c r="I4" s="1">
        <v>6.4</v>
      </c>
      <c r="J4" s="1">
        <v>30</v>
      </c>
      <c r="N4">
        <v>18.64</v>
      </c>
      <c r="O4">
        <v>17.899999999999999</v>
      </c>
    </row>
    <row r="5" spans="1:15" x14ac:dyDescent="0.2">
      <c r="A5" t="s">
        <v>16</v>
      </c>
      <c r="C5">
        <v>1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8710</v>
      </c>
      <c r="L5">
        <v>10610</v>
      </c>
      <c r="M5">
        <v>1040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tabSelected="1" topLeftCell="F21" workbookViewId="0">
      <selection activeCell="K43" sqref="K43"/>
    </sheetView>
  </sheetViews>
  <sheetFormatPr baseColWidth="10" defaultRowHeight="16" x14ac:dyDescent="0.2"/>
  <cols>
    <col min="1" max="1" width="14" bestFit="1" customWidth="1"/>
    <col min="2" max="2" width="14" customWidth="1"/>
    <col min="3" max="3" width="15.1640625" bestFit="1" customWidth="1"/>
    <col min="4" max="4" width="22.33203125" bestFit="1" customWidth="1"/>
    <col min="5" max="5" width="19" bestFit="1" customWidth="1"/>
    <col min="7" max="7" width="12.33203125" customWidth="1"/>
    <col min="9" max="9" width="14" bestFit="1" customWidth="1"/>
    <col min="10" max="10" width="23.5" bestFit="1" customWidth="1"/>
    <col min="11" max="11" width="27" bestFit="1" customWidth="1"/>
    <col min="12" max="12" width="22.33203125" bestFit="1" customWidth="1"/>
    <col min="13" max="13" width="19" bestFit="1" customWidth="1"/>
    <col min="14" max="14" width="32.83203125" bestFit="1" customWidth="1"/>
    <col min="16" max="16" width="14" bestFit="1" customWidth="1"/>
  </cols>
  <sheetData>
    <row r="1" spans="1:21" x14ac:dyDescent="0.2">
      <c r="A1" s="2" t="s">
        <v>22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10"/>
      <c r="I1" s="2" t="s">
        <v>22</v>
      </c>
      <c r="J1" s="2" t="s">
        <v>1</v>
      </c>
      <c r="K1" s="2" t="s">
        <v>2</v>
      </c>
      <c r="L1" s="2" t="s">
        <v>3</v>
      </c>
      <c r="M1" s="2" t="s">
        <v>5</v>
      </c>
      <c r="N1" s="2" t="s">
        <v>6</v>
      </c>
      <c r="P1" s="2" t="s">
        <v>22</v>
      </c>
      <c r="Q1" s="2" t="s">
        <v>28</v>
      </c>
      <c r="R1" s="2" t="s">
        <v>29</v>
      </c>
      <c r="S1" s="2" t="s">
        <v>26</v>
      </c>
      <c r="T1" s="2" t="s">
        <v>8</v>
      </c>
      <c r="U1" s="2" t="s">
        <v>25</v>
      </c>
    </row>
    <row r="2" spans="1:21" x14ac:dyDescent="0.2">
      <c r="A2" s="1" t="s">
        <v>23</v>
      </c>
      <c r="B2" s="1">
        <v>84.42</v>
      </c>
      <c r="C2" s="1">
        <v>5.46</v>
      </c>
      <c r="D2" s="1">
        <v>7.2</v>
      </c>
      <c r="E2" s="1">
        <v>0.76</v>
      </c>
      <c r="F2" s="1">
        <v>1.68</v>
      </c>
      <c r="G2" s="11"/>
      <c r="I2" s="1" t="s">
        <v>23</v>
      </c>
      <c r="J2" s="1">
        <v>84.42</v>
      </c>
      <c r="K2" s="1">
        <v>5.46</v>
      </c>
      <c r="L2" s="1">
        <v>7.2</v>
      </c>
      <c r="M2" s="1">
        <v>0.76</v>
      </c>
      <c r="N2" s="1">
        <v>1.68</v>
      </c>
      <c r="P2" s="1" t="s">
        <v>23</v>
      </c>
      <c r="Q2" s="1">
        <v>7.0279999999999996</v>
      </c>
      <c r="R2" s="1">
        <v>2.4E-2</v>
      </c>
      <c r="S2" s="1">
        <v>34.472000000000001</v>
      </c>
      <c r="T2" s="1">
        <v>2.7090000000000001</v>
      </c>
      <c r="U2" s="6">
        <v>1.56</v>
      </c>
    </row>
    <row r="3" spans="1:21" x14ac:dyDescent="0.2">
      <c r="A3" s="1" t="s">
        <v>24</v>
      </c>
      <c r="B3" s="1">
        <v>71.900000000000006</v>
      </c>
      <c r="C3" s="1">
        <v>4.8899999999999997</v>
      </c>
      <c r="D3" s="1">
        <v>20.65</v>
      </c>
      <c r="E3" s="1">
        <v>0.13</v>
      </c>
      <c r="F3" s="1">
        <v>0.11</v>
      </c>
      <c r="G3" s="11"/>
      <c r="I3" s="1" t="s">
        <v>24</v>
      </c>
      <c r="J3" s="1">
        <v>71.900000000000006</v>
      </c>
      <c r="K3" s="1">
        <v>4.8899999999999997</v>
      </c>
      <c r="L3" s="1">
        <v>20.65</v>
      </c>
      <c r="M3" s="1">
        <v>0.13</v>
      </c>
      <c r="N3" s="1">
        <v>0.11</v>
      </c>
      <c r="P3" s="1" t="s">
        <v>24</v>
      </c>
      <c r="Q3" s="1">
        <v>5.9880000000000004</v>
      </c>
      <c r="R3" s="1">
        <v>4.0000000000000001E-3</v>
      </c>
      <c r="S3" s="1">
        <v>24.675999999999998</v>
      </c>
      <c r="T3" s="1">
        <v>2.4125000000000001</v>
      </c>
      <c r="U3" s="1"/>
    </row>
    <row r="4" spans="1:21" x14ac:dyDescent="0.2">
      <c r="A4" s="1" t="s">
        <v>27</v>
      </c>
      <c r="B4" s="1">
        <v>75.47</v>
      </c>
      <c r="C4" s="1">
        <v>5.35</v>
      </c>
      <c r="D4" s="1">
        <v>17.3</v>
      </c>
      <c r="E4" s="1">
        <v>7.9000000000000001E-2</v>
      </c>
      <c r="F4" s="1">
        <v>0.97</v>
      </c>
      <c r="G4" s="11"/>
      <c r="I4" s="1" t="s">
        <v>27</v>
      </c>
      <c r="J4" s="1">
        <v>75.47</v>
      </c>
      <c r="K4" s="1">
        <v>5.35</v>
      </c>
      <c r="L4" s="1">
        <v>17.3</v>
      </c>
      <c r="M4" s="1">
        <v>7.9000000000000001E-2</v>
      </c>
      <c r="N4" s="1">
        <v>0.97</v>
      </c>
      <c r="P4" s="1" t="s">
        <v>27</v>
      </c>
      <c r="Q4" s="1">
        <v>6.2839999999999998</v>
      </c>
      <c r="R4" s="1">
        <v>2E-3</v>
      </c>
      <c r="S4" s="1">
        <v>26.602</v>
      </c>
      <c r="T4" s="1">
        <v>2.6515</v>
      </c>
      <c r="U4" s="1"/>
    </row>
    <row r="6" spans="1:21" x14ac:dyDescent="0.2">
      <c r="A6" s="2" t="s">
        <v>22</v>
      </c>
      <c r="B6" s="2" t="s">
        <v>1</v>
      </c>
      <c r="C6" s="2" t="s">
        <v>2</v>
      </c>
      <c r="D6" s="2" t="s">
        <v>3</v>
      </c>
      <c r="E6" s="2" t="s">
        <v>5</v>
      </c>
      <c r="F6" s="2" t="s">
        <v>6</v>
      </c>
      <c r="G6" s="10"/>
      <c r="I6" s="2" t="s">
        <v>22</v>
      </c>
      <c r="J6" s="2" t="s">
        <v>1</v>
      </c>
      <c r="K6" s="2" t="s">
        <v>2</v>
      </c>
      <c r="L6" s="2" t="s">
        <v>3</v>
      </c>
      <c r="M6" s="2" t="s">
        <v>5</v>
      </c>
      <c r="N6" s="2" t="s">
        <v>6</v>
      </c>
      <c r="P6" s="5" t="s">
        <v>70</v>
      </c>
      <c r="Q6" s="5">
        <v>44</v>
      </c>
      <c r="R6" s="5">
        <v>64.066000000000003</v>
      </c>
      <c r="S6" s="5">
        <v>28</v>
      </c>
      <c r="T6" s="5">
        <v>18</v>
      </c>
      <c r="U6" s="5">
        <v>32</v>
      </c>
    </row>
    <row r="7" spans="1:21" x14ac:dyDescent="0.2">
      <c r="A7" s="1" t="s">
        <v>23</v>
      </c>
      <c r="B7" s="1">
        <v>7.0279999999999996</v>
      </c>
      <c r="C7" s="1">
        <v>5.4189999999999996</v>
      </c>
      <c r="D7" s="1">
        <v>0.45</v>
      </c>
      <c r="E7" s="1">
        <v>2.7E-2</v>
      </c>
      <c r="F7" s="1">
        <v>0.12</v>
      </c>
      <c r="G7" s="11"/>
      <c r="I7" s="1" t="s">
        <v>23</v>
      </c>
      <c r="J7" s="1">
        <v>7.0279999999999996</v>
      </c>
      <c r="K7" s="1">
        <v>5.4189999999999996</v>
      </c>
      <c r="L7" s="1">
        <v>0.45</v>
      </c>
      <c r="M7" s="1">
        <v>2.7E-2</v>
      </c>
      <c r="N7" s="1">
        <v>0.12</v>
      </c>
    </row>
    <row r="8" spans="1:21" x14ac:dyDescent="0.2">
      <c r="A8" s="1" t="s">
        <v>24</v>
      </c>
      <c r="B8" s="1">
        <v>5.9880000000000004</v>
      </c>
      <c r="C8" s="1">
        <v>4.8250000000000002</v>
      </c>
      <c r="D8" s="1">
        <v>1.2909999999999999</v>
      </c>
      <c r="E8" s="1">
        <v>4.0000000000000001E-3</v>
      </c>
      <c r="F8" s="1">
        <v>8.0000000000000002E-3</v>
      </c>
      <c r="G8" s="11"/>
      <c r="I8" s="1" t="s">
        <v>24</v>
      </c>
      <c r="J8" s="1">
        <v>5.9880000000000004</v>
      </c>
      <c r="K8" s="1">
        <v>4.8250000000000002</v>
      </c>
      <c r="L8" s="1">
        <v>1.2909999999999999</v>
      </c>
      <c r="M8" s="1">
        <v>4.0000000000000001E-3</v>
      </c>
      <c r="N8" s="1">
        <v>8.0000000000000002E-3</v>
      </c>
      <c r="P8" s="2" t="s">
        <v>22</v>
      </c>
      <c r="Q8" s="2" t="s">
        <v>28</v>
      </c>
      <c r="R8" s="2" t="s">
        <v>29</v>
      </c>
      <c r="S8" s="2" t="s">
        <v>26</v>
      </c>
      <c r="T8" s="2" t="s">
        <v>8</v>
      </c>
      <c r="U8" s="2" t="s">
        <v>25</v>
      </c>
    </row>
    <row r="9" spans="1:21" x14ac:dyDescent="0.2">
      <c r="A9" s="1" t="s">
        <v>27</v>
      </c>
      <c r="B9" s="1">
        <v>6.2839999999999998</v>
      </c>
      <c r="C9" s="1">
        <v>5.3029999999999999</v>
      </c>
      <c r="D9" s="1">
        <v>1.081</v>
      </c>
      <c r="E9" s="1">
        <v>2E-3</v>
      </c>
      <c r="F9" s="1">
        <v>7.0000000000000007E-2</v>
      </c>
      <c r="G9" s="11"/>
      <c r="I9" s="1" t="s">
        <v>27</v>
      </c>
      <c r="J9" s="1">
        <v>6.2839999999999998</v>
      </c>
      <c r="K9" s="1">
        <v>5.3029999999999999</v>
      </c>
      <c r="L9" s="1">
        <v>1.081</v>
      </c>
      <c r="M9" s="1">
        <v>2E-3</v>
      </c>
      <c r="N9" s="1">
        <v>7.0000000000000007E-2</v>
      </c>
      <c r="P9" s="1" t="s">
        <v>23</v>
      </c>
      <c r="Q9" s="1">
        <f>Q$6*Q2*$P$13</f>
        <v>919.08982457550474</v>
      </c>
      <c r="R9" s="1">
        <f t="shared" ref="R9:U9" si="0">R$6*R2*$P$13</f>
        <v>4.5699597998593386</v>
      </c>
      <c r="S9" s="1">
        <f t="shared" si="0"/>
        <v>2868.7852619310761</v>
      </c>
      <c r="T9" s="1">
        <f t="shared" si="0"/>
        <v>144.92891429719683</v>
      </c>
      <c r="U9" s="1">
        <f t="shared" si="0"/>
        <v>148.37068622525871</v>
      </c>
    </row>
    <row r="10" spans="1:21" x14ac:dyDescent="0.2">
      <c r="P10" s="1" t="s">
        <v>24</v>
      </c>
      <c r="Q10" s="1">
        <f t="shared" ref="Q10:T10" si="1">Q$6*Q3*$P$13</f>
        <v>783.08336220235117</v>
      </c>
      <c r="R10" s="1">
        <f t="shared" si="1"/>
        <v>0.76165996664322311</v>
      </c>
      <c r="S10" s="1">
        <f t="shared" si="1"/>
        <v>2053.5549177132521</v>
      </c>
      <c r="T10" s="1">
        <f t="shared" si="1"/>
        <v>129.06644730232091</v>
      </c>
    </row>
    <row r="11" spans="1:21" x14ac:dyDescent="0.2">
      <c r="A11" s="2" t="s">
        <v>22</v>
      </c>
      <c r="B11" s="2" t="s">
        <v>25</v>
      </c>
      <c r="C11" s="2" t="s">
        <v>26</v>
      </c>
      <c r="I11" s="2" t="s">
        <v>22</v>
      </c>
      <c r="J11" s="2" t="s">
        <v>25</v>
      </c>
      <c r="K11" s="2" t="s">
        <v>26</v>
      </c>
      <c r="P11" s="1" t="s">
        <v>27</v>
      </c>
      <c r="Q11" s="1">
        <f t="shared" ref="Q11:T11" si="2">Q$6*Q4*$P$13</f>
        <v>821.79289380086391</v>
      </c>
      <c r="R11" s="1">
        <f t="shared" si="2"/>
        <v>0.38082998332161155</v>
      </c>
      <c r="S11" s="1">
        <f t="shared" si="2"/>
        <v>2213.8380580729427</v>
      </c>
      <c r="T11" s="1">
        <f t="shared" si="2"/>
        <v>141.85271918014666</v>
      </c>
    </row>
    <row r="12" spans="1:21" x14ac:dyDescent="0.2">
      <c r="A12" s="1" t="s">
        <v>23</v>
      </c>
      <c r="B12" s="1">
        <v>8.1820000000000004</v>
      </c>
      <c r="C12" s="1">
        <v>30.779</v>
      </c>
      <c r="D12">
        <f>C12/B12</f>
        <v>3.7617941823515033</v>
      </c>
      <c r="I12" s="1" t="s">
        <v>23</v>
      </c>
      <c r="J12" s="1">
        <v>8.1820000000000004</v>
      </c>
      <c r="K12" s="1">
        <v>30.779</v>
      </c>
      <c r="L12">
        <f>K12/J12</f>
        <v>3.7617941823515033</v>
      </c>
    </row>
    <row r="13" spans="1:21" x14ac:dyDescent="0.2">
      <c r="A13" s="1" t="s">
        <v>24</v>
      </c>
      <c r="B13" s="1">
        <v>6.56</v>
      </c>
      <c r="C13" s="1">
        <v>24.675999999999998</v>
      </c>
      <c r="I13" s="1" t="s">
        <v>24</v>
      </c>
      <c r="J13" s="1">
        <v>6.56</v>
      </c>
      <c r="K13" s="1">
        <v>24.675999999999998</v>
      </c>
      <c r="P13">
        <f>295.82/99.53</f>
        <v>2.9721691952175222</v>
      </c>
    </row>
    <row r="14" spans="1:21" x14ac:dyDescent="0.2">
      <c r="A14" s="1" t="s">
        <v>27</v>
      </c>
      <c r="B14" s="1">
        <v>7.0709999999999997</v>
      </c>
      <c r="C14" s="1">
        <v>26.602</v>
      </c>
      <c r="I14" s="1" t="s">
        <v>27</v>
      </c>
      <c r="J14" s="1">
        <v>7.0709999999999997</v>
      </c>
      <c r="K14" s="1">
        <v>26.602</v>
      </c>
    </row>
    <row r="16" spans="1:21" x14ac:dyDescent="0.2">
      <c r="A16" s="2" t="s">
        <v>22</v>
      </c>
      <c r="B16" s="2" t="s">
        <v>28</v>
      </c>
      <c r="C16" s="2" t="s">
        <v>29</v>
      </c>
      <c r="D16" s="2" t="s">
        <v>26</v>
      </c>
      <c r="E16" s="2" t="s">
        <v>8</v>
      </c>
      <c r="I16" s="2" t="s">
        <v>22</v>
      </c>
      <c r="J16" s="2" t="s">
        <v>28</v>
      </c>
      <c r="K16" s="2" t="s">
        <v>29</v>
      </c>
      <c r="L16" s="2" t="s">
        <v>26</v>
      </c>
      <c r="M16" s="2" t="s">
        <v>8</v>
      </c>
    </row>
    <row r="17" spans="1:16" x14ac:dyDescent="0.2">
      <c r="A17" s="1" t="s">
        <v>23</v>
      </c>
      <c r="B17" s="1">
        <v>7.0279999999999996</v>
      </c>
      <c r="C17" s="1">
        <v>2.7E-2</v>
      </c>
      <c r="D17" s="1">
        <v>30.779</v>
      </c>
      <c r="E17" s="1">
        <f>C7/2</f>
        <v>2.7094999999999998</v>
      </c>
      <c r="I17" s="1" t="s">
        <v>23</v>
      </c>
      <c r="J17" s="1">
        <v>7.0279999999999996</v>
      </c>
      <c r="K17" s="1">
        <v>2.7E-2</v>
      </c>
      <c r="L17" s="1">
        <v>30.779</v>
      </c>
      <c r="M17" s="1">
        <f>K7/2</f>
        <v>2.7094999999999998</v>
      </c>
      <c r="P17">
        <f>(780+2950)/295</f>
        <v>12.64406779661017</v>
      </c>
    </row>
    <row r="18" spans="1:16" x14ac:dyDescent="0.2">
      <c r="A18" s="1" t="s">
        <v>24</v>
      </c>
      <c r="B18" s="1">
        <v>5.9880000000000004</v>
      </c>
      <c r="C18" s="1">
        <v>4.0000000000000001E-3</v>
      </c>
      <c r="D18" s="1">
        <v>24.675999999999998</v>
      </c>
      <c r="E18" s="1">
        <f t="shared" ref="E18:E19" si="3">C8/2</f>
        <v>2.4125000000000001</v>
      </c>
      <c r="I18" s="1" t="s">
        <v>24</v>
      </c>
      <c r="J18" s="1">
        <v>5.9880000000000004</v>
      </c>
      <c r="K18" s="1">
        <v>4.0000000000000001E-3</v>
      </c>
      <c r="L18" s="1">
        <v>24.675999999999998</v>
      </c>
      <c r="M18" s="1">
        <f t="shared" ref="M18:M19" si="4">K8/2</f>
        <v>2.4125000000000001</v>
      </c>
    </row>
    <row r="19" spans="1:16" x14ac:dyDescent="0.2">
      <c r="A19" s="1" t="s">
        <v>27</v>
      </c>
      <c r="B19" s="1">
        <v>6.2839999999999998</v>
      </c>
      <c r="C19" s="1">
        <v>2E-3</v>
      </c>
      <c r="D19" s="1">
        <v>26.602</v>
      </c>
      <c r="E19" s="1">
        <f t="shared" si="3"/>
        <v>2.6515</v>
      </c>
      <c r="I19" s="1" t="s">
        <v>27</v>
      </c>
      <c r="J19" s="1">
        <v>6.2839999999999998</v>
      </c>
      <c r="K19" s="1">
        <v>2E-3</v>
      </c>
      <c r="L19" s="1">
        <v>26.602</v>
      </c>
      <c r="M19" s="1">
        <f t="shared" si="4"/>
        <v>2.6515</v>
      </c>
    </row>
    <row r="22" spans="1:16" x14ac:dyDescent="0.2">
      <c r="A22" s="2" t="s">
        <v>22</v>
      </c>
      <c r="B22" s="2" t="s">
        <v>30</v>
      </c>
      <c r="C22" s="2" t="s">
        <v>31</v>
      </c>
      <c r="D22" s="2" t="s">
        <v>32</v>
      </c>
      <c r="E22" s="2" t="s">
        <v>50</v>
      </c>
      <c r="F22" s="2" t="s">
        <v>51</v>
      </c>
      <c r="I22" s="2" t="s">
        <v>22</v>
      </c>
      <c r="J22" s="2" t="s">
        <v>30</v>
      </c>
      <c r="K22" s="2" t="s">
        <v>31</v>
      </c>
      <c r="L22" s="2" t="s">
        <v>32</v>
      </c>
      <c r="M22" s="2" t="s">
        <v>50</v>
      </c>
      <c r="N22" s="2" t="s">
        <v>51</v>
      </c>
    </row>
    <row r="23" spans="1:16" x14ac:dyDescent="0.2">
      <c r="A23" s="1" t="s">
        <v>23</v>
      </c>
      <c r="B23" s="1">
        <v>1124.05</v>
      </c>
      <c r="C23" s="1">
        <v>99.53</v>
      </c>
      <c r="D23" s="1">
        <v>1222</v>
      </c>
      <c r="E23" s="1">
        <f>C23+B23</f>
        <v>1223.58</v>
      </c>
      <c r="F23" s="4">
        <f>ABS(E23-D23)/E23</f>
        <v>1.2912927638568197E-3</v>
      </c>
      <c r="I23" s="1" t="s">
        <v>23</v>
      </c>
      <c r="J23" s="1">
        <v>1258.94</v>
      </c>
      <c r="K23" s="1">
        <v>99.53</v>
      </c>
      <c r="L23" s="1">
        <v>1375</v>
      </c>
      <c r="M23" s="1">
        <f>K23+J23</f>
        <v>1358.47</v>
      </c>
      <c r="N23" s="4">
        <f>ABS(M23-L23)/M23</f>
        <v>1.216810087819383E-2</v>
      </c>
    </row>
    <row r="24" spans="1:16" x14ac:dyDescent="0.2">
      <c r="A24" s="1" t="s">
        <v>24</v>
      </c>
      <c r="B24" s="1">
        <v>901.18</v>
      </c>
      <c r="C24" s="1">
        <v>97.71</v>
      </c>
      <c r="D24" s="1">
        <v>999</v>
      </c>
      <c r="E24" s="1">
        <f>C24+B24</f>
        <v>998.89</v>
      </c>
      <c r="F24" s="4">
        <f t="shared" ref="F24:F25" si="5">ABS(E24-D24)/E24</f>
        <v>1.1012223568162024E-4</v>
      </c>
      <c r="I24" s="1" t="s">
        <v>24</v>
      </c>
      <c r="J24" s="1">
        <v>1009.32</v>
      </c>
      <c r="K24" s="1">
        <v>97.71</v>
      </c>
      <c r="L24" s="1">
        <v>1091</v>
      </c>
      <c r="M24" s="1">
        <f>K24+J24</f>
        <v>1107.03</v>
      </c>
      <c r="N24" s="4">
        <f t="shared" ref="N24:N25" si="6">ABS(M24-L24)/M24</f>
        <v>1.448018572215746E-2</v>
      </c>
    </row>
    <row r="25" spans="1:16" x14ac:dyDescent="0.2">
      <c r="A25" s="1" t="s">
        <v>27</v>
      </c>
      <c r="B25" s="1">
        <v>971.49</v>
      </c>
      <c r="C25" s="1">
        <v>99.16</v>
      </c>
      <c r="D25" s="1">
        <v>1070</v>
      </c>
      <c r="E25" s="1">
        <f>C25+B25</f>
        <v>1070.6500000000001</v>
      </c>
      <c r="F25" s="4">
        <f t="shared" si="5"/>
        <v>6.0710783169111372E-4</v>
      </c>
      <c r="I25" s="1" t="s">
        <v>27</v>
      </c>
      <c r="J25" s="1">
        <v>1088.06</v>
      </c>
      <c r="K25" s="1">
        <v>99.16</v>
      </c>
      <c r="L25" s="1">
        <v>1179</v>
      </c>
      <c r="M25" s="1">
        <f>K25+J25</f>
        <v>1187.22</v>
      </c>
      <c r="N25" s="4">
        <f t="shared" si="6"/>
        <v>6.9237378076515109E-3</v>
      </c>
    </row>
    <row r="27" spans="1:16" x14ac:dyDescent="0.2">
      <c r="A27" s="2" t="s">
        <v>22</v>
      </c>
      <c r="B27" s="2" t="s">
        <v>33</v>
      </c>
      <c r="C27" s="2" t="s">
        <v>34</v>
      </c>
      <c r="D27" s="2" t="s">
        <v>35</v>
      </c>
      <c r="I27" s="2" t="s">
        <v>22</v>
      </c>
      <c r="J27" s="2" t="s">
        <v>33</v>
      </c>
      <c r="K27" s="2" t="s">
        <v>34</v>
      </c>
      <c r="L27" s="2" t="s">
        <v>35</v>
      </c>
    </row>
    <row r="28" spans="1:16" x14ac:dyDescent="0.2">
      <c r="A28" s="1" t="s">
        <v>23</v>
      </c>
      <c r="B28" s="1">
        <v>11.24</v>
      </c>
      <c r="C28" s="1">
        <v>12.2</v>
      </c>
      <c r="D28" s="1">
        <v>11.73</v>
      </c>
      <c r="I28" s="1" t="s">
        <v>23</v>
      </c>
      <c r="J28" s="1">
        <v>12.59</v>
      </c>
      <c r="K28" s="1">
        <v>13.75</v>
      </c>
      <c r="L28" s="1">
        <v>13.26</v>
      </c>
    </row>
    <row r="29" spans="1:16" x14ac:dyDescent="0.2">
      <c r="A29" s="1" t="s">
        <v>24</v>
      </c>
      <c r="B29" s="1">
        <v>9.19</v>
      </c>
      <c r="C29" s="1">
        <v>10.19</v>
      </c>
      <c r="D29" s="1">
        <v>9.75</v>
      </c>
      <c r="I29" s="1" t="s">
        <v>24</v>
      </c>
      <c r="J29" s="1">
        <v>10.3</v>
      </c>
      <c r="K29" s="1">
        <v>11.13</v>
      </c>
      <c r="L29" s="1">
        <v>10.69</v>
      </c>
    </row>
    <row r="30" spans="1:16" x14ac:dyDescent="0.2">
      <c r="A30" s="1" t="s">
        <v>27</v>
      </c>
      <c r="B30" s="1">
        <v>9.81</v>
      </c>
      <c r="C30" s="1">
        <v>10.81</v>
      </c>
      <c r="D30" s="1">
        <v>10.33</v>
      </c>
      <c r="I30" s="1" t="s">
        <v>27</v>
      </c>
      <c r="J30" s="1">
        <v>10.99</v>
      </c>
      <c r="K30" s="1">
        <v>11.99</v>
      </c>
      <c r="L30" s="1">
        <v>11.43</v>
      </c>
    </row>
    <row r="32" spans="1:16" x14ac:dyDescent="0.2">
      <c r="A32" s="2" t="s">
        <v>22</v>
      </c>
      <c r="B32" s="2" t="s">
        <v>36</v>
      </c>
      <c r="C32" s="2" t="s">
        <v>37</v>
      </c>
      <c r="D32" s="2" t="s">
        <v>38</v>
      </c>
      <c r="I32" s="2" t="s">
        <v>22</v>
      </c>
      <c r="J32" s="2" t="s">
        <v>36</v>
      </c>
      <c r="K32" s="2" t="s">
        <v>37</v>
      </c>
      <c r="L32" s="2" t="s">
        <v>38</v>
      </c>
    </row>
    <row r="33" spans="1:12" x14ac:dyDescent="0.2">
      <c r="A33" s="1" t="s">
        <v>23</v>
      </c>
      <c r="B33" s="1">
        <v>9780</v>
      </c>
      <c r="C33" s="1">
        <v>10640</v>
      </c>
      <c r="D33" s="1">
        <v>1800</v>
      </c>
      <c r="I33" s="1" t="s">
        <v>23</v>
      </c>
      <c r="J33" s="1">
        <v>9780</v>
      </c>
      <c r="K33" s="1">
        <v>10640</v>
      </c>
      <c r="L33" s="1">
        <v>1800</v>
      </c>
    </row>
    <row r="34" spans="1:12" x14ac:dyDescent="0.2">
      <c r="A34" s="1" t="s">
        <v>24</v>
      </c>
      <c r="B34" s="1">
        <v>9860</v>
      </c>
      <c r="C34" s="1">
        <v>11950</v>
      </c>
      <c r="D34" s="1">
        <v>1910</v>
      </c>
      <c r="I34" s="1" t="s">
        <v>24</v>
      </c>
      <c r="J34" s="1">
        <v>9860</v>
      </c>
      <c r="K34" s="1">
        <v>11950</v>
      </c>
      <c r="L34" s="1">
        <v>1910</v>
      </c>
    </row>
    <row r="35" spans="1:12" x14ac:dyDescent="0.2">
      <c r="A35" s="1" t="s">
        <v>27</v>
      </c>
      <c r="B35" s="1" t="s">
        <v>39</v>
      </c>
      <c r="C35" s="1" t="s">
        <v>39</v>
      </c>
      <c r="D35" s="1" t="s">
        <v>39</v>
      </c>
      <c r="I35" s="1" t="s">
        <v>27</v>
      </c>
      <c r="J35" s="1" t="s">
        <v>39</v>
      </c>
      <c r="K35" s="1" t="s">
        <v>39</v>
      </c>
      <c r="L35" s="1" t="s">
        <v>39</v>
      </c>
    </row>
    <row r="37" spans="1:12" x14ac:dyDescent="0.2">
      <c r="A37" s="2" t="s">
        <v>22</v>
      </c>
      <c r="B37" s="2" t="s">
        <v>40</v>
      </c>
      <c r="C37" s="2" t="s">
        <v>40</v>
      </c>
      <c r="I37" s="2" t="s">
        <v>22</v>
      </c>
      <c r="J37" s="2" t="s">
        <v>40</v>
      </c>
      <c r="K37" s="2" t="s">
        <v>40</v>
      </c>
    </row>
    <row r="38" spans="1:12" x14ac:dyDescent="0.2">
      <c r="A38" s="1" t="s">
        <v>23</v>
      </c>
      <c r="B38" s="1">
        <v>32.07</v>
      </c>
      <c r="C38" s="1">
        <v>29.19</v>
      </c>
      <c r="I38" s="1" t="s">
        <v>23</v>
      </c>
      <c r="J38" s="1">
        <v>32.07</v>
      </c>
      <c r="K38" s="1">
        <v>29.19</v>
      </c>
    </row>
    <row r="39" spans="1:12" x14ac:dyDescent="0.2">
      <c r="A39" s="1" t="s">
        <v>24</v>
      </c>
      <c r="B39" s="1">
        <v>15.34</v>
      </c>
      <c r="C39" s="1">
        <v>14.72</v>
      </c>
      <c r="I39" s="1" t="s">
        <v>24</v>
      </c>
      <c r="J39" s="1">
        <v>15.34</v>
      </c>
      <c r="K39" s="1">
        <v>14.72</v>
      </c>
    </row>
    <row r="40" spans="1:12" x14ac:dyDescent="0.2">
      <c r="A40" s="1" t="s">
        <v>27</v>
      </c>
      <c r="B40" s="1">
        <v>18.64</v>
      </c>
      <c r="C40" s="1">
        <v>17.899999999999999</v>
      </c>
      <c r="I40" s="1" t="s">
        <v>27</v>
      </c>
      <c r="J40" s="1">
        <v>18.64</v>
      </c>
      <c r="K40" s="1">
        <v>17.899999999999999</v>
      </c>
    </row>
    <row r="42" spans="1:12" x14ac:dyDescent="0.2">
      <c r="A42" s="2" t="s">
        <v>22</v>
      </c>
      <c r="B42" s="2" t="s">
        <v>41</v>
      </c>
      <c r="C42" s="2" t="s">
        <v>42</v>
      </c>
      <c r="D42" s="2" t="s">
        <v>43</v>
      </c>
      <c r="I42" s="2" t="s">
        <v>22</v>
      </c>
      <c r="J42" s="2" t="s">
        <v>41</v>
      </c>
      <c r="K42" s="2" t="s">
        <v>42</v>
      </c>
      <c r="L42" s="2" t="s">
        <v>43</v>
      </c>
    </row>
    <row r="43" spans="1:12" x14ac:dyDescent="0.2">
      <c r="A43" s="1" t="s">
        <v>23</v>
      </c>
      <c r="B43" s="1">
        <v>29586</v>
      </c>
      <c r="C43" s="1">
        <v>32188</v>
      </c>
      <c r="D43" s="1">
        <v>5445</v>
      </c>
      <c r="I43" s="1" t="s">
        <v>23</v>
      </c>
      <c r="J43" s="1">
        <v>33137</v>
      </c>
      <c r="K43" s="1">
        <v>36051</v>
      </c>
      <c r="L43" s="1">
        <v>6098</v>
      </c>
    </row>
    <row r="44" spans="1:12" x14ac:dyDescent="0.2">
      <c r="A44" s="1" t="s">
        <v>24</v>
      </c>
      <c r="B44" s="12">
        <f>$C$24*B34*$B$39/10^7*947</f>
        <v>1399.5591787787998</v>
      </c>
      <c r="C44" s="12">
        <f t="shared" ref="C44:D44" si="7">$C$24*C34*$B$39/10^7*947</f>
        <v>1696.220302881</v>
      </c>
      <c r="D44" s="12">
        <f t="shared" si="7"/>
        <v>271.11136221779998</v>
      </c>
      <c r="E44">
        <f>C24*B34*B39/10^6*947</f>
        <v>13995.591787787998</v>
      </c>
      <c r="F44" t="s">
        <v>94</v>
      </c>
      <c r="I44" s="1" t="s">
        <v>24</v>
      </c>
      <c r="J44" s="1">
        <v>33567</v>
      </c>
      <c r="K44" s="1">
        <v>40682</v>
      </c>
      <c r="L44" s="1">
        <v>6502</v>
      </c>
    </row>
    <row r="45" spans="1:12" x14ac:dyDescent="0.2">
      <c r="A45" s="1" t="s">
        <v>27</v>
      </c>
      <c r="B45" s="1">
        <v>27798</v>
      </c>
      <c r="C45" s="1">
        <v>31419</v>
      </c>
      <c r="D45" s="1" t="s">
        <v>39</v>
      </c>
      <c r="I45" s="1" t="s">
        <v>27</v>
      </c>
      <c r="J45" s="1">
        <v>31134</v>
      </c>
      <c r="K45" s="1">
        <v>35189</v>
      </c>
      <c r="L45" s="1" t="s">
        <v>39</v>
      </c>
    </row>
    <row r="47" spans="1:12" x14ac:dyDescent="0.2">
      <c r="A47" s="2" t="s">
        <v>22</v>
      </c>
      <c r="B47" s="2" t="s">
        <v>44</v>
      </c>
      <c r="C47" s="2" t="s">
        <v>45</v>
      </c>
      <c r="D47" s="2" t="s">
        <v>46</v>
      </c>
      <c r="I47" s="2" t="s">
        <v>22</v>
      </c>
      <c r="J47" s="2" t="s">
        <v>44</v>
      </c>
      <c r="K47" s="2" t="s">
        <v>45</v>
      </c>
      <c r="L47" s="2" t="s">
        <v>46</v>
      </c>
    </row>
    <row r="48" spans="1:12" x14ac:dyDescent="0.2">
      <c r="A48" s="1" t="s">
        <v>23</v>
      </c>
      <c r="B48" s="5">
        <v>907</v>
      </c>
      <c r="C48" s="1">
        <v>944</v>
      </c>
      <c r="D48" s="1">
        <v>157</v>
      </c>
      <c r="I48" s="1" t="s">
        <v>23</v>
      </c>
      <c r="J48" s="5">
        <v>1100</v>
      </c>
      <c r="K48" s="1">
        <v>1141</v>
      </c>
      <c r="L48" s="1">
        <v>169</v>
      </c>
    </row>
    <row r="49" spans="1:12" x14ac:dyDescent="0.2">
      <c r="A49" s="1" t="s">
        <v>24</v>
      </c>
      <c r="B49" s="1">
        <v>739</v>
      </c>
      <c r="C49" s="1">
        <v>776</v>
      </c>
      <c r="D49" s="1">
        <v>134</v>
      </c>
      <c r="E49">
        <f>C29*C24/28*35.32</f>
        <v>1255.9601524285713</v>
      </c>
      <c r="I49" s="1" t="s">
        <v>24</v>
      </c>
      <c r="J49" s="1">
        <v>830</v>
      </c>
      <c r="K49" s="1">
        <v>864.89</v>
      </c>
      <c r="L49" s="1">
        <v>137.36000000000001</v>
      </c>
    </row>
    <row r="50" spans="1:12" x14ac:dyDescent="0.2">
      <c r="A50" s="1" t="s">
        <v>27</v>
      </c>
      <c r="B50" s="1">
        <v>795</v>
      </c>
      <c r="C50" s="1">
        <v>832</v>
      </c>
      <c r="D50" s="1" t="s">
        <v>39</v>
      </c>
      <c r="I50" s="1" t="s">
        <v>27</v>
      </c>
      <c r="J50" s="1">
        <v>944.7</v>
      </c>
      <c r="K50" s="1">
        <v>984.6</v>
      </c>
      <c r="L50" s="1" t="s">
        <v>39</v>
      </c>
    </row>
    <row r="52" spans="1:12" x14ac:dyDescent="0.2">
      <c r="A52" s="2" t="s">
        <v>22</v>
      </c>
      <c r="B52" s="2" t="s">
        <v>44</v>
      </c>
      <c r="C52" s="2" t="s">
        <v>45</v>
      </c>
      <c r="D52" s="2" t="s">
        <v>46</v>
      </c>
      <c r="I52" s="2" t="s">
        <v>22</v>
      </c>
      <c r="J52" s="2" t="s">
        <v>44</v>
      </c>
      <c r="K52" s="2" t="s">
        <v>45</v>
      </c>
      <c r="L52" s="2" t="s">
        <v>46</v>
      </c>
    </row>
    <row r="53" spans="1:12" x14ac:dyDescent="0.2">
      <c r="A53" s="1" t="s">
        <v>23</v>
      </c>
      <c r="B53" s="6">
        <f>B48*35.3147</f>
        <v>32030.432900000003</v>
      </c>
      <c r="C53" s="6">
        <f t="shared" ref="C53:D53" si="8">C48*35.3147</f>
        <v>33337.076800000003</v>
      </c>
      <c r="D53" s="6">
        <f t="shared" si="8"/>
        <v>5544.4079000000002</v>
      </c>
      <c r="I53" s="1" t="s">
        <v>23</v>
      </c>
      <c r="J53" s="6">
        <f>J48*35.3147</f>
        <v>38846.170000000006</v>
      </c>
      <c r="K53" s="6">
        <f t="shared" ref="K53:L53" si="9">K48*35.3147</f>
        <v>40294.072700000004</v>
      </c>
      <c r="L53" s="6">
        <f t="shared" si="9"/>
        <v>5968.1842999999999</v>
      </c>
    </row>
    <row r="54" spans="1:12" x14ac:dyDescent="0.2">
      <c r="A54" s="1" t="s">
        <v>24</v>
      </c>
      <c r="B54" s="6">
        <f>C29*$C$24/28*35.32</f>
        <v>1255.9601524285713</v>
      </c>
      <c r="C54" s="6">
        <f>D29*$C$24/28*35.32</f>
        <v>1201.7283107142855</v>
      </c>
      <c r="D54" s="6">
        <f>E29*$C$24/28*35.32</f>
        <v>0</v>
      </c>
      <c r="I54" s="1" t="s">
        <v>24</v>
      </c>
      <c r="J54" s="6">
        <f t="shared" ref="J54:L54" si="10">J49*35.3147</f>
        <v>29311.201000000001</v>
      </c>
      <c r="K54" s="6">
        <f t="shared" si="10"/>
        <v>30543.330883000002</v>
      </c>
      <c r="L54" s="6">
        <f t="shared" si="10"/>
        <v>4850.8271920000007</v>
      </c>
    </row>
    <row r="55" spans="1:12" x14ac:dyDescent="0.2">
      <c r="A55" s="1" t="s">
        <v>27</v>
      </c>
      <c r="B55" s="6">
        <f t="shared" ref="B55:C55" si="11">B50*35.3147</f>
        <v>28075.1865</v>
      </c>
      <c r="C55" s="6">
        <f t="shared" si="11"/>
        <v>29381.830400000003</v>
      </c>
      <c r="D55" s="6" t="s">
        <v>39</v>
      </c>
      <c r="I55" s="1" t="s">
        <v>27</v>
      </c>
      <c r="J55" s="6">
        <f t="shared" ref="J55:L55" si="12">J50*35.3147</f>
        <v>33361.79709</v>
      </c>
      <c r="K55" s="6">
        <f t="shared" si="12"/>
        <v>34770.853620000002</v>
      </c>
      <c r="L55" s="6" t="s">
        <v>39</v>
      </c>
    </row>
    <row r="57" spans="1:12" x14ac:dyDescent="0.2">
      <c r="A57" s="2" t="s">
        <v>22</v>
      </c>
      <c r="B57" s="2" t="s">
        <v>47</v>
      </c>
      <c r="C57" s="2" t="s">
        <v>48</v>
      </c>
      <c r="D57" s="2" t="s">
        <v>49</v>
      </c>
      <c r="I57" s="2" t="s">
        <v>22</v>
      </c>
      <c r="J57" s="2" t="s">
        <v>47</v>
      </c>
      <c r="K57" s="2" t="s">
        <v>48</v>
      </c>
      <c r="L57" s="2" t="s">
        <v>49</v>
      </c>
    </row>
    <row r="58" spans="1:12" x14ac:dyDescent="0.2">
      <c r="A58" s="1" t="s">
        <v>23</v>
      </c>
      <c r="B58" s="4">
        <v>8.2799999999999999E-2</v>
      </c>
      <c r="C58" s="4">
        <v>3.6600000000000001E-2</v>
      </c>
      <c r="D58" s="4">
        <v>2.1600000000000001E-2</v>
      </c>
      <c r="I58" s="1" t="s">
        <v>23</v>
      </c>
      <c r="J58" s="4">
        <v>0.17280000000000001</v>
      </c>
      <c r="K58" s="4">
        <v>0.1177</v>
      </c>
      <c r="L58" s="4">
        <v>2.1100000000000001E-2</v>
      </c>
    </row>
    <row r="59" spans="1:12" x14ac:dyDescent="0.2">
      <c r="A59" s="1" t="s">
        <v>24</v>
      </c>
      <c r="B59" s="4">
        <f>ABS(B54-B44)/B44</f>
        <v>0.10260303996257407</v>
      </c>
      <c r="C59" s="4">
        <f t="shared" ref="C59:D59" si="13">ABS(C54-C44)/C44</f>
        <v>0.29152580671675055</v>
      </c>
      <c r="D59" s="4">
        <f t="shared" si="13"/>
        <v>1</v>
      </c>
      <c r="I59" s="1" t="s">
        <v>24</v>
      </c>
      <c r="J59" s="4">
        <f>ABS(J54-J44)/J44</f>
        <v>0.12678520570798699</v>
      </c>
      <c r="K59" s="4">
        <f t="shared" ref="K59:L59" si="14">ABS(K54-K44)/K44</f>
        <v>0.24921756838405185</v>
      </c>
      <c r="L59" s="4">
        <f t="shared" si="14"/>
        <v>0.25394844786219617</v>
      </c>
    </row>
    <row r="60" spans="1:12" x14ac:dyDescent="0.2">
      <c r="A60" s="1" t="s">
        <v>27</v>
      </c>
      <c r="B60" s="4">
        <v>1.06E-2</v>
      </c>
      <c r="C60" s="4">
        <v>6.4100000000000004E-2</v>
      </c>
      <c r="D60" s="4" t="s">
        <v>39</v>
      </c>
      <c r="I60" s="1" t="s">
        <v>27</v>
      </c>
      <c r="J60" s="4">
        <v>7.1599999999999997E-2</v>
      </c>
      <c r="K60" s="4">
        <v>1.1900000000000001E-2</v>
      </c>
      <c r="L60" s="4" t="s">
        <v>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9E8B-65F1-5342-9A33-38EA0598AC24}">
  <dimension ref="A1:AE28"/>
  <sheetViews>
    <sheetView topLeftCell="E1" zoomScale="208" workbookViewId="0">
      <selection activeCell="F11" sqref="F11:G14"/>
    </sheetView>
  </sheetViews>
  <sheetFormatPr baseColWidth="10" defaultRowHeight="16" x14ac:dyDescent="0.2"/>
  <cols>
    <col min="1" max="1" width="21" bestFit="1" customWidth="1"/>
    <col min="2" max="2" width="12.6640625" bestFit="1" customWidth="1"/>
    <col min="6" max="6" width="18.5" bestFit="1" customWidth="1"/>
    <col min="7" max="7" width="14.33203125" customWidth="1"/>
    <col min="8" max="8" width="17.6640625" customWidth="1"/>
    <col min="9" max="9" width="23" bestFit="1" customWidth="1"/>
    <col min="13" max="13" width="19.5" bestFit="1" customWidth="1"/>
  </cols>
  <sheetData>
    <row r="1" spans="1:31" x14ac:dyDescent="0.2">
      <c r="A1" s="2" t="s">
        <v>52</v>
      </c>
      <c r="B1" s="2" t="s">
        <v>54</v>
      </c>
      <c r="C1" s="2" t="s">
        <v>53</v>
      </c>
      <c r="F1" s="2" t="s">
        <v>22</v>
      </c>
      <c r="G1" s="2" t="s">
        <v>100</v>
      </c>
      <c r="H1" s="2" t="s">
        <v>95</v>
      </c>
      <c r="I1" s="2" t="s">
        <v>101</v>
      </c>
    </row>
    <row r="2" spans="1:31" x14ac:dyDescent="0.2">
      <c r="A2" s="1" t="s">
        <v>56</v>
      </c>
      <c r="B2" s="1">
        <v>0.41690861842529026</v>
      </c>
      <c r="C2" s="1" t="s">
        <v>57</v>
      </c>
      <c r="F2" s="1" t="s">
        <v>23</v>
      </c>
      <c r="G2" s="1">
        <v>29.19</v>
      </c>
      <c r="H2" s="8">
        <f>$B$5*$B$6/($B$2*G2)</f>
        <v>295.82</v>
      </c>
      <c r="I2" s="3">
        <f>1-H2/H2</f>
        <v>0</v>
      </c>
      <c r="M2" s="9" t="s">
        <v>74</v>
      </c>
    </row>
    <row r="3" spans="1:31" x14ac:dyDescent="0.2">
      <c r="A3" s="1" t="s">
        <v>58</v>
      </c>
      <c r="B3" s="1">
        <v>295.82</v>
      </c>
      <c r="C3" s="1" t="s">
        <v>61</v>
      </c>
      <c r="F3" s="1" t="s">
        <v>24</v>
      </c>
      <c r="G3" s="1">
        <v>14.72</v>
      </c>
      <c r="H3" s="8">
        <f t="shared" ref="H3:H4" si="0">$B$5*$B$6/($B$2*G3)</f>
        <v>586.61588315217398</v>
      </c>
      <c r="I3" s="3">
        <f>H3/H2-1</f>
        <v>0.98301630434782639</v>
      </c>
      <c r="M3" s="1" t="s">
        <v>66</v>
      </c>
      <c r="N3" s="1" t="s">
        <v>71</v>
      </c>
      <c r="O3" s="1" t="s">
        <v>76</v>
      </c>
      <c r="P3" s="1" t="s">
        <v>72</v>
      </c>
      <c r="Q3" s="1" t="s">
        <v>76</v>
      </c>
      <c r="R3" s="1" t="s">
        <v>73</v>
      </c>
      <c r="S3" s="1" t="s">
        <v>76</v>
      </c>
      <c r="T3" s="1" t="s">
        <v>70</v>
      </c>
      <c r="U3" s="1" t="s">
        <v>76</v>
      </c>
      <c r="V3" s="1" t="s">
        <v>82</v>
      </c>
      <c r="W3" s="1" t="s">
        <v>76</v>
      </c>
      <c r="X3" s="1" t="s">
        <v>89</v>
      </c>
      <c r="Y3" s="1" t="s">
        <v>76</v>
      </c>
      <c r="Z3" s="1" t="s">
        <v>90</v>
      </c>
      <c r="AA3" s="1" t="s">
        <v>76</v>
      </c>
      <c r="AB3" s="1" t="s">
        <v>92</v>
      </c>
      <c r="AC3" s="1" t="s">
        <v>76</v>
      </c>
      <c r="AD3" s="1" t="s">
        <v>93</v>
      </c>
      <c r="AE3" s="1" t="s">
        <v>76</v>
      </c>
    </row>
    <row r="4" spans="1:31" x14ac:dyDescent="0.2">
      <c r="A4" s="1" t="s">
        <v>59</v>
      </c>
      <c r="B4" s="1">
        <v>32.07</v>
      </c>
      <c r="C4" s="1" t="s">
        <v>60</v>
      </c>
      <c r="F4" s="1" t="s">
        <v>27</v>
      </c>
      <c r="G4" s="1">
        <v>17.899999999999999</v>
      </c>
      <c r="H4" s="8">
        <f>$B$5*$B$6/($B$2*G4)</f>
        <v>482.40144134078218</v>
      </c>
      <c r="I4" s="3">
        <f>H4/H2-1</f>
        <v>0.63072625698324036</v>
      </c>
      <c r="M4" s="1" t="s">
        <v>67</v>
      </c>
      <c r="N4" s="1" t="s">
        <v>75</v>
      </c>
      <c r="O4" s="1" t="s">
        <v>77</v>
      </c>
      <c r="P4" s="1">
        <v>22</v>
      </c>
      <c r="Q4" s="1" t="s">
        <v>77</v>
      </c>
      <c r="R4" s="1">
        <v>0.5</v>
      </c>
      <c r="S4" s="1" t="s">
        <v>77</v>
      </c>
      <c r="T4" s="1" t="s">
        <v>83</v>
      </c>
      <c r="U4" s="1" t="s">
        <v>77</v>
      </c>
      <c r="V4" s="1" t="s">
        <v>84</v>
      </c>
      <c r="W4" s="1" t="s">
        <v>81</v>
      </c>
      <c r="X4" s="1">
        <v>1.2</v>
      </c>
      <c r="Y4" s="1" t="s">
        <v>91</v>
      </c>
      <c r="Z4" s="1">
        <v>0.15</v>
      </c>
      <c r="AA4" s="1" t="s">
        <v>91</v>
      </c>
      <c r="AB4" s="1">
        <v>0.04</v>
      </c>
      <c r="AC4" s="1" t="s">
        <v>91</v>
      </c>
      <c r="AD4" s="1">
        <v>0.03</v>
      </c>
      <c r="AE4" s="1" t="s">
        <v>91</v>
      </c>
    </row>
    <row r="5" spans="1:31" x14ac:dyDescent="0.2">
      <c r="A5" s="6" t="s">
        <v>62</v>
      </c>
      <c r="B5" s="6">
        <v>3600</v>
      </c>
      <c r="C5" s="6" t="s">
        <v>63</v>
      </c>
      <c r="M5" s="1" t="s">
        <v>68</v>
      </c>
      <c r="N5" s="1" t="s">
        <v>75</v>
      </c>
      <c r="O5" s="1" t="s">
        <v>77</v>
      </c>
      <c r="P5" s="1">
        <v>31</v>
      </c>
      <c r="Q5" s="1" t="s">
        <v>80</v>
      </c>
      <c r="R5" s="1">
        <v>0.5</v>
      </c>
      <c r="S5" s="1" t="s">
        <v>77</v>
      </c>
      <c r="T5" s="1" t="s">
        <v>85</v>
      </c>
      <c r="U5" s="1" t="s">
        <v>80</v>
      </c>
      <c r="V5" s="1" t="s">
        <v>86</v>
      </c>
      <c r="W5" s="1" t="s">
        <v>81</v>
      </c>
      <c r="X5" s="1">
        <v>1.2</v>
      </c>
      <c r="Y5" s="1" t="s">
        <v>91</v>
      </c>
      <c r="Z5" s="1">
        <v>0.15</v>
      </c>
      <c r="AA5" s="1" t="s">
        <v>91</v>
      </c>
      <c r="AB5" s="1">
        <v>0.05</v>
      </c>
      <c r="AC5" s="1" t="s">
        <v>91</v>
      </c>
      <c r="AD5" s="1">
        <v>0.08</v>
      </c>
      <c r="AE5" s="1" t="s">
        <v>91</v>
      </c>
    </row>
    <row r="6" spans="1:31" x14ac:dyDescent="0.2">
      <c r="A6" s="6" t="s">
        <v>64</v>
      </c>
      <c r="B6" s="8">
        <v>1</v>
      </c>
      <c r="C6" s="6" t="s">
        <v>65</v>
      </c>
      <c r="F6" s="2" t="s">
        <v>22</v>
      </c>
      <c r="G6" s="2" t="s">
        <v>40</v>
      </c>
      <c r="H6" s="2" t="s">
        <v>95</v>
      </c>
      <c r="M6" s="1" t="s">
        <v>69</v>
      </c>
      <c r="N6" s="1" t="s">
        <v>75</v>
      </c>
      <c r="O6" s="1" t="s">
        <v>77</v>
      </c>
      <c r="P6" s="1">
        <v>33</v>
      </c>
      <c r="Q6" s="1" t="s">
        <v>77</v>
      </c>
      <c r="R6" s="1">
        <v>0.5</v>
      </c>
      <c r="S6" s="1" t="s">
        <v>77</v>
      </c>
      <c r="T6" s="1" t="s">
        <v>87</v>
      </c>
      <c r="U6" s="1" t="s">
        <v>81</v>
      </c>
      <c r="V6" s="1" t="s">
        <v>88</v>
      </c>
      <c r="W6" s="1" t="s">
        <v>81</v>
      </c>
      <c r="X6" s="1">
        <v>1.2</v>
      </c>
      <c r="Y6" s="1" t="s">
        <v>91</v>
      </c>
      <c r="Z6" s="1">
        <v>0.15</v>
      </c>
      <c r="AA6" s="1" t="s">
        <v>91</v>
      </c>
      <c r="AB6" s="1">
        <v>0.01</v>
      </c>
      <c r="AC6" s="1" t="s">
        <v>91</v>
      </c>
      <c r="AD6" s="1">
        <v>0.09</v>
      </c>
      <c r="AE6" s="1" t="s">
        <v>91</v>
      </c>
    </row>
    <row r="7" spans="1:31" x14ac:dyDescent="0.2">
      <c r="F7" s="1" t="s">
        <v>23</v>
      </c>
      <c r="G7" s="1">
        <v>32.07</v>
      </c>
      <c r="H7" s="8">
        <v>100</v>
      </c>
      <c r="M7" s="7"/>
    </row>
    <row r="8" spans="1:31" x14ac:dyDescent="0.2">
      <c r="A8" s="5" t="s">
        <v>97</v>
      </c>
      <c r="B8" s="5">
        <v>1</v>
      </c>
      <c r="C8" s="5" t="s">
        <v>55</v>
      </c>
      <c r="F8" s="1" t="s">
        <v>24</v>
      </c>
      <c r="G8" s="1">
        <v>15.34</v>
      </c>
      <c r="H8" s="8">
        <v>100</v>
      </c>
      <c r="M8" s="9" t="s">
        <v>78</v>
      </c>
    </row>
    <row r="9" spans="1:31" x14ac:dyDescent="0.2">
      <c r="A9" s="5" t="s">
        <v>96</v>
      </c>
      <c r="B9" s="5">
        <v>29.19</v>
      </c>
      <c r="C9" s="5" t="s">
        <v>60</v>
      </c>
      <c r="F9" s="1" t="s">
        <v>27</v>
      </c>
      <c r="G9" s="1">
        <v>18.64</v>
      </c>
      <c r="H9" s="8">
        <v>100</v>
      </c>
      <c r="M9" s="1" t="s">
        <v>66</v>
      </c>
      <c r="N9" s="1" t="s">
        <v>71</v>
      </c>
      <c r="O9" s="1" t="s">
        <v>76</v>
      </c>
      <c r="P9" s="1" t="s">
        <v>72</v>
      </c>
      <c r="Q9" s="1" t="s">
        <v>76</v>
      </c>
      <c r="R9" s="1" t="s">
        <v>73</v>
      </c>
      <c r="S9" s="1" t="s">
        <v>76</v>
      </c>
      <c r="T9" s="1" t="s">
        <v>70</v>
      </c>
      <c r="U9" s="1" t="s">
        <v>76</v>
      </c>
      <c r="V9" s="1" t="s">
        <v>82</v>
      </c>
      <c r="W9" s="1" t="s">
        <v>76</v>
      </c>
      <c r="X9" s="1" t="s">
        <v>89</v>
      </c>
      <c r="Y9" s="1" t="s">
        <v>76</v>
      </c>
      <c r="Z9" s="1" t="s">
        <v>90</v>
      </c>
      <c r="AA9" s="1" t="s">
        <v>76</v>
      </c>
      <c r="AB9" s="1" t="s">
        <v>92</v>
      </c>
      <c r="AC9" s="1" t="s">
        <v>76</v>
      </c>
      <c r="AD9" s="1" t="s">
        <v>93</v>
      </c>
      <c r="AE9" s="1" t="s">
        <v>76</v>
      </c>
    </row>
    <row r="10" spans="1:31" x14ac:dyDescent="0.2">
      <c r="A10" s="5" t="s">
        <v>98</v>
      </c>
      <c r="B10" s="5">
        <v>295.82</v>
      </c>
      <c r="C10" s="5" t="s">
        <v>99</v>
      </c>
      <c r="M10" s="1" t="s">
        <v>67</v>
      </c>
      <c r="N10" s="1" t="s">
        <v>79</v>
      </c>
      <c r="O10" s="1" t="s">
        <v>77</v>
      </c>
      <c r="P10" s="1">
        <v>12</v>
      </c>
      <c r="Q10" s="1" t="s">
        <v>1</v>
      </c>
      <c r="R10" s="1">
        <v>0.5</v>
      </c>
      <c r="S10" s="1" t="s">
        <v>77</v>
      </c>
      <c r="T10" s="1" t="s">
        <v>83</v>
      </c>
      <c r="U10" s="1" t="s">
        <v>77</v>
      </c>
      <c r="V10" s="1" t="s">
        <v>84</v>
      </c>
      <c r="W10" s="1" t="s">
        <v>81</v>
      </c>
      <c r="X10" s="1">
        <v>1.2</v>
      </c>
      <c r="Y10" s="1" t="s">
        <v>91</v>
      </c>
      <c r="Z10" s="1">
        <v>0.15</v>
      </c>
      <c r="AA10" s="1" t="s">
        <v>91</v>
      </c>
      <c r="AB10" s="1">
        <v>0.04</v>
      </c>
      <c r="AC10" s="1" t="s">
        <v>91</v>
      </c>
      <c r="AD10" s="1">
        <v>0.03</v>
      </c>
      <c r="AE10" s="1" t="s">
        <v>91</v>
      </c>
    </row>
    <row r="11" spans="1:31" x14ac:dyDescent="0.2">
      <c r="B11">
        <f>B10*B9/3600</f>
        <v>2.3986071666666668</v>
      </c>
      <c r="C11" s="5" t="s">
        <v>65</v>
      </c>
      <c r="F11" s="2" t="s">
        <v>22</v>
      </c>
      <c r="G11" s="2" t="s">
        <v>102</v>
      </c>
      <c r="M11" s="1" t="s">
        <v>68</v>
      </c>
      <c r="N11" s="1" t="s">
        <v>79</v>
      </c>
      <c r="O11" s="1" t="s">
        <v>77</v>
      </c>
      <c r="P11" s="1">
        <v>24</v>
      </c>
      <c r="Q11" s="1" t="s">
        <v>81</v>
      </c>
      <c r="R11" s="1">
        <v>0.5</v>
      </c>
      <c r="S11" s="1" t="s">
        <v>77</v>
      </c>
      <c r="T11" s="1" t="s">
        <v>85</v>
      </c>
      <c r="U11" s="1" t="s">
        <v>80</v>
      </c>
      <c r="V11" s="1" t="s">
        <v>86</v>
      </c>
      <c r="W11" s="1" t="s">
        <v>81</v>
      </c>
      <c r="X11" s="1">
        <v>1.2</v>
      </c>
      <c r="Y11" s="1" t="s">
        <v>91</v>
      </c>
      <c r="Z11" s="1">
        <v>0.15</v>
      </c>
      <c r="AA11" s="1" t="s">
        <v>91</v>
      </c>
      <c r="AB11" s="1">
        <v>0.05</v>
      </c>
      <c r="AC11" s="1" t="s">
        <v>91</v>
      </c>
      <c r="AD11" s="1">
        <v>0.08</v>
      </c>
      <c r="AE11" s="1" t="s">
        <v>91</v>
      </c>
    </row>
    <row r="12" spans="1:31" x14ac:dyDescent="0.2">
      <c r="B12">
        <f>B8/B11</f>
        <v>0.41690861842529026</v>
      </c>
      <c r="F12" s="1" t="s">
        <v>23</v>
      </c>
      <c r="G12" s="15">
        <f>H2*500</f>
        <v>147910</v>
      </c>
      <c r="M12" s="1" t="s">
        <v>69</v>
      </c>
      <c r="N12" s="1" t="s">
        <v>79</v>
      </c>
      <c r="O12" s="1" t="s">
        <v>77</v>
      </c>
      <c r="P12" s="1">
        <v>17</v>
      </c>
      <c r="Q12" s="1" t="s">
        <v>1</v>
      </c>
      <c r="R12" s="1">
        <v>0.5</v>
      </c>
      <c r="S12" s="1" t="s">
        <v>77</v>
      </c>
      <c r="T12" s="1" t="s">
        <v>87</v>
      </c>
      <c r="U12" s="1" t="s">
        <v>81</v>
      </c>
      <c r="V12" s="1" t="s">
        <v>88</v>
      </c>
      <c r="W12" s="1" t="s">
        <v>81</v>
      </c>
      <c r="X12" s="1">
        <v>1.2</v>
      </c>
      <c r="Y12" s="1" t="s">
        <v>91</v>
      </c>
      <c r="Z12" s="1">
        <v>0.15</v>
      </c>
      <c r="AA12" s="1" t="s">
        <v>91</v>
      </c>
      <c r="AB12" s="1">
        <v>0.01</v>
      </c>
      <c r="AC12" s="1" t="s">
        <v>91</v>
      </c>
      <c r="AD12" s="1">
        <v>0.09</v>
      </c>
      <c r="AE12" s="1" t="s">
        <v>91</v>
      </c>
    </row>
    <row r="13" spans="1:31" x14ac:dyDescent="0.2">
      <c r="F13" s="1" t="s">
        <v>24</v>
      </c>
      <c r="G13" s="15">
        <f t="shared" ref="G13:G14" si="1">H3*500</f>
        <v>293307.94157608697</v>
      </c>
    </row>
    <row r="14" spans="1:31" x14ac:dyDescent="0.2">
      <c r="F14" s="1" t="s">
        <v>27</v>
      </c>
      <c r="G14" s="15">
        <f t="shared" si="1"/>
        <v>241200.72067039111</v>
      </c>
    </row>
    <row r="18" spans="2:4" x14ac:dyDescent="0.2">
      <c r="B18" s="13">
        <v>32030.4329</v>
      </c>
      <c r="C18" s="13">
        <v>33337.076800000003</v>
      </c>
      <c r="D18" s="13">
        <v>5544.4079000000002</v>
      </c>
    </row>
    <row r="19" spans="2:4" x14ac:dyDescent="0.2">
      <c r="B19" s="13">
        <v>26097.563300000002</v>
      </c>
      <c r="C19" s="13">
        <v>27404.207200000001</v>
      </c>
      <c r="D19" s="13">
        <v>4732.1697999999997</v>
      </c>
    </row>
    <row r="20" spans="2:4" x14ac:dyDescent="0.2">
      <c r="B20" s="13">
        <v>28075.1865</v>
      </c>
      <c r="C20" s="13">
        <v>29381.830399999999</v>
      </c>
      <c r="D20" s="13" t="s">
        <v>39</v>
      </c>
    </row>
    <row r="22" spans="2:4" x14ac:dyDescent="0.2">
      <c r="B22" s="13">
        <v>29586</v>
      </c>
      <c r="C22" s="13">
        <v>32188</v>
      </c>
      <c r="D22" s="13">
        <v>5445</v>
      </c>
    </row>
    <row r="23" spans="2:4" x14ac:dyDescent="0.2">
      <c r="B23" s="13">
        <v>29830</v>
      </c>
      <c r="C23" s="13">
        <v>36153</v>
      </c>
      <c r="D23" s="13">
        <v>5778</v>
      </c>
    </row>
    <row r="24" spans="2:4" x14ac:dyDescent="0.2">
      <c r="B24" s="13">
        <v>27798</v>
      </c>
      <c r="C24" s="13">
        <v>31419</v>
      </c>
      <c r="D24" s="13" t="s">
        <v>39</v>
      </c>
    </row>
    <row r="26" spans="2:4" x14ac:dyDescent="0.2">
      <c r="B26" s="14">
        <f>(B22-B18)/B22</f>
        <v>-8.2621270195362667E-2</v>
      </c>
      <c r="C26" s="14">
        <f t="shared" ref="C26:D26" si="2">(C22-C18)/C22</f>
        <v>-3.5698918851746073E-2</v>
      </c>
      <c r="D26" s="14">
        <f t="shared" si="2"/>
        <v>-1.8256730945821885E-2</v>
      </c>
    </row>
    <row r="27" spans="2:4" x14ac:dyDescent="0.2">
      <c r="B27" s="14">
        <f>(B23-B19)/B23</f>
        <v>0.12512359034528991</v>
      </c>
      <c r="C27" s="14">
        <f t="shared" ref="C27:D28" si="3">(C23-C19)/C23</f>
        <v>0.24199354963626807</v>
      </c>
      <c r="D27" s="14">
        <f t="shared" si="3"/>
        <v>0.1810021114572517</v>
      </c>
    </row>
    <row r="28" spans="2:4" x14ac:dyDescent="0.2">
      <c r="B28" s="14">
        <f>(B24-B20)/B24</f>
        <v>-9.971454780919483E-3</v>
      </c>
      <c r="C28" s="14">
        <f t="shared" si="3"/>
        <v>6.4838779082720677E-2</v>
      </c>
      <c r="D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coal_composition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2022-12-20T13:00:31Z</dcterms:created>
  <dcterms:modified xsi:type="dcterms:W3CDTF">2022-12-22T01:55:36Z</dcterms:modified>
</cp:coreProperties>
</file>