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fileSharing readOnlyRecommended="1"/>
  <workbookPr codeName="ThisWorkbook" hidePivotFieldList="1" defaultThemeVersion="166925"/>
  <mc:AlternateContent xmlns:mc="http://schemas.openxmlformats.org/markup-compatibility/2006">
    <mc:Choice Requires="x15">
      <x15ac:absPath xmlns:x15ac="http://schemas.microsoft.com/office/spreadsheetml/2010/11/ac" url="/Users/anhnguyen/Documents/Renewvia/Minigrid-Sizing-Tool/data/"/>
    </mc:Choice>
  </mc:AlternateContent>
  <xr:revisionPtr revIDLastSave="0" documentId="13_ncr:1_{847647DA-8799-A74E-AD9A-6F3D6F4BFCAB}" xr6:coauthVersionLast="47" xr6:coauthVersionMax="47" xr10:uidLastSave="{00000000-0000-0000-0000-000000000000}"/>
  <bookViews>
    <workbookView xWindow="15040" yWindow="760" windowWidth="15200" windowHeight="18880" xr2:uid="{654BFC7E-2AAC-3D42-AFEB-D1FC72611528}"/>
  </bookViews>
  <sheets>
    <sheet name="Quick Inputs- Change Every Time" sheetId="16" r:id="rId1"/>
    <sheet name="Quick Inputs- Constants" sheetId="13" r:id="rId2"/>
    <sheet name="Expense List" sheetId="6" r:id="rId3"/>
    <sheet name="Summary" sheetId="3" r:id="rId4"/>
    <sheet name="Backend- Lists" sheetId="2" state="hidden" r:id="rId5"/>
    <sheet name="Backend- Calculations" sheetId="15" state="hidden" r:id="rId6"/>
  </sheets>
  <definedNames>
    <definedName name="BatteryClearingAgentFees">'Quick Inputs- Change Every Time'!$C$41</definedName>
    <definedName name="BatteryCost">'Quick Inputs- Change Every Time'!$C$29</definedName>
    <definedName name="BatteryCostShipping">'Quick Inputs- Change Every Time'!$C$34</definedName>
    <definedName name="BatteryCount">'Quick Inputs- Change Every Time'!$C$24</definedName>
    <definedName name="BatteryInspection">'Quick Inputs- Change Every Time'!$C$39</definedName>
    <definedName name="BatteryInverterClearingAgentFees">'Quick Inputs- Change Every Time'!$C$66</definedName>
    <definedName name="BatteryInverterCost">'Quick Inputs- Change Every Time'!$C$55</definedName>
    <definedName name="BatteryInverterCostShipping">'Quick Inputs- Change Every Time'!$C$60</definedName>
    <definedName name="BatteryInverterCount">'Quick Inputs- Change Every Time'!$C$52</definedName>
    <definedName name="BatteryInverterInspection">'Quick Inputs- Change Every Time'!$C$64</definedName>
    <definedName name="BatteryInverterkWPerUnit">'Quick Inputs- Change Every Time'!$C$54</definedName>
    <definedName name="BatteryInverterNonVAT">'Quick Inputs- Change Every Time'!$C$73</definedName>
    <definedName name="BatteryInverterPortFees">'Quick Inputs- Change Every Time'!$C$65</definedName>
    <definedName name="BatteryInverterPricePerUnit">'Quick Inputs- Change Every Time'!$C$53</definedName>
    <definedName name="BatteryInverterShippingPricePerkW">'Quick Inputs- Change Every Time'!$C$59</definedName>
    <definedName name="BatteryInverterSitesCount">'Quick Inputs- Change Every Time'!$C$58</definedName>
    <definedName name="BatteryInverterVAT">'Quick Inputs- Change Every Time'!$C$72</definedName>
    <definedName name="BatterykWhAtSite">'Quick Inputs- Change Every Time'!$C$28</definedName>
    <definedName name="BatterykWhPerUnit">'Quick Inputs- Change Every Time'!$C$25</definedName>
    <definedName name="BatteryLugsPerUnit">'Quick Inputs- Change Every Time'!$C$27</definedName>
    <definedName name="BatteryNonVAT">'Quick Inputs- Change Every Time'!$C$48</definedName>
    <definedName name="BatteryPortFees">'Quick Inputs- Change Every Time'!$C$40</definedName>
    <definedName name="BatteryPricePerUnit">'Quick Inputs- Change Every Time'!$C$26</definedName>
    <definedName name="BatteryShippingPerkWh">'Quick Inputs- Change Every Time'!$C$33</definedName>
    <definedName name="BatterySitesCount">'Quick Inputs- Change Every Time'!$C$32</definedName>
    <definedName name="BatteryVAT">'Quick Inputs- Change Every Time'!$C$47</definedName>
    <definedName name="BoatCostCargo">'Quick Inputs- Constants'!$C$64</definedName>
    <definedName name="BoatCostCargoBig">'Quick Inputs- Constants'!$C$65</definedName>
    <definedName name="Categories">'Backend- Lists'!$B$2:$B$20</definedName>
    <definedName name="ClearingAgentFees">'Quick Inputs- Constants'!$C$28</definedName>
    <definedName name="CombinedShippingInvertersBatteries">'Quick Inputs- Change Every Time'!$C$36</definedName>
    <definedName name="Currency">Summary!$C$5</definedName>
    <definedName name="DisplayToUSD">'Backend- Calculations'!$C$4</definedName>
    <definedName name="DistributionContingency">'Quick Inputs- Change Every Time'!$C$83</definedName>
    <definedName name="DistributionKm">'Quick Inputs- Change Every Time'!$C$79</definedName>
    <definedName name="DistributionLabourCostPerKm">'Quick Inputs- Change Every Time'!$C$81</definedName>
    <definedName name="DistributionMaterialsCostPerKm">'Quick Inputs- Change Every Time'!$C$80</definedName>
    <definedName name="DistributionSurveyCost">'Quick Inputs- Change Every Time'!$C$78</definedName>
    <definedName name="DistributionTransportCostPerKm">'Quick Inputs- Change Every Time'!$C$82</definedName>
    <definedName name="DistributionTrueFalse">'Quick Inputs- Change Every Time'!$C$77</definedName>
    <definedName name="DutyOnBatteries">'Quick Inputs- Change Every Time'!$C$44</definedName>
    <definedName name="DutyOnBatteryInverters">'Quick Inputs- Change Every Time'!$C$69</definedName>
    <definedName name="DutyOnMeters">'Quick Inputs- Change Every Time'!$C$118</definedName>
    <definedName name="DutyOnPV">'Quick Inputs- Change Every Time'!$C$150</definedName>
    <definedName name="DutyOnPVInverters">'Quick Inputs- Change Every Time'!$C$166</definedName>
    <definedName name="DutyOnRacking">'Quick Inputs- Change Every Time'!$C$190</definedName>
    <definedName name="ETLLevy">'Quick Inputs- Constants'!$C$53</definedName>
    <definedName name="ExchangeRateKshsUSD">'Quick Inputs- Constants'!$C$17</definedName>
    <definedName name="ExchangeRateNGNUSD">'Quick Inputs- Constants'!$C$18</definedName>
    <definedName name="FencingLabourPerMeter">'Quick Inputs- Change Every Time'!$C$87</definedName>
    <definedName name="FencingLength">'Quick Inputs- Change Every Time'!$C$86</definedName>
    <definedName name="FencingMaterialsPerMeter">'Quick Inputs- Change Every Time'!$C$88</definedName>
    <definedName name="FencingMaterialsTransportPerMeter">'Quick Inputs- Change Every Time'!$C$89</definedName>
    <definedName name="ImportCharge">'Quick Inputs- Constants'!$C$51</definedName>
    <definedName name="InspectionFees">'Quick Inputs- Constants'!$C$22</definedName>
    <definedName name="InsuranceRateEstimate">'Quick Inputs- Constants'!$C$25</definedName>
    <definedName name="LevyOnBatteries">'Quick Inputs- Change Every Time'!$C$45</definedName>
    <definedName name="LevyOnBatteryInverters">'Quick Inputs- Change Every Time'!$C$70</definedName>
    <definedName name="LevyOnMeters">'Quick Inputs- Change Every Time'!$C$119</definedName>
    <definedName name="LevyOnPV">'Quick Inputs- Change Every Time'!$C$151</definedName>
    <definedName name="LevyOnPVInverters">'Quick Inputs- Change Every Time'!$C$167</definedName>
    <definedName name="LevyOnRacking">'Quick Inputs- Change Every Time'!$C$191</definedName>
    <definedName name="MeterClearingAgentFees">'Quick Inputs- Change Every Time'!$C$115</definedName>
    <definedName name="MeterCost">'Quick Inputs- Change Every Time'!$C$105</definedName>
    <definedName name="MeterCountBaseStation">'Quick Inputs- Change Every Time'!$C$102</definedName>
    <definedName name="MeterCountSM200E">'Quick Inputs- Change Every Time'!$C$98</definedName>
    <definedName name="MeterCountSMRPI">'Quick Inputs- Change Every Time'!$C$96</definedName>
    <definedName name="MeterCountSMRSD">'Quick Inputs- Change Every Time'!$C$95</definedName>
    <definedName name="MeterInspection">'Quick Inputs- Change Every Time'!$C$113</definedName>
    <definedName name="MeterNonVAT">'Quick Inputs- Change Every Time'!$C$122</definedName>
    <definedName name="MeterPortFees">'Quick Inputs- Change Every Time'!$C$114</definedName>
    <definedName name="MeterPriceBaseStation">'Quick Inputs- Change Every Time'!$C$104</definedName>
    <definedName name="MeterPriceSM200E">'Quick Inputs- Change Every Time'!$C$101</definedName>
    <definedName name="MeterPriceSMRPI">'Quick Inputs- Change Every Time'!$C$100</definedName>
    <definedName name="MeterPriceSMRSD">'Quick Inputs- Change Every Time'!$C$99</definedName>
    <definedName name="MeterShippingCost">'Quick Inputs- Change Every Time'!$C$109</definedName>
    <definedName name="MeterSitesCount">'Quick Inputs- Change Every Time'!$C$94</definedName>
    <definedName name="MeterTotalCount">'Quick Inputs- Change Every Time'!$C$97</definedName>
    <definedName name="MeterVAT">'Quick Inputs- Change Every Time'!$C$121</definedName>
    <definedName name="ModemCount">'Quick Inputs- Change Every Time'!$C$103</definedName>
    <definedName name="NewConnections">'Quick Inputs- Change Every Time'!$C$93</definedName>
    <definedName name="PortFeesFortyFoot">'Quick Inputs- Constants'!$C$45</definedName>
    <definedName name="PortFeesTwentyFoot">'Quick Inputs- Constants'!$C$38</definedName>
    <definedName name="PortSurcharge">'Quick Inputs- Constants'!$C$52</definedName>
    <definedName name="PVCCCost">'Quick Inputs- Change Every Time'!$C$161</definedName>
    <definedName name="PVCCCostShipping">'Quick Inputs- Change Every Time'!$C$162</definedName>
    <definedName name="PVCCCount">'Quick Inputs- Change Every Time'!$C$160</definedName>
    <definedName name="PVCCNonVAT">'Quick Inputs- Change Every Time'!$C$170</definedName>
    <definedName name="PVCCPricePerUnit">'Quick Inputs- Change Every Time'!$C$159</definedName>
    <definedName name="PVCCSitesCount">'Quick Inputs- Change Every Time'!$C$158</definedName>
    <definedName name="PVCCVAT">'Quick Inputs- Change Every Time'!$C$169</definedName>
    <definedName name="PVClearingAgentFees">'Quick Inputs- Change Every Time'!$C$147</definedName>
    <definedName name="PVCost">'Quick Inputs- Change Every Time'!$C$133</definedName>
    <definedName name="PVCostShipping">'Quick Inputs- Change Every Time'!$C$141</definedName>
    <definedName name="PVInspection">'Quick Inputs- Change Every Time'!$C$145</definedName>
    <definedName name="PVkWInShipment">'Quick Inputs- Change Every Time'!$C$137</definedName>
    <definedName name="PVNonVAT">'Quick Inputs- Change Every Time'!$C$155</definedName>
    <definedName name="PVPanelCount">'Quick Inputs- Change Every Time'!$C$129</definedName>
    <definedName name="PVPanelsInShipment">'Quick Inputs- Change Every Time'!$C$136</definedName>
    <definedName name="PVPanelsPerString">'Quick Inputs- Change Every Time'!$C$128</definedName>
    <definedName name="PVPortFees">'Quick Inputs- Change Every Time'!$C$146</definedName>
    <definedName name="PVPricePerPanel">'Quick Inputs- Change Every Time'!$C$132</definedName>
    <definedName name="PVPricePerWatt">'Quick Inputs- Change Every Time'!$C$131</definedName>
    <definedName name="PVSiteWattage">'Quick Inputs- Change Every Time'!$C$130</definedName>
    <definedName name="PVStringCount">'Quick Inputs- Change Every Time'!$C$127</definedName>
    <definedName name="PVTransportPerPanel">'Quick Inputs- Change Every Time'!$C$140</definedName>
    <definedName name="PVTransportTotal">'Quick Inputs- Change Every Time'!$C$139</definedName>
    <definedName name="PVVAT">'Quick Inputs- Change Every Time'!$C$154</definedName>
    <definedName name="PVWattsPerPanel">'Quick Inputs- Change Every Time'!$C$126</definedName>
    <definedName name="RackingClearingAgentFees">'Quick Inputs- Change Every Time'!$C$187</definedName>
    <definedName name="RackingCost">'Quick Inputs- Change Every Time'!$C$176</definedName>
    <definedName name="RackingInspection">'Quick Inputs- Change Every Time'!$C$185</definedName>
    <definedName name="RackingLabourPerW">'Quick Inputs- Change Every Time'!$C$175</definedName>
    <definedName name="RackingNonVAT">'Quick Inputs- Change Every Time'!$C$194</definedName>
    <definedName name="RackingPortFees">'Quick Inputs- Change Every Time'!$C$186</definedName>
    <definedName name="RackingPricePerW">'Quick Inputs- Change Every Time'!$C$174</definedName>
    <definedName name="RackingShippingCost">'Quick Inputs- Change Every Time'!$C$181</definedName>
    <definedName name="RackingSitesCount">'Quick Inputs- Change Every Time'!$C$180</definedName>
    <definedName name="RackingVAT">'Quick Inputs- Change Every Time'!$C$193</definedName>
    <definedName name="Status1">'Backend- Lists'!$B$37</definedName>
    <definedName name="Status2">'Backend- Lists'!$B$38</definedName>
    <definedName name="Status3">'Backend- Lists'!$B$39</definedName>
    <definedName name="Status4">'Backend- Lists'!$B$40</definedName>
    <definedName name="TruckCost">'Quick Inputs- Constants'!$C$57</definedName>
    <definedName name="TruckTransportSplitMeters">'Quick Inputs- Constants'!$C$61</definedName>
    <definedName name="TruckTransportSplitPowerHouse">'Quick Inputs- Constants'!$C$60</definedName>
    <definedName name="TruckTransportSplitPV">'Quick Inputs- Constants'!$C$59</definedName>
    <definedName name="TruckTransportSplitRacking">'Quick Inputs- Constants'!$C$58</definedName>
    <definedName name="Types">'Backend- Lists'!$B$26:$B$33</definedName>
    <definedName name="VATonBatteries">'Quick Inputs- Change Every Time'!$C$43</definedName>
    <definedName name="VATonBatteryInverters">'Quick Inputs- Change Every Time'!$C$68</definedName>
    <definedName name="VATonMeters">'Quick Inputs- Change Every Time'!$C$117</definedName>
    <definedName name="VATonPV">'Quick Inputs- Change Every Time'!$C$149</definedName>
    <definedName name="VATonPVInverters">'Quick Inputs- Change Every Time'!$C$165</definedName>
    <definedName name="VATonRacking">'Quick Inputs- Change Every Time'!$C$189</definedName>
    <definedName name="VATRate">'Quick Inputs- Constants'!$C$50</definedName>
  </definedNames>
  <calcPr calcId="191029"/>
  <pivotCaches>
    <pivotCache cacheId="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3" i="6" l="1"/>
  <c r="L143" i="6" s="1"/>
  <c r="P143" i="6" s="1"/>
  <c r="Q143" i="6"/>
  <c r="I87" i="6"/>
  <c r="H89" i="6"/>
  <c r="L89" i="6" s="1"/>
  <c r="P89" i="6" s="1"/>
  <c r="Q89" i="6"/>
  <c r="AD143" i="6" l="1"/>
  <c r="AG143" i="6" s="1"/>
  <c r="AD89" i="6"/>
  <c r="AG89" i="6" s="1"/>
  <c r="AE143" i="6" l="1"/>
  <c r="AF143" i="6" s="1"/>
  <c r="AE89" i="6"/>
  <c r="AF89" i="6" s="1"/>
  <c r="H68" i="6" l="1"/>
  <c r="L68" i="6" s="1"/>
  <c r="P68" i="6" s="1"/>
  <c r="Q68" i="6"/>
  <c r="H69" i="6"/>
  <c r="L69" i="6" s="1"/>
  <c r="P69" i="6" s="1"/>
  <c r="Q69" i="6"/>
  <c r="H70" i="6"/>
  <c r="L70" i="6" s="1"/>
  <c r="P70" i="6" s="1"/>
  <c r="Q70" i="6"/>
  <c r="H71" i="6"/>
  <c r="L71" i="6" s="1"/>
  <c r="P71" i="6" s="1"/>
  <c r="Q71" i="6"/>
  <c r="H72" i="6"/>
  <c r="L72" i="6" s="1"/>
  <c r="P72" i="6" s="1"/>
  <c r="Q72" i="6"/>
  <c r="C185" i="16"/>
  <c r="C113" i="16"/>
  <c r="C64" i="16"/>
  <c r="C39" i="16"/>
  <c r="C66" i="16"/>
  <c r="C41" i="16"/>
  <c r="C45" i="13"/>
  <c r="C38" i="13"/>
  <c r="C161" i="16"/>
  <c r="C170" i="16" s="1"/>
  <c r="C169" i="16" s="1" a="1"/>
  <c r="C169" i="16" s="1"/>
  <c r="C114" i="16"/>
  <c r="C60" i="16"/>
  <c r="C55" i="16"/>
  <c r="C29" i="16"/>
  <c r="AD70" i="6" l="1"/>
  <c r="AE70" i="6" s="1"/>
  <c r="AD71" i="6"/>
  <c r="AG71" i="6" s="1"/>
  <c r="AD69" i="6"/>
  <c r="AG69" i="6" s="1"/>
  <c r="AD72" i="6"/>
  <c r="AG72" i="6" s="1"/>
  <c r="AD68" i="6"/>
  <c r="AG68" i="6" s="1"/>
  <c r="C73" i="16"/>
  <c r="C72" i="16" s="1"/>
  <c r="C189" i="16"/>
  <c r="C43" i="16"/>
  <c r="J43" i="6"/>
  <c r="J42" i="6"/>
  <c r="AG70" i="6" l="1"/>
  <c r="AF70" i="6" s="1"/>
  <c r="AE69" i="6"/>
  <c r="AF69" i="6" s="1"/>
  <c r="AE68" i="6"/>
  <c r="AF68" i="6" s="1"/>
  <c r="AE72" i="6"/>
  <c r="AF72" i="6" s="1"/>
  <c r="AE71" i="6"/>
  <c r="AF71" i="6" s="1"/>
  <c r="Q100" i="6"/>
  <c r="C181" i="16" l="1"/>
  <c r="J131" i="6"/>
  <c r="J20" i="6"/>
  <c r="J18" i="6"/>
  <c r="J57" i="6"/>
  <c r="J55" i="6"/>
  <c r="J64" i="6"/>
  <c r="J63" i="6"/>
  <c r="J39" i="6"/>
  <c r="J60" i="6"/>
  <c r="J58" i="6"/>
  <c r="C140" i="16"/>
  <c r="C137" i="16"/>
  <c r="C132" i="16"/>
  <c r="C129" i="16"/>
  <c r="C95" i="16"/>
  <c r="C28" i="16"/>
  <c r="C34" i="16" s="1"/>
  <c r="C48" i="16" s="1"/>
  <c r="C47" i="16" s="1"/>
  <c r="C20" i="16"/>
  <c r="C18" i="16"/>
  <c r="C141" i="16" l="1"/>
  <c r="C130" i="16"/>
  <c r="C176" i="16" s="1"/>
  <c r="C194" i="16" s="1"/>
  <c r="C193" i="16" s="1"/>
  <c r="J134" i="6" s="1"/>
  <c r="C133" i="16"/>
  <c r="C155" i="16" s="1"/>
  <c r="C154" i="16" s="1" a="1"/>
  <c r="C154" i="16" s="1"/>
  <c r="J148" i="6" s="1"/>
  <c r="C97" i="16"/>
  <c r="C109" i="16" s="1"/>
  <c r="J40" i="6" s="1"/>
  <c r="C105" i="16"/>
  <c r="J4" i="6"/>
  <c r="J6" i="6"/>
  <c r="C17" i="16"/>
  <c r="C3" i="15"/>
  <c r="C4" i="15" s="1"/>
  <c r="H100" i="6" s="1"/>
  <c r="Q149" i="6"/>
  <c r="Q135" i="6"/>
  <c r="Q136" i="6"/>
  <c r="Q75" i="6"/>
  <c r="Q76" i="6"/>
  <c r="Q26" i="6"/>
  <c r="Q27" i="6"/>
  <c r="I38" i="6"/>
  <c r="J38" i="6"/>
  <c r="I42" i="6"/>
  <c r="J47" i="6"/>
  <c r="I47" i="6"/>
  <c r="C8" i="15"/>
  <c r="C9" i="15"/>
  <c r="C15" i="15"/>
  <c r="C14" i="15"/>
  <c r="J132" i="6" l="1"/>
  <c r="C122" i="16"/>
  <c r="J19" i="6" s="1"/>
  <c r="C138" i="16"/>
  <c r="J146" i="6"/>
  <c r="L100" i="6"/>
  <c r="P100" i="6" s="1"/>
  <c r="AD100" i="6"/>
  <c r="C187" i="16"/>
  <c r="J130" i="6" s="1"/>
  <c r="J2" i="6"/>
  <c r="C115" i="16"/>
  <c r="J17" i="6" s="1"/>
  <c r="J56" i="6"/>
  <c r="J144" i="6"/>
  <c r="C186" i="16"/>
  <c r="J133" i="6" s="1"/>
  <c r="C40" i="16"/>
  <c r="J5" i="6" s="1"/>
  <c r="C65" i="16"/>
  <c r="J59" i="6" s="1"/>
  <c r="C146" i="16"/>
  <c r="J147" i="6" s="1"/>
  <c r="C10" i="15"/>
  <c r="J44" i="6"/>
  <c r="J45" i="6"/>
  <c r="I45" i="6"/>
  <c r="I44" i="6"/>
  <c r="C147" i="16" l="1"/>
  <c r="C145" i="16"/>
  <c r="J145" i="6" s="1"/>
  <c r="C121" i="16" a="1"/>
  <c r="C121" i="16" s="1"/>
  <c r="J22" i="6" s="1"/>
  <c r="AE100" i="6"/>
  <c r="AG100" i="6"/>
  <c r="Q2" i="6"/>
  <c r="Q17" i="6"/>
  <c r="Q130" i="6"/>
  <c r="Q144" i="6"/>
  <c r="Q59" i="6"/>
  <c r="Q18" i="6"/>
  <c r="I101" i="6"/>
  <c r="I99" i="6"/>
  <c r="I88" i="6"/>
  <c r="Q77" i="6"/>
  <c r="J31" i="6"/>
  <c r="AF100" i="6" l="1"/>
  <c r="Q5" i="6"/>
  <c r="Q3" i="6"/>
  <c r="Q6" i="6"/>
  <c r="Q7" i="6"/>
  <c r="Q8" i="6"/>
  <c r="Q9" i="6"/>
  <c r="Q10" i="6"/>
  <c r="Q11" i="6"/>
  <c r="Q12" i="6"/>
  <c r="Q13" i="6"/>
  <c r="Q14" i="6"/>
  <c r="Q15" i="6"/>
  <c r="Q16" i="6"/>
  <c r="Q19" i="6"/>
  <c r="Q20" i="6"/>
  <c r="Q21" i="6"/>
  <c r="Q22" i="6"/>
  <c r="Q23" i="6"/>
  <c r="Q24" i="6"/>
  <c r="Q25" i="6"/>
  <c r="Q28" i="6"/>
  <c r="Q29" i="6"/>
  <c r="Q30" i="6"/>
  <c r="Q31" i="6"/>
  <c r="Q32" i="6"/>
  <c r="Q33" i="6"/>
  <c r="Q34" i="6"/>
  <c r="Q37" i="6"/>
  <c r="Q35" i="6"/>
  <c r="Q36" i="6"/>
  <c r="Q38" i="6"/>
  <c r="Q39" i="6"/>
  <c r="Q40" i="6"/>
  <c r="Q41" i="6"/>
  <c r="Q42" i="6"/>
  <c r="Q43" i="6"/>
  <c r="Q44" i="6"/>
  <c r="Q45" i="6"/>
  <c r="Q46" i="6"/>
  <c r="Q47" i="6"/>
  <c r="Q48" i="6"/>
  <c r="Q49" i="6"/>
  <c r="Q50" i="6"/>
  <c r="Q51" i="6"/>
  <c r="Q52" i="6"/>
  <c r="Q53" i="6"/>
  <c r="Q54" i="6"/>
  <c r="Q55" i="6"/>
  <c r="Q56" i="6"/>
  <c r="Q58" i="6"/>
  <c r="Q57" i="6"/>
  <c r="Q60" i="6"/>
  <c r="Q61" i="6"/>
  <c r="Q62" i="6"/>
  <c r="Q63" i="6"/>
  <c r="Q64" i="6"/>
  <c r="Q65" i="6"/>
  <c r="Q66" i="6"/>
  <c r="Q67" i="6"/>
  <c r="Q73" i="6"/>
  <c r="Q74" i="6"/>
  <c r="Q78" i="6"/>
  <c r="Q79" i="6"/>
  <c r="Q80" i="6"/>
  <c r="Q81" i="6"/>
  <c r="Q82" i="6"/>
  <c r="Q83" i="6"/>
  <c r="Q84" i="6"/>
  <c r="Q85" i="6"/>
  <c r="Q86" i="6"/>
  <c r="Q87" i="6"/>
  <c r="Q88" i="6"/>
  <c r="Q90" i="6"/>
  <c r="Q91" i="6"/>
  <c r="Q92" i="6"/>
  <c r="Q93" i="6"/>
  <c r="Q94" i="6"/>
  <c r="Q95" i="6"/>
  <c r="Q96" i="6"/>
  <c r="Q97" i="6"/>
  <c r="Q98" i="6"/>
  <c r="Q99"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3" i="6"/>
  <c r="Q132" i="6"/>
  <c r="Q134" i="6"/>
  <c r="Q131" i="6"/>
  <c r="Q137" i="6"/>
  <c r="Q138" i="6"/>
  <c r="Q139" i="6"/>
  <c r="Q140" i="6"/>
  <c r="Q141" i="6"/>
  <c r="Q142" i="6"/>
  <c r="Q146" i="6"/>
  <c r="Q147" i="6"/>
  <c r="Q145" i="6"/>
  <c r="Q148"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I86" i="6"/>
  <c r="I85" i="6"/>
  <c r="I84" i="6"/>
  <c r="I82" i="6"/>
  <c r="I92" i="6"/>
  <c r="I81" i="6"/>
  <c r="I80" i="6"/>
  <c r="I79" i="6"/>
  <c r="J129" i="6"/>
  <c r="J128" i="6"/>
  <c r="J66" i="6"/>
  <c r="J62" i="6"/>
  <c r="J61" i="6"/>
  <c r="I66" i="6"/>
  <c r="I62" i="6"/>
  <c r="I61" i="6"/>
  <c r="I50" i="6" l="1"/>
  <c r="I49" i="6"/>
  <c r="J50" i="6"/>
  <c r="J49" i="6"/>
  <c r="J48" i="6"/>
  <c r="I48" i="6"/>
  <c r="Q4" i="6"/>
  <c r="F3" i="2"/>
  <c r="F10" i="2"/>
  <c r="F2" i="2"/>
  <c r="F18" i="2"/>
  <c r="F9" i="2"/>
  <c r="F13" i="2"/>
  <c r="F19" i="2"/>
  <c r="F5" i="2"/>
  <c r="F4" i="2"/>
  <c r="F6" i="2"/>
  <c r="F8" i="2"/>
  <c r="F12" i="2"/>
  <c r="F15" i="2"/>
  <c r="F16" i="2"/>
  <c r="F14" i="2"/>
  <c r="F11" i="2"/>
  <c r="F17" i="2"/>
  <c r="F7" i="2"/>
  <c r="F20" i="2"/>
  <c r="J138" i="6" l="1"/>
  <c r="I23" i="6" l="1"/>
  <c r="I98" i="6" l="1"/>
  <c r="I33" i="6"/>
  <c r="I28" i="6"/>
  <c r="I25" i="6"/>
  <c r="I24" i="6"/>
  <c r="I29" i="6"/>
  <c r="I34" i="6" l="1"/>
  <c r="I32" i="6"/>
  <c r="I30" i="6"/>
  <c r="J9" i="6" l="1"/>
  <c r="J137" i="6" l="1"/>
  <c r="J153" i="6"/>
  <c r="J142" i="6"/>
  <c r="I31" i="6" l="1"/>
  <c r="I7" i="6" l="1"/>
  <c r="J36" i="6" l="1"/>
  <c r="J35" i="6"/>
  <c r="J37" i="6"/>
  <c r="I36" i="6"/>
  <c r="I35" i="6"/>
  <c r="I37" i="6"/>
  <c r="J7" i="6"/>
  <c r="J151" i="6"/>
  <c r="J152" i="6"/>
  <c r="I9" i="6" l="1"/>
  <c r="I152" i="6"/>
  <c r="I151" i="6"/>
  <c r="C16" i="16" l="1"/>
  <c r="I139" i="6"/>
  <c r="I137" i="6"/>
  <c r="I138" i="6"/>
  <c r="G6" i="2"/>
  <c r="D11" i="2"/>
  <c r="G11" i="2"/>
  <c r="D6" i="2"/>
  <c r="E6" i="2" l="1"/>
  <c r="H6" i="2"/>
  <c r="H11" i="2"/>
  <c r="E11" i="2"/>
  <c r="H149" i="6" l="1"/>
  <c r="H76" i="6"/>
  <c r="H135" i="6"/>
  <c r="H136" i="6"/>
  <c r="H27" i="6"/>
  <c r="H26" i="6"/>
  <c r="H75" i="6"/>
  <c r="H2" i="6"/>
  <c r="H59" i="6"/>
  <c r="H17" i="6"/>
  <c r="H144" i="6"/>
  <c r="H77" i="6"/>
  <c r="H130" i="6"/>
  <c r="H18" i="6"/>
  <c r="H83" i="6"/>
  <c r="H156" i="6"/>
  <c r="H163" i="6"/>
  <c r="H171" i="6"/>
  <c r="H114" i="6"/>
  <c r="H121" i="6"/>
  <c r="H113" i="6"/>
  <c r="H61" i="6"/>
  <c r="H66" i="6"/>
  <c r="H159" i="6"/>
  <c r="H154" i="6"/>
  <c r="H90" i="6"/>
  <c r="H118" i="6"/>
  <c r="H128" i="6"/>
  <c r="H57" i="6"/>
  <c r="H178" i="6"/>
  <c r="H120" i="6"/>
  <c r="H60" i="6"/>
  <c r="H93" i="6"/>
  <c r="H84" i="6"/>
  <c r="H157" i="6"/>
  <c r="H164" i="6"/>
  <c r="H172" i="6"/>
  <c r="H115" i="6"/>
  <c r="H122" i="6"/>
  <c r="H104" i="6"/>
  <c r="H62" i="6"/>
  <c r="H86" i="6"/>
  <c r="H166" i="6"/>
  <c r="H116" i="6"/>
  <c r="H108" i="6"/>
  <c r="H80" i="6"/>
  <c r="H127" i="6"/>
  <c r="H81" i="6"/>
  <c r="H119" i="6"/>
  <c r="H162" i="6"/>
  <c r="H129" i="6"/>
  <c r="H94" i="6"/>
  <c r="H85" i="6"/>
  <c r="H158" i="6"/>
  <c r="H165" i="6"/>
  <c r="H123" i="6"/>
  <c r="H106" i="6"/>
  <c r="H105" i="6"/>
  <c r="H95" i="6"/>
  <c r="H124" i="6"/>
  <c r="H63" i="6"/>
  <c r="H161" i="6"/>
  <c r="H145" i="6"/>
  <c r="H110" i="6"/>
  <c r="H102" i="6"/>
  <c r="H169" i="6"/>
  <c r="H111" i="6"/>
  <c r="H64" i="6"/>
  <c r="H170" i="6"/>
  <c r="H65" i="6"/>
  <c r="H79" i="6"/>
  <c r="H87" i="6"/>
  <c r="H160" i="6"/>
  <c r="H167" i="6"/>
  <c r="H155" i="6"/>
  <c r="H117" i="6"/>
  <c r="H126" i="6"/>
  <c r="H109" i="6"/>
  <c r="H56" i="6"/>
  <c r="H168" i="6"/>
  <c r="H58" i="6"/>
  <c r="H82" i="6"/>
  <c r="H44" i="6"/>
  <c r="H49" i="6"/>
  <c r="H50" i="6"/>
  <c r="H45" i="6"/>
  <c r="H38" i="6"/>
  <c r="H8" i="6"/>
  <c r="H46" i="6"/>
  <c r="H48" i="6"/>
  <c r="H15" i="6"/>
  <c r="H42" i="6"/>
  <c r="H43" i="6"/>
  <c r="H47" i="6"/>
  <c r="H150" i="6"/>
  <c r="H16" i="6"/>
  <c r="L16" i="6" s="1"/>
  <c r="P16" i="6" s="1"/>
  <c r="H34" i="6"/>
  <c r="L34" i="6" s="1"/>
  <c r="P34" i="6" s="1"/>
  <c r="H92" i="6"/>
  <c r="L92" i="6" s="1"/>
  <c r="P92" i="6" s="1"/>
  <c r="H131" i="6"/>
  <c r="H147" i="6"/>
  <c r="L147" i="6" s="1"/>
  <c r="P147" i="6" s="1"/>
  <c r="H173" i="6"/>
  <c r="L173" i="6" s="1"/>
  <c r="P173" i="6" s="1"/>
  <c r="H29" i="6"/>
  <c r="L29" i="6" s="1"/>
  <c r="P29" i="6" s="1"/>
  <c r="H55" i="6"/>
  <c r="L55" i="6" s="1"/>
  <c r="P55" i="6" s="1"/>
  <c r="H139" i="6"/>
  <c r="L139" i="6" s="1"/>
  <c r="P139" i="6" s="1"/>
  <c r="H3" i="6"/>
  <c r="H74" i="6"/>
  <c r="L74" i="6" s="1"/>
  <c r="P74" i="6" s="1"/>
  <c r="H19" i="6"/>
  <c r="L19" i="6" s="1"/>
  <c r="P19" i="6" s="1"/>
  <c r="H37" i="6"/>
  <c r="L37" i="6" s="1"/>
  <c r="P37" i="6" s="1"/>
  <c r="H53" i="6"/>
  <c r="L53" i="6" s="1"/>
  <c r="P53" i="6" s="1"/>
  <c r="H96" i="6"/>
  <c r="L96" i="6" s="1"/>
  <c r="P96" i="6" s="1"/>
  <c r="H137" i="6"/>
  <c r="L137" i="6" s="1"/>
  <c r="P137" i="6" s="1"/>
  <c r="H148" i="6"/>
  <c r="L148" i="6" s="1"/>
  <c r="P148" i="6" s="1"/>
  <c r="H174" i="6"/>
  <c r="L174" i="6" s="1"/>
  <c r="P174" i="6" s="1"/>
  <c r="H21" i="6"/>
  <c r="L21" i="6" s="1"/>
  <c r="P21" i="6" s="1"/>
  <c r="H152" i="6"/>
  <c r="H12" i="6"/>
  <c r="L12" i="6" s="1"/>
  <c r="P12" i="6" s="1"/>
  <c r="H153" i="6"/>
  <c r="L153" i="6" s="1"/>
  <c r="P153" i="6" s="1"/>
  <c r="H4" i="6"/>
  <c r="L4" i="6" s="1"/>
  <c r="P4" i="6" s="1"/>
  <c r="H10" i="6"/>
  <c r="L10" i="6" s="1"/>
  <c r="P10" i="6" s="1"/>
  <c r="H20" i="6"/>
  <c r="L20" i="6" s="1"/>
  <c r="P20" i="6" s="1"/>
  <c r="H28" i="6"/>
  <c r="L28" i="6" s="1"/>
  <c r="P28" i="6" s="1"/>
  <c r="H31" i="6"/>
  <c r="L31" i="6" s="1"/>
  <c r="P31" i="6" s="1"/>
  <c r="H39" i="6"/>
  <c r="L39" i="6" s="1"/>
  <c r="P39" i="6" s="1"/>
  <c r="H54" i="6"/>
  <c r="L54" i="6" s="1"/>
  <c r="P54" i="6" s="1"/>
  <c r="H97" i="6"/>
  <c r="L97" i="6" s="1"/>
  <c r="P97" i="6" s="1"/>
  <c r="H107" i="6"/>
  <c r="L107" i="6" s="1"/>
  <c r="P107" i="6" s="1"/>
  <c r="H138" i="6"/>
  <c r="H151" i="6"/>
  <c r="H175" i="6"/>
  <c r="L175" i="6" s="1"/>
  <c r="P175" i="6" s="1"/>
  <c r="H5" i="6"/>
  <c r="L5" i="6" s="1"/>
  <c r="P5" i="6" s="1"/>
  <c r="H98" i="6"/>
  <c r="L98" i="6" s="1"/>
  <c r="P98" i="6" s="1"/>
  <c r="H41" i="6"/>
  <c r="L41" i="6" s="1"/>
  <c r="P41" i="6" s="1"/>
  <c r="H11" i="6"/>
  <c r="L11" i="6" s="1"/>
  <c r="P11" i="6" s="1"/>
  <c r="H40" i="6"/>
  <c r="H67" i="6"/>
  <c r="L67" i="6" s="1"/>
  <c r="P67" i="6" s="1"/>
  <c r="H22" i="6"/>
  <c r="L22" i="6" s="1"/>
  <c r="P22" i="6" s="1"/>
  <c r="H99" i="6"/>
  <c r="L99" i="6" s="1"/>
  <c r="P99" i="6" s="1"/>
  <c r="H6" i="6"/>
  <c r="L6" i="6" s="1"/>
  <c r="P6" i="6" s="1"/>
  <c r="H23" i="6"/>
  <c r="L23" i="6" s="1"/>
  <c r="P23" i="6" s="1"/>
  <c r="H51" i="6"/>
  <c r="L51" i="6" s="1"/>
  <c r="P51" i="6" s="1"/>
  <c r="H78" i="6"/>
  <c r="L78" i="6" s="1"/>
  <c r="P78" i="6" s="1"/>
  <c r="H101" i="6"/>
  <c r="L101" i="6" s="1"/>
  <c r="P101" i="6" s="1"/>
  <c r="H112" i="6"/>
  <c r="L112" i="6" s="1"/>
  <c r="P112" i="6" s="1"/>
  <c r="H133" i="6"/>
  <c r="L133" i="6" s="1"/>
  <c r="P133" i="6" s="1"/>
  <c r="H141" i="6"/>
  <c r="L141" i="6" s="1"/>
  <c r="P141" i="6" s="1"/>
  <c r="H177" i="6"/>
  <c r="L177" i="6" s="1"/>
  <c r="P177" i="6" s="1"/>
  <c r="H140" i="6"/>
  <c r="L140" i="6" s="1"/>
  <c r="P140" i="6" s="1"/>
  <c r="H7" i="6"/>
  <c r="H13" i="6"/>
  <c r="L13" i="6" s="1"/>
  <c r="P13" i="6" s="1"/>
  <c r="H24" i="6"/>
  <c r="L24" i="6" s="1"/>
  <c r="P24" i="6" s="1"/>
  <c r="H30" i="6"/>
  <c r="H52" i="6"/>
  <c r="H88" i="6"/>
  <c r="L88" i="6" s="1"/>
  <c r="P88" i="6" s="1"/>
  <c r="H132" i="6"/>
  <c r="L132" i="6" s="1"/>
  <c r="P132" i="6" s="1"/>
  <c r="H142" i="6"/>
  <c r="L142" i="6" s="1"/>
  <c r="P142" i="6" s="1"/>
  <c r="H35" i="6"/>
  <c r="L35" i="6" s="1"/>
  <c r="P35" i="6" s="1"/>
  <c r="H176" i="6"/>
  <c r="L176" i="6" s="1"/>
  <c r="P176" i="6" s="1"/>
  <c r="H125" i="6"/>
  <c r="L125" i="6" s="1"/>
  <c r="P125" i="6" s="1"/>
  <c r="H9" i="6"/>
  <c r="H14" i="6"/>
  <c r="L14" i="6" s="1"/>
  <c r="P14" i="6" s="1"/>
  <c r="H25" i="6"/>
  <c r="L25" i="6" s="1"/>
  <c r="P25" i="6" s="1"/>
  <c r="H33" i="6"/>
  <c r="L33" i="6" s="1"/>
  <c r="P33" i="6" s="1"/>
  <c r="H36" i="6"/>
  <c r="L36" i="6" s="1"/>
  <c r="P36" i="6" s="1"/>
  <c r="H91" i="6"/>
  <c r="L91" i="6" s="1"/>
  <c r="P91" i="6" s="1"/>
  <c r="H103" i="6"/>
  <c r="L103" i="6" s="1"/>
  <c r="P103" i="6" s="1"/>
  <c r="H134" i="6"/>
  <c r="L134" i="6" s="1"/>
  <c r="P134" i="6" s="1"/>
  <c r="H146" i="6"/>
  <c r="L146" i="6" s="1"/>
  <c r="P146" i="6" s="1"/>
  <c r="H73" i="6"/>
  <c r="L73" i="6" s="1"/>
  <c r="P73" i="6" s="1"/>
  <c r="H32" i="6"/>
  <c r="L32" i="6" s="1"/>
  <c r="P32" i="6" s="1"/>
  <c r="G20" i="2"/>
  <c r="L75" i="6" l="1"/>
  <c r="P75" i="6" s="1"/>
  <c r="AD75" i="6"/>
  <c r="L26" i="6"/>
  <c r="P26" i="6" s="1"/>
  <c r="AD26" i="6"/>
  <c r="L27" i="6"/>
  <c r="P27" i="6" s="1"/>
  <c r="AD27" i="6"/>
  <c r="L136" i="6"/>
  <c r="P136" i="6" s="1"/>
  <c r="AD136" i="6"/>
  <c r="L135" i="6"/>
  <c r="P135" i="6" s="1"/>
  <c r="AD135" i="6"/>
  <c r="L76" i="6"/>
  <c r="P76" i="6" s="1"/>
  <c r="AD76" i="6"/>
  <c r="L149" i="6"/>
  <c r="P149" i="6" s="1"/>
  <c r="AD149" i="6"/>
  <c r="L18" i="6"/>
  <c r="P18" i="6" s="1"/>
  <c r="AD18" i="6"/>
  <c r="L130" i="6"/>
  <c r="P130" i="6" s="1"/>
  <c r="AD130" i="6"/>
  <c r="L77" i="6"/>
  <c r="P77" i="6" s="1"/>
  <c r="AD77" i="6"/>
  <c r="L144" i="6"/>
  <c r="P144" i="6" s="1"/>
  <c r="AD144" i="6"/>
  <c r="L17" i="6"/>
  <c r="P17" i="6" s="1"/>
  <c r="AD17" i="6"/>
  <c r="L59" i="6"/>
  <c r="P59" i="6" s="1"/>
  <c r="AD59" i="6"/>
  <c r="L2" i="6"/>
  <c r="P2" i="6" s="1"/>
  <c r="AD2" i="6"/>
  <c r="AD46" i="6"/>
  <c r="L46" i="6"/>
  <c r="P46" i="6" s="1"/>
  <c r="L82" i="6"/>
  <c r="P82" i="6" s="1"/>
  <c r="AD82" i="6"/>
  <c r="L167" i="6"/>
  <c r="P167" i="6" s="1"/>
  <c r="AD167" i="6"/>
  <c r="L64" i="6"/>
  <c r="P64" i="6" s="1"/>
  <c r="AD64" i="6"/>
  <c r="L124" i="6"/>
  <c r="P124" i="6" s="1"/>
  <c r="AD124" i="6"/>
  <c r="L85" i="6"/>
  <c r="P85" i="6" s="1"/>
  <c r="AD85" i="6"/>
  <c r="L108" i="6"/>
  <c r="P108" i="6" s="1"/>
  <c r="AD108" i="6"/>
  <c r="L104" i="6"/>
  <c r="P104" i="6" s="1"/>
  <c r="AD104" i="6"/>
  <c r="AD60" i="6"/>
  <c r="L60" i="6"/>
  <c r="P60" i="6" s="1"/>
  <c r="L90" i="6"/>
  <c r="P90" i="6" s="1"/>
  <c r="AD90" i="6"/>
  <c r="L121" i="6"/>
  <c r="P121" i="6" s="1"/>
  <c r="AD121" i="6"/>
  <c r="L93" i="6"/>
  <c r="P93" i="6" s="1"/>
  <c r="AD93" i="6"/>
  <c r="AD47" i="6"/>
  <c r="L47" i="6"/>
  <c r="P47" i="6" s="1"/>
  <c r="L8" i="6"/>
  <c r="P8" i="6" s="1"/>
  <c r="AD8" i="6"/>
  <c r="L58" i="6"/>
  <c r="P58" i="6" s="1"/>
  <c r="AD58" i="6"/>
  <c r="L160" i="6"/>
  <c r="P160" i="6" s="1"/>
  <c r="AD160" i="6"/>
  <c r="L111" i="6"/>
  <c r="P111" i="6" s="1"/>
  <c r="AD111" i="6"/>
  <c r="L95" i="6"/>
  <c r="P95" i="6" s="1"/>
  <c r="AD95" i="6"/>
  <c r="L94" i="6"/>
  <c r="P94" i="6" s="1"/>
  <c r="AD94" i="6"/>
  <c r="L116" i="6"/>
  <c r="P116" i="6" s="1"/>
  <c r="AD116" i="6"/>
  <c r="L122" i="6"/>
  <c r="P122" i="6" s="1"/>
  <c r="AD122" i="6"/>
  <c r="L120" i="6"/>
  <c r="P120" i="6" s="1"/>
  <c r="AD120" i="6"/>
  <c r="L114" i="6"/>
  <c r="P114" i="6" s="1"/>
  <c r="AD114" i="6"/>
  <c r="L80" i="6"/>
  <c r="P80" i="6" s="1"/>
  <c r="AD80" i="6"/>
  <c r="L38" i="6"/>
  <c r="P38" i="6" s="1"/>
  <c r="AD38" i="6"/>
  <c r="L168" i="6"/>
  <c r="P168" i="6" s="1"/>
  <c r="AD168" i="6"/>
  <c r="L87" i="6"/>
  <c r="P87" i="6" s="1"/>
  <c r="AD87" i="6"/>
  <c r="L169" i="6"/>
  <c r="P169" i="6" s="1"/>
  <c r="AD169" i="6"/>
  <c r="L105" i="6"/>
  <c r="P105" i="6" s="1"/>
  <c r="AD105" i="6"/>
  <c r="AD129" i="6"/>
  <c r="L129" i="6"/>
  <c r="P129" i="6" s="1"/>
  <c r="L166" i="6"/>
  <c r="P166" i="6" s="1"/>
  <c r="AD166" i="6"/>
  <c r="L115" i="6"/>
  <c r="P115" i="6" s="1"/>
  <c r="AD115" i="6"/>
  <c r="L178" i="6"/>
  <c r="P178" i="6" s="1"/>
  <c r="AD178" i="6"/>
  <c r="L154" i="6"/>
  <c r="P154" i="6" s="1"/>
  <c r="AD154" i="6"/>
  <c r="L171" i="6"/>
  <c r="P171" i="6" s="1"/>
  <c r="AD171" i="6"/>
  <c r="L44" i="6"/>
  <c r="P44" i="6" s="1"/>
  <c r="AD44" i="6"/>
  <c r="L43" i="6"/>
  <c r="P43" i="6" s="1"/>
  <c r="AD43" i="6"/>
  <c r="L45" i="6"/>
  <c r="P45" i="6" s="1"/>
  <c r="AD45" i="6"/>
  <c r="L56" i="6"/>
  <c r="P56" i="6" s="1"/>
  <c r="AD56" i="6"/>
  <c r="L79" i="6"/>
  <c r="P79" i="6" s="1"/>
  <c r="AD79" i="6"/>
  <c r="L102" i="6"/>
  <c r="P102" i="6" s="1"/>
  <c r="AD102" i="6"/>
  <c r="L106" i="6"/>
  <c r="P106" i="6" s="1"/>
  <c r="AD106" i="6"/>
  <c r="L162" i="6"/>
  <c r="P162" i="6" s="1"/>
  <c r="AD162" i="6"/>
  <c r="L86" i="6"/>
  <c r="P86" i="6" s="1"/>
  <c r="AD86" i="6"/>
  <c r="AD172" i="6"/>
  <c r="L172" i="6"/>
  <c r="P172" i="6" s="1"/>
  <c r="L57" i="6"/>
  <c r="P57" i="6" s="1"/>
  <c r="AD57" i="6"/>
  <c r="L159" i="6"/>
  <c r="P159" i="6" s="1"/>
  <c r="AD159" i="6"/>
  <c r="AD163" i="6"/>
  <c r="L163" i="6"/>
  <c r="P163" i="6" s="1"/>
  <c r="L63" i="6"/>
  <c r="P63" i="6" s="1"/>
  <c r="AD63" i="6"/>
  <c r="L42" i="6"/>
  <c r="P42" i="6" s="1"/>
  <c r="AD42" i="6"/>
  <c r="AD50" i="6"/>
  <c r="L50" i="6"/>
  <c r="P50" i="6" s="1"/>
  <c r="L109" i="6"/>
  <c r="P109" i="6" s="1"/>
  <c r="AD109" i="6"/>
  <c r="L65" i="6"/>
  <c r="P65" i="6" s="1"/>
  <c r="AD65" i="6"/>
  <c r="L110" i="6"/>
  <c r="P110" i="6" s="1"/>
  <c r="AD110" i="6"/>
  <c r="L123" i="6"/>
  <c r="P123" i="6" s="1"/>
  <c r="AD123" i="6"/>
  <c r="AD119" i="6"/>
  <c r="L119" i="6"/>
  <c r="P119" i="6" s="1"/>
  <c r="AD164" i="6"/>
  <c r="L164" i="6"/>
  <c r="P164" i="6" s="1"/>
  <c r="L128" i="6"/>
  <c r="P128" i="6" s="1"/>
  <c r="AD128" i="6"/>
  <c r="L156" i="6"/>
  <c r="P156" i="6" s="1"/>
  <c r="AD156" i="6"/>
  <c r="L48" i="6"/>
  <c r="P48" i="6" s="1"/>
  <c r="AD48" i="6"/>
  <c r="AD158" i="6"/>
  <c r="L158" i="6"/>
  <c r="P158" i="6" s="1"/>
  <c r="L113" i="6"/>
  <c r="P113" i="6" s="1"/>
  <c r="AD113" i="6"/>
  <c r="L15" i="6"/>
  <c r="P15" i="6" s="1"/>
  <c r="AD15" i="6"/>
  <c r="L126" i="6"/>
  <c r="P126" i="6" s="1"/>
  <c r="AD126" i="6"/>
  <c r="L145" i="6"/>
  <c r="P145" i="6" s="1"/>
  <c r="AD145" i="6"/>
  <c r="L81" i="6"/>
  <c r="P81" i="6" s="1"/>
  <c r="AD81" i="6"/>
  <c r="L157" i="6"/>
  <c r="P157" i="6" s="1"/>
  <c r="AD157" i="6"/>
  <c r="L66" i="6"/>
  <c r="P66" i="6" s="1"/>
  <c r="AD66" i="6"/>
  <c r="L83" i="6"/>
  <c r="P83" i="6" s="1"/>
  <c r="AD83" i="6"/>
  <c r="L155" i="6"/>
  <c r="P155" i="6" s="1"/>
  <c r="AD155" i="6"/>
  <c r="L118" i="6"/>
  <c r="P118" i="6" s="1"/>
  <c r="AD118" i="6"/>
  <c r="L49" i="6"/>
  <c r="P49" i="6" s="1"/>
  <c r="AD49" i="6"/>
  <c r="L117" i="6"/>
  <c r="P117" i="6" s="1"/>
  <c r="AD117" i="6"/>
  <c r="L170" i="6"/>
  <c r="P170" i="6" s="1"/>
  <c r="AD170" i="6"/>
  <c r="L161" i="6"/>
  <c r="P161" i="6" s="1"/>
  <c r="AD161" i="6"/>
  <c r="L165" i="6"/>
  <c r="P165" i="6" s="1"/>
  <c r="AD165" i="6"/>
  <c r="L127" i="6"/>
  <c r="P127" i="6" s="1"/>
  <c r="AD127" i="6"/>
  <c r="L62" i="6"/>
  <c r="P62" i="6" s="1"/>
  <c r="AD62" i="6"/>
  <c r="AD84" i="6"/>
  <c r="L84" i="6"/>
  <c r="P84" i="6" s="1"/>
  <c r="L61" i="6"/>
  <c r="P61" i="6" s="1"/>
  <c r="AD61" i="6"/>
  <c r="L150" i="6"/>
  <c r="P150" i="6" s="1"/>
  <c r="AD150" i="6"/>
  <c r="L52" i="6"/>
  <c r="P52" i="6" s="1"/>
  <c r="L151" i="6"/>
  <c r="P151" i="6" s="1"/>
  <c r="L30" i="6"/>
  <c r="P30" i="6" s="1"/>
  <c r="L138" i="6"/>
  <c r="P138" i="6" s="1"/>
  <c r="L152" i="6"/>
  <c r="P152" i="6" s="1"/>
  <c r="L40" i="6"/>
  <c r="P40" i="6" s="1"/>
  <c r="L9" i="6"/>
  <c r="P9" i="6" s="1"/>
  <c r="L131" i="6"/>
  <c r="P131" i="6" s="1"/>
  <c r="L7" i="6"/>
  <c r="P7" i="6" s="1"/>
  <c r="AD140" i="6"/>
  <c r="AD78" i="6"/>
  <c r="AD6" i="6"/>
  <c r="AD98" i="6"/>
  <c r="AD4" i="6"/>
  <c r="AD148" i="6"/>
  <c r="AD3" i="6"/>
  <c r="AD32" i="6"/>
  <c r="AG32" i="6" s="1"/>
  <c r="AD73" i="6"/>
  <c r="AD35" i="6"/>
  <c r="AD99" i="6"/>
  <c r="AD5" i="6"/>
  <c r="AG5" i="6" s="1"/>
  <c r="AD153" i="6"/>
  <c r="AD137" i="6"/>
  <c r="AD37" i="6"/>
  <c r="AG37" i="6" s="1"/>
  <c r="AD139" i="6"/>
  <c r="AD92" i="6"/>
  <c r="AD176" i="6"/>
  <c r="AD36" i="6"/>
  <c r="AD52" i="6"/>
  <c r="AD177" i="6"/>
  <c r="AD22" i="6"/>
  <c r="AD175" i="6"/>
  <c r="AD54" i="6"/>
  <c r="AD55" i="6"/>
  <c r="AD146" i="6"/>
  <c r="AD51" i="6"/>
  <c r="AD67" i="6"/>
  <c r="AD151" i="6"/>
  <c r="AD39" i="6"/>
  <c r="AD12" i="6"/>
  <c r="AD29" i="6"/>
  <c r="AD134" i="6"/>
  <c r="AD132" i="6"/>
  <c r="AD30" i="6"/>
  <c r="AD141" i="6"/>
  <c r="AD138" i="6"/>
  <c r="AD31" i="6"/>
  <c r="AD152" i="6"/>
  <c r="AD96" i="6"/>
  <c r="AD19" i="6"/>
  <c r="AD173" i="6"/>
  <c r="AD34" i="6"/>
  <c r="AD14" i="6"/>
  <c r="AD24" i="6"/>
  <c r="AD133" i="6"/>
  <c r="AD40" i="6"/>
  <c r="AD28" i="6"/>
  <c r="AD147" i="6"/>
  <c r="AD142" i="6"/>
  <c r="AD25" i="6"/>
  <c r="AD103" i="6"/>
  <c r="AD9" i="6"/>
  <c r="AD13" i="6"/>
  <c r="AD112" i="6"/>
  <c r="AD23" i="6"/>
  <c r="AD11" i="6"/>
  <c r="AD107" i="6"/>
  <c r="AD20" i="6"/>
  <c r="AD21" i="6"/>
  <c r="AD131" i="6"/>
  <c r="AD16" i="6"/>
  <c r="AD33" i="6"/>
  <c r="AD91" i="6"/>
  <c r="AD125" i="6"/>
  <c r="AD88" i="6"/>
  <c r="AD7" i="6"/>
  <c r="AD101" i="6"/>
  <c r="AD41" i="6"/>
  <c r="AD97" i="6"/>
  <c r="AD10" i="6"/>
  <c r="AD174" i="6"/>
  <c r="AD53" i="6"/>
  <c r="AD74" i="6"/>
  <c r="H20" i="2"/>
  <c r="D20" i="2"/>
  <c r="AG135" i="6" l="1"/>
  <c r="AG75" i="6"/>
  <c r="AG136" i="6"/>
  <c r="AG26" i="6"/>
  <c r="AG149" i="6"/>
  <c r="AG27" i="6"/>
  <c r="AE76" i="6"/>
  <c r="AE26" i="6"/>
  <c r="AE136" i="6"/>
  <c r="AE149" i="6"/>
  <c r="AE27" i="6"/>
  <c r="AG76" i="6"/>
  <c r="AE135" i="6"/>
  <c r="AE75" i="6"/>
  <c r="AG2" i="6"/>
  <c r="AG144" i="6"/>
  <c r="AG18" i="6"/>
  <c r="AG17" i="6"/>
  <c r="AG59" i="6"/>
  <c r="AG77" i="6"/>
  <c r="AE2" i="6"/>
  <c r="AE144" i="6"/>
  <c r="AE59" i="6"/>
  <c r="AE77" i="6"/>
  <c r="AE130" i="6"/>
  <c r="AG130" i="6"/>
  <c r="AE17" i="6"/>
  <c r="AE18" i="6"/>
  <c r="AE163" i="6"/>
  <c r="AF163" i="6" s="1"/>
  <c r="AE119" i="6"/>
  <c r="AG79" i="6"/>
  <c r="AG44" i="6"/>
  <c r="AG115" i="6"/>
  <c r="AG120" i="6"/>
  <c r="AG165" i="6"/>
  <c r="AG113" i="6"/>
  <c r="AG83" i="6"/>
  <c r="AG62" i="6"/>
  <c r="AG118" i="6"/>
  <c r="AE164" i="6"/>
  <c r="AF164" i="6" s="1"/>
  <c r="AG110" i="6"/>
  <c r="AG57" i="6"/>
  <c r="AG45" i="6"/>
  <c r="AG154" i="6"/>
  <c r="AE84" i="6"/>
  <c r="AG161" i="6"/>
  <c r="AG81" i="6"/>
  <c r="AG126" i="6"/>
  <c r="AE158" i="6"/>
  <c r="AF158" i="6" s="1"/>
  <c r="AG128" i="6"/>
  <c r="AG123" i="6"/>
  <c r="AG159" i="6"/>
  <c r="AG162" i="6"/>
  <c r="AG56" i="6"/>
  <c r="AG80" i="6"/>
  <c r="AE50" i="6"/>
  <c r="AG48" i="6"/>
  <c r="AG49" i="6"/>
  <c r="AE129" i="6"/>
  <c r="AG114" i="6"/>
  <c r="AG116" i="6"/>
  <c r="AG122" i="6"/>
  <c r="AG111" i="6"/>
  <c r="AE47" i="6"/>
  <c r="AG90" i="6"/>
  <c r="AG85" i="6"/>
  <c r="AG95" i="6"/>
  <c r="AG93" i="6"/>
  <c r="AE60" i="6"/>
  <c r="AG124" i="6"/>
  <c r="AE46" i="6"/>
  <c r="AF46" i="6" s="1"/>
  <c r="AG121" i="6"/>
  <c r="AG82" i="6"/>
  <c r="AE61" i="6"/>
  <c r="AE117" i="6"/>
  <c r="AE155" i="6"/>
  <c r="AE157" i="6"/>
  <c r="AF157" i="6" s="1"/>
  <c r="AE145" i="6"/>
  <c r="AE15" i="6"/>
  <c r="AE63" i="6"/>
  <c r="AG172" i="6"/>
  <c r="AE94" i="6"/>
  <c r="AE58" i="6"/>
  <c r="AE64" i="6"/>
  <c r="AG87" i="6"/>
  <c r="AG86" i="6"/>
  <c r="AG66" i="6"/>
  <c r="AG163" i="6"/>
  <c r="AE115" i="6"/>
  <c r="AE95" i="6"/>
  <c r="AF95" i="6" s="1"/>
  <c r="AE166" i="6"/>
  <c r="AF166" i="6" s="1"/>
  <c r="AG166" i="6"/>
  <c r="AG84" i="6"/>
  <c r="AE161" i="6"/>
  <c r="AF161" i="6" s="1"/>
  <c r="AE66" i="6"/>
  <c r="AE81" i="6"/>
  <c r="AE126" i="6"/>
  <c r="AG158" i="6"/>
  <c r="AE128" i="6"/>
  <c r="AF128" i="6" s="1"/>
  <c r="AE123" i="6"/>
  <c r="AG50" i="6"/>
  <c r="AE159" i="6"/>
  <c r="AF159" i="6" s="1"/>
  <c r="AE162" i="6"/>
  <c r="AF162" i="6" s="1"/>
  <c r="AE56" i="6"/>
  <c r="AE87" i="6"/>
  <c r="AE80" i="6"/>
  <c r="AE122" i="6"/>
  <c r="AE111" i="6"/>
  <c r="AG47" i="6"/>
  <c r="AE90" i="6"/>
  <c r="AE85" i="6"/>
  <c r="AE82" i="6"/>
  <c r="AE169" i="6"/>
  <c r="AF169" i="6" s="1"/>
  <c r="AG169" i="6"/>
  <c r="AE8" i="6"/>
  <c r="AG8" i="6"/>
  <c r="AE170" i="6"/>
  <c r="AF170" i="6" s="1"/>
  <c r="AG170" i="6"/>
  <c r="AE42" i="6"/>
  <c r="AG42" i="6"/>
  <c r="AE106" i="6"/>
  <c r="AG106" i="6"/>
  <c r="AE168" i="6"/>
  <c r="AF168" i="6" s="1"/>
  <c r="AG168" i="6"/>
  <c r="AE160" i="6"/>
  <c r="AF160" i="6" s="1"/>
  <c r="AG160" i="6"/>
  <c r="AE167" i="6"/>
  <c r="AF167" i="6" s="1"/>
  <c r="AG167" i="6"/>
  <c r="AE165" i="6"/>
  <c r="AF165" i="6" s="1"/>
  <c r="AG119" i="6"/>
  <c r="AE79" i="6"/>
  <c r="AF79" i="6" s="1"/>
  <c r="AE120" i="6"/>
  <c r="AE62" i="6"/>
  <c r="AE118" i="6"/>
  <c r="AE48" i="6"/>
  <c r="AG164" i="6"/>
  <c r="AE110" i="6"/>
  <c r="AE57" i="6"/>
  <c r="AE45" i="6"/>
  <c r="AE154" i="6"/>
  <c r="AF154" i="6" s="1"/>
  <c r="AG129" i="6"/>
  <c r="AE114" i="6"/>
  <c r="AF114" i="6" s="1"/>
  <c r="AE116" i="6"/>
  <c r="AF116" i="6" s="1"/>
  <c r="AE93" i="6"/>
  <c r="AG60" i="6"/>
  <c r="AE124" i="6"/>
  <c r="AG46" i="6"/>
  <c r="AE109" i="6"/>
  <c r="AG109" i="6"/>
  <c r="AE49" i="6"/>
  <c r="AE113" i="6"/>
  <c r="AE44" i="6"/>
  <c r="AE121" i="6"/>
  <c r="AE171" i="6"/>
  <c r="AF171" i="6" s="1"/>
  <c r="AG171" i="6"/>
  <c r="AG61" i="6"/>
  <c r="AE127" i="6"/>
  <c r="AG127" i="6"/>
  <c r="AG117" i="6"/>
  <c r="AG155" i="6"/>
  <c r="AG157" i="6"/>
  <c r="AG145" i="6"/>
  <c r="AG15" i="6"/>
  <c r="AE156" i="6"/>
  <c r="AF156" i="6" s="1"/>
  <c r="AG156" i="6"/>
  <c r="AE65" i="6"/>
  <c r="AF65" i="6" s="1"/>
  <c r="AG65" i="6"/>
  <c r="AG63" i="6"/>
  <c r="AE172" i="6"/>
  <c r="AF172" i="6" s="1"/>
  <c r="AE102" i="6"/>
  <c r="AG102" i="6"/>
  <c r="AE43" i="6"/>
  <c r="AG43" i="6"/>
  <c r="AE178" i="6"/>
  <c r="AF178" i="6" s="1"/>
  <c r="AG178" i="6"/>
  <c r="AE105" i="6"/>
  <c r="AG105" i="6"/>
  <c r="AE38" i="6"/>
  <c r="AG38" i="6"/>
  <c r="AG94" i="6"/>
  <c r="AG58" i="6"/>
  <c r="AE104" i="6"/>
  <c r="AG104" i="6"/>
  <c r="AG64" i="6"/>
  <c r="AE108" i="6"/>
  <c r="AG108" i="6"/>
  <c r="AE83" i="6"/>
  <c r="AE86" i="6"/>
  <c r="AG150" i="6"/>
  <c r="AE150" i="6"/>
  <c r="AG55" i="6"/>
  <c r="AE177" i="6"/>
  <c r="AE51" i="6"/>
  <c r="AG12" i="6"/>
  <c r="AG54" i="6"/>
  <c r="AE148" i="6"/>
  <c r="AF148" i="6" s="1"/>
  <c r="AE36" i="6"/>
  <c r="AE6" i="6"/>
  <c r="AE139" i="6"/>
  <c r="AE10" i="6"/>
  <c r="AE20" i="6"/>
  <c r="AG133" i="6"/>
  <c r="AE138" i="6"/>
  <c r="AG30" i="6"/>
  <c r="AE91" i="6"/>
  <c r="AE147" i="6"/>
  <c r="AG19" i="6"/>
  <c r="AE112" i="6"/>
  <c r="AG103" i="6"/>
  <c r="AE131" i="6"/>
  <c r="AG28" i="6"/>
  <c r="AE92" i="6"/>
  <c r="AE153" i="6"/>
  <c r="AE140" i="6"/>
  <c r="AE52" i="6"/>
  <c r="AE35" i="6"/>
  <c r="AG4" i="6"/>
  <c r="AE78" i="6"/>
  <c r="AE101" i="6"/>
  <c r="AE73" i="6"/>
  <c r="AE98" i="6"/>
  <c r="AE53" i="6"/>
  <c r="AG107" i="6"/>
  <c r="AE13" i="6"/>
  <c r="AE25" i="6"/>
  <c r="AG24" i="6"/>
  <c r="AG96" i="6"/>
  <c r="AG132" i="6"/>
  <c r="AE29" i="6"/>
  <c r="AG39" i="6"/>
  <c r="AE175" i="6"/>
  <c r="AE176" i="6"/>
  <c r="AG137" i="6"/>
  <c r="AE99" i="6"/>
  <c r="AE142" i="6"/>
  <c r="AE40" i="6"/>
  <c r="AG34" i="6"/>
  <c r="AG152" i="6"/>
  <c r="AE134" i="6"/>
  <c r="AE151" i="6"/>
  <c r="AG146" i="6"/>
  <c r="AG22" i="6"/>
  <c r="AG74" i="6"/>
  <c r="AG97" i="6"/>
  <c r="AE33" i="6"/>
  <c r="AE7" i="6"/>
  <c r="AE174" i="6"/>
  <c r="AG125" i="6"/>
  <c r="AG16" i="6"/>
  <c r="AE23" i="6"/>
  <c r="AF23" i="6" s="1"/>
  <c r="AE9" i="6"/>
  <c r="AE14" i="6"/>
  <c r="AG173" i="6"/>
  <c r="AE31" i="6"/>
  <c r="AE141" i="6"/>
  <c r="AG67" i="6"/>
  <c r="AG88" i="6"/>
  <c r="AG11" i="6"/>
  <c r="AG21" i="6"/>
  <c r="AE41" i="6"/>
  <c r="AE74" i="6"/>
  <c r="AE97" i="6"/>
  <c r="AG7" i="6"/>
  <c r="AE107" i="6"/>
  <c r="AG13" i="6"/>
  <c r="AG25" i="6"/>
  <c r="AE24" i="6"/>
  <c r="AE96" i="6"/>
  <c r="AE132" i="6"/>
  <c r="AG29" i="6"/>
  <c r="AE39" i="6"/>
  <c r="AG175" i="6"/>
  <c r="AE37" i="6"/>
  <c r="AF37" i="6" s="1"/>
  <c r="AE5" i="6"/>
  <c r="AF5" i="6" s="1"/>
  <c r="AE32" i="6"/>
  <c r="AF32" i="6" s="1"/>
  <c r="AG148" i="6"/>
  <c r="AG6" i="6"/>
  <c r="AE88" i="6"/>
  <c r="AG33" i="6"/>
  <c r="AE11" i="6"/>
  <c r="AG142" i="6"/>
  <c r="AG40" i="6"/>
  <c r="AE34" i="6"/>
  <c r="AE152" i="6"/>
  <c r="AG134" i="6"/>
  <c r="AG151" i="6"/>
  <c r="AE146" i="6"/>
  <c r="AE22" i="6"/>
  <c r="AG52" i="6"/>
  <c r="AG176" i="6"/>
  <c r="AE137" i="6"/>
  <c r="AG99" i="6"/>
  <c r="AG35" i="6"/>
  <c r="AE4" i="6"/>
  <c r="AG78" i="6"/>
  <c r="AG41" i="6"/>
  <c r="AG174" i="6"/>
  <c r="AE125" i="6"/>
  <c r="AE16" i="6"/>
  <c r="AE21" i="6"/>
  <c r="AG23" i="6"/>
  <c r="AG9" i="6"/>
  <c r="AG14" i="6"/>
  <c r="AE173" i="6"/>
  <c r="AG31" i="6"/>
  <c r="AG141" i="6"/>
  <c r="AE67" i="6"/>
  <c r="AG92" i="6"/>
  <c r="AG153" i="6"/>
  <c r="AG140" i="6"/>
  <c r="AG53" i="6"/>
  <c r="AG10" i="6"/>
  <c r="AG101" i="6"/>
  <c r="AG91" i="6"/>
  <c r="AG131" i="6"/>
  <c r="AG20" i="6"/>
  <c r="AG112" i="6"/>
  <c r="AE103" i="6"/>
  <c r="AG147" i="6"/>
  <c r="AE28" i="6"/>
  <c r="AE133" i="6"/>
  <c r="AE19" i="6"/>
  <c r="AG138" i="6"/>
  <c r="AE30" i="6"/>
  <c r="AE12" i="6"/>
  <c r="AG51" i="6"/>
  <c r="AE55" i="6"/>
  <c r="AE54" i="6"/>
  <c r="AG177" i="6"/>
  <c r="AG36" i="6"/>
  <c r="AG139" i="6"/>
  <c r="AG73" i="6"/>
  <c r="AG98" i="6"/>
  <c r="E20" i="2"/>
  <c r="G18" i="2"/>
  <c r="AF118" i="6" l="1"/>
  <c r="AF6" i="6"/>
  <c r="AF126" i="6"/>
  <c r="AF127" i="6"/>
  <c r="AF117" i="6"/>
  <c r="AF105" i="6"/>
  <c r="AF17" i="6"/>
  <c r="AF145" i="6"/>
  <c r="AF130" i="6"/>
  <c r="AF59" i="6"/>
  <c r="AF144" i="6"/>
  <c r="AF2" i="6"/>
  <c r="AF26" i="6"/>
  <c r="AF75" i="6"/>
  <c r="AF135" i="6"/>
  <c r="AF149" i="6"/>
  <c r="AF136" i="6"/>
  <c r="AF43" i="6"/>
  <c r="AF27" i="6"/>
  <c r="AF76" i="6"/>
  <c r="AF38" i="6"/>
  <c r="AF18" i="6"/>
  <c r="AF56" i="6"/>
  <c r="AF42" i="6"/>
  <c r="AF47" i="6"/>
  <c r="AF45" i="6"/>
  <c r="AF44" i="6"/>
  <c r="AF115" i="6"/>
  <c r="AF122" i="6"/>
  <c r="AF83" i="6"/>
  <c r="AF119" i="6"/>
  <c r="AF77" i="6"/>
  <c r="AF63" i="6"/>
  <c r="AF81" i="6"/>
  <c r="AF121" i="6"/>
  <c r="AF110" i="6"/>
  <c r="AF106" i="6"/>
  <c r="AF61" i="6"/>
  <c r="AF120" i="6"/>
  <c r="AF60" i="6"/>
  <c r="AF104" i="6"/>
  <c r="AF123" i="6"/>
  <c r="AF84" i="6"/>
  <c r="AF108" i="6"/>
  <c r="AF62" i="6"/>
  <c r="AF113" i="6"/>
  <c r="AF111" i="6"/>
  <c r="AF109" i="6"/>
  <c r="AF124" i="6"/>
  <c r="AF57" i="6"/>
  <c r="AF48" i="6"/>
  <c r="AF86" i="6"/>
  <c r="AF15" i="6"/>
  <c r="AF80" i="6"/>
  <c r="AF155" i="6"/>
  <c r="AF129" i="6"/>
  <c r="AF85" i="6"/>
  <c r="AF94" i="6"/>
  <c r="AF90" i="6"/>
  <c r="AF93" i="6"/>
  <c r="AF58" i="6"/>
  <c r="AF49" i="6"/>
  <c r="AF50" i="6"/>
  <c r="AF82" i="6"/>
  <c r="AF177" i="6"/>
  <c r="AF8" i="6"/>
  <c r="AF64" i="6"/>
  <c r="AF87" i="6"/>
  <c r="AF102" i="6"/>
  <c r="AF66" i="6"/>
  <c r="AF101" i="6"/>
  <c r="AF150" i="6"/>
  <c r="AF51" i="6"/>
  <c r="AF153" i="6"/>
  <c r="AF78" i="6"/>
  <c r="AF4" i="6"/>
  <c r="AF138" i="6"/>
  <c r="AF92" i="6"/>
  <c r="AF139" i="6"/>
  <c r="AF12" i="6"/>
  <c r="AF16" i="6"/>
  <c r="AF54" i="6"/>
  <c r="AF36" i="6"/>
  <c r="AF55" i="6"/>
  <c r="AF20" i="6"/>
  <c r="AF112" i="6"/>
  <c r="AF140" i="6"/>
  <c r="AF103" i="6"/>
  <c r="AF125" i="6"/>
  <c r="AF147" i="6"/>
  <c r="AF30" i="6"/>
  <c r="AF131" i="6"/>
  <c r="AF133" i="6"/>
  <c r="AF19" i="6"/>
  <c r="AF10" i="6"/>
  <c r="AF91" i="6"/>
  <c r="AF28" i="6"/>
  <c r="AF73" i="6"/>
  <c r="AF35" i="6"/>
  <c r="AF52" i="6"/>
  <c r="AF88" i="6"/>
  <c r="AF173" i="6"/>
  <c r="AF107" i="6"/>
  <c r="AF24" i="6"/>
  <c r="AF98" i="6"/>
  <c r="AF34" i="6"/>
  <c r="AF22" i="6"/>
  <c r="AF137" i="6"/>
  <c r="AF97" i="6"/>
  <c r="AF152" i="6"/>
  <c r="AF96" i="6"/>
  <c r="AF40" i="6"/>
  <c r="AF53" i="6"/>
  <c r="AF151" i="6"/>
  <c r="AF142" i="6"/>
  <c r="AF7" i="6"/>
  <c r="AF29" i="6"/>
  <c r="AF25" i="6"/>
  <c r="AF13" i="6"/>
  <c r="AF33" i="6"/>
  <c r="AF99" i="6"/>
  <c r="AF9" i="6"/>
  <c r="AF146" i="6"/>
  <c r="AF141" i="6"/>
  <c r="AF31" i="6"/>
  <c r="AF134" i="6"/>
  <c r="AF176" i="6"/>
  <c r="AF21" i="6"/>
  <c r="AF39" i="6"/>
  <c r="AF74" i="6"/>
  <c r="AF175" i="6"/>
  <c r="AF14" i="6"/>
  <c r="AF174" i="6"/>
  <c r="AF67" i="6"/>
  <c r="AF11" i="6"/>
  <c r="AF132" i="6"/>
  <c r="AF41" i="6"/>
  <c r="H18" i="2"/>
  <c r="D18" i="2"/>
  <c r="E18" i="2" l="1"/>
  <c r="G12" i="2"/>
  <c r="H12" i="2" l="1"/>
  <c r="D12" i="2"/>
  <c r="E12" i="2" l="1"/>
  <c r="G19" i="2"/>
  <c r="G2" i="2"/>
  <c r="G5" i="2"/>
  <c r="G14" i="2"/>
  <c r="G7" i="2"/>
  <c r="G8" i="2"/>
  <c r="D16" i="2"/>
  <c r="G3" i="2"/>
  <c r="D2" i="2"/>
  <c r="D7" i="2"/>
  <c r="G15" i="2"/>
  <c r="G16" i="2"/>
  <c r="D15" i="2"/>
  <c r="G13" i="2"/>
  <c r="D13" i="2"/>
  <c r="G10" i="2"/>
  <c r="D17" i="2"/>
  <c r="D19" i="2"/>
  <c r="G17" i="2"/>
  <c r="G9" i="2"/>
  <c r="D8" i="2"/>
  <c r="D14" i="2"/>
  <c r="D5" i="2"/>
  <c r="D4" i="2"/>
  <c r="D10" i="2"/>
  <c r="G4" i="2"/>
  <c r="D9" i="2"/>
  <c r="D3" i="2"/>
  <c r="C15" i="3" l="1"/>
  <c r="E2" i="2"/>
  <c r="H2" i="2"/>
  <c r="E4" i="2"/>
  <c r="H4" i="2"/>
  <c r="E5" i="2"/>
  <c r="H5" i="2"/>
  <c r="E7" i="2"/>
  <c r="H7" i="2"/>
  <c r="E8" i="2"/>
  <c r="H8" i="2"/>
  <c r="E9" i="2"/>
  <c r="H9" i="2"/>
  <c r="E10" i="2"/>
  <c r="H10" i="2"/>
  <c r="E13" i="2"/>
  <c r="H13" i="2"/>
  <c r="E14" i="2"/>
  <c r="H14" i="2"/>
  <c r="E15" i="2"/>
  <c r="H15" i="2"/>
  <c r="E16" i="2"/>
  <c r="H16" i="2"/>
  <c r="E17" i="2"/>
  <c r="H17" i="2"/>
  <c r="E19" i="2"/>
  <c r="H19" i="2"/>
  <c r="E3" i="2"/>
  <c r="H3" i="2"/>
  <c r="C8" i="3"/>
  <c r="C9" i="3"/>
  <c r="K2" i="2" l="1"/>
  <c r="C16" i="3"/>
  <c r="C14" i="3"/>
  <c r="C12" i="3"/>
  <c r="C13" i="3"/>
  <c r="J3" i="6"/>
  <c r="L3" i="6" s="1"/>
  <c r="P3" i="6" s="1"/>
  <c r="AG3" i="6" l="1"/>
  <c r="AE3" i="6"/>
  <c r="AF3" i="6"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<sst xmlns="http://schemas.openxmlformats.org/spreadsheetml/2006/main" count="1774" uniqueCount="605">
  <si>
    <t>Category</t>
  </si>
  <si>
    <t>Type</t>
  </si>
  <si>
    <t>Item</t>
  </si>
  <si>
    <t>Vendor</t>
  </si>
  <si>
    <t>Currency</t>
  </si>
  <si>
    <t>Status</t>
  </si>
  <si>
    <t>Notes</t>
  </si>
  <si>
    <t>Running Budget Total</t>
  </si>
  <si>
    <t>Spent</t>
  </si>
  <si>
    <t>Remaining</t>
  </si>
  <si>
    <t>Spent %</t>
  </si>
  <si>
    <t>Batteries</t>
  </si>
  <si>
    <t>Customs</t>
  </si>
  <si>
    <t>KES</t>
  </si>
  <si>
    <t>No</t>
  </si>
  <si>
    <t>Cash Out</t>
  </si>
  <si>
    <t>Transport</t>
  </si>
  <si>
    <t>Customer Metering and Wiring</t>
  </si>
  <si>
    <t>$</t>
  </si>
  <si>
    <t>Labor</t>
  </si>
  <si>
    <t>Distribution (LV)</t>
  </si>
  <si>
    <t>Contingency</t>
  </si>
  <si>
    <t>Fencing</t>
  </si>
  <si>
    <t>Generator</t>
  </si>
  <si>
    <t>Inverters/Chargers (Battery)</t>
  </si>
  <si>
    <t>Inverters/Chargers (PV)</t>
  </si>
  <si>
    <t>Permits</t>
  </si>
  <si>
    <t>Plant Balance of System</t>
  </si>
  <si>
    <t>Plant Site</t>
  </si>
  <si>
    <t>Power House</t>
  </si>
  <si>
    <t>Racking and Mounting</t>
  </si>
  <si>
    <t>Construction Consumables</t>
  </si>
  <si>
    <t>Equipment Rentals</t>
  </si>
  <si>
    <t>Solar Panels</t>
  </si>
  <si>
    <t>Temporary Facilities</t>
  </si>
  <si>
    <t>Transmission (MV)</t>
  </si>
  <si>
    <t>Travel, Lodging, and Meals</t>
  </si>
  <si>
    <t>VAT</t>
  </si>
  <si>
    <t>Project cost/W</t>
  </si>
  <si>
    <t>Specific cost for each:</t>
  </si>
  <si>
    <t>Exchange Rates from USD</t>
  </si>
  <si>
    <t>W</t>
  </si>
  <si>
    <t>Number of customers</t>
  </si>
  <si>
    <t>kWh</t>
  </si>
  <si>
    <t>€</t>
  </si>
  <si>
    <t>Customer</t>
  </si>
  <si>
    <t>km (LV)</t>
  </si>
  <si>
    <t>NGN</t>
  </si>
  <si>
    <t>km (MV)</t>
  </si>
  <si>
    <t>Original Budget</t>
  </si>
  <si>
    <t>Grand Total</t>
  </si>
  <si>
    <t>Running Budget</t>
  </si>
  <si>
    <t>Currency Conversion</t>
  </si>
  <si>
    <t>Selected display currency</t>
  </si>
  <si>
    <t>Display currency to USD</t>
  </si>
  <si>
    <t>Spend Tracker</t>
  </si>
  <si>
    <t>Total projected cost</t>
  </si>
  <si>
    <t>Original vs Running Budgets</t>
  </si>
  <si>
    <t>Scales By</t>
  </si>
  <si>
    <t>Running Budget Totals</t>
  </si>
  <si>
    <t>Smart Pie Chart</t>
  </si>
  <si>
    <t>"Other" Threshhold</t>
  </si>
  <si>
    <t>Other</t>
  </si>
  <si>
    <t>Difference</t>
  </si>
  <si>
    <t>Fully paid for</t>
  </si>
  <si>
    <t>Spending &gt; Projected, fix</t>
  </si>
  <si>
    <t>Cancelled</t>
  </si>
  <si>
    <t>% paid</t>
  </si>
  <si>
    <t>Unpurchased</t>
  </si>
  <si>
    <t>Engineering</t>
  </si>
  <si>
    <t>Overhead &amp; Profit</t>
  </si>
  <si>
    <t>Non-VAT Customs</t>
  </si>
  <si>
    <t>International transport</t>
  </si>
  <si>
    <t>Transport to site</t>
  </si>
  <si>
    <t>SM200E Meters</t>
  </si>
  <si>
    <t>Metering Base Station</t>
  </si>
  <si>
    <t>SIM Card</t>
  </si>
  <si>
    <t>Customer service drops (three-phase)</t>
  </si>
  <si>
    <t>Generator transport</t>
  </si>
  <si>
    <t>Generator foundation labor</t>
  </si>
  <si>
    <t>Ethernet cables for inverter monitoring</t>
  </si>
  <si>
    <t>MC4 connectors</t>
  </si>
  <si>
    <t>Earthing pit for site-  labor</t>
  </si>
  <si>
    <t>External lighting</t>
  </si>
  <si>
    <t>External lighting wiring</t>
  </si>
  <si>
    <t>Foundation</t>
  </si>
  <si>
    <t>Foundation labor</t>
  </si>
  <si>
    <t>Internal wiring</t>
  </si>
  <si>
    <t>Internal lights</t>
  </si>
  <si>
    <t>Racking labour</t>
  </si>
  <si>
    <t>Solar panels</t>
  </si>
  <si>
    <t>Fuel for rentals</t>
  </si>
  <si>
    <t>Lodging</t>
  </si>
  <si>
    <t>Per diem</t>
  </si>
  <si>
    <t>Community Relations</t>
  </si>
  <si>
    <t>Security during construction</t>
  </si>
  <si>
    <t>Pre-construction visits: per diem</t>
  </si>
  <si>
    <t>Pre-construction visits: lodging</t>
  </si>
  <si>
    <t>SparkMeter</t>
  </si>
  <si>
    <t>Yes</t>
  </si>
  <si>
    <t>Only VAT</t>
  </si>
  <si>
    <t>Jinko</t>
  </si>
  <si>
    <t>Batteries are VAT-free</t>
  </si>
  <si>
    <t>Lightning arrestor kit for site</t>
  </si>
  <si>
    <t>Total guess</t>
  </si>
  <si>
    <t>Project cost/customer</t>
  </si>
  <si>
    <t>Direct Job Cost</t>
  </si>
  <si>
    <t>Materials</t>
  </si>
  <si>
    <t>Name</t>
  </si>
  <si>
    <t>Currency to display (choose)</t>
  </si>
  <si>
    <t>PV</t>
  </si>
  <si>
    <t>Price per Watt</t>
  </si>
  <si>
    <t>Price per Panel</t>
  </si>
  <si>
    <t>How many sites in battery shipment?</t>
  </si>
  <si>
    <t>Clearing agent fees per shipment</t>
  </si>
  <si>
    <t>Amount</t>
  </si>
  <si>
    <t>Named Range (for easy reference)</t>
  </si>
  <si>
    <t>Taxes</t>
  </si>
  <si>
    <t>Insurance rate estimate</t>
  </si>
  <si>
    <t>kWh for this site</t>
  </si>
  <si>
    <t>kWh per battery</t>
  </si>
  <si>
    <t>Price per battery</t>
  </si>
  <si>
    <t>Battery Inverters</t>
  </si>
  <si>
    <t>Meters</t>
  </si>
  <si>
    <t>How many sites in order?</t>
  </si>
  <si>
    <t>Count of SM200Es</t>
  </si>
  <si>
    <t>SM200E Price</t>
  </si>
  <si>
    <t>SparkMeter Base Station Price</t>
  </si>
  <si>
    <t>Sites in shipment</t>
  </si>
  <si>
    <t>Battery inverter price</t>
  </si>
  <si>
    <t>Battery inverter shipping price per kW</t>
  </si>
  <si>
    <t>Price per inverter/charger</t>
  </si>
  <si>
    <t>Lugs per battery</t>
  </si>
  <si>
    <t>Number of strings</t>
  </si>
  <si>
    <t>International transport total</t>
  </si>
  <si>
    <t>International transport per panel</t>
  </si>
  <si>
    <t>BatterySitesCount</t>
  </si>
  <si>
    <t>BatterykWhAtSite</t>
  </si>
  <si>
    <t>BatterykWhPerUnit</t>
  </si>
  <si>
    <t>BatteryPricePerUnit</t>
  </si>
  <si>
    <t>BatteryLugsPerUnit</t>
  </si>
  <si>
    <t>BatteryInverterSitesCount</t>
  </si>
  <si>
    <t>BatteryInverterPricePerUnit</t>
  </si>
  <si>
    <t>BatteryInverterShippingPricePerkW</t>
  </si>
  <si>
    <t>BatteryInverterkWPerUnit</t>
  </si>
  <si>
    <t>ExchangeRateKshsUSD</t>
  </si>
  <si>
    <t>ClearingAgentFees</t>
  </si>
  <si>
    <t>InspectionFees</t>
  </si>
  <si>
    <t>MeterSitesCount</t>
  </si>
  <si>
    <t>MeterCountSM200E</t>
  </si>
  <si>
    <t>MeterPriceSM200E</t>
  </si>
  <si>
    <t>MeterPriceBaseStation</t>
  </si>
  <si>
    <t>PVPricePerWatt</t>
  </si>
  <si>
    <t>PVPricePerPanel</t>
  </si>
  <si>
    <t>PVStringCount</t>
  </si>
  <si>
    <t>PVPanelCount</t>
  </si>
  <si>
    <t>PVPanelsPerString</t>
  </si>
  <si>
    <t>Panels per String</t>
  </si>
  <si>
    <t>PVSiteWattage</t>
  </si>
  <si>
    <t>PVWattsPerPanel</t>
  </si>
  <si>
    <t>PVPanelsInShipment</t>
  </si>
  <si>
    <t>PVkWInShipment</t>
  </si>
  <si>
    <t>PVTransportTotal</t>
  </si>
  <si>
    <t>PVTransportPerPanel</t>
  </si>
  <si>
    <t>PVCCSitesCount</t>
  </si>
  <si>
    <t>PVCCPricePerUnit</t>
  </si>
  <si>
    <t>InsuranceRateEstimate</t>
  </si>
  <si>
    <t>Battery Shipping per kWh</t>
  </si>
  <si>
    <t>BatteryShippingPerkWh</t>
  </si>
  <si>
    <t>Total Customer Meter Count</t>
  </si>
  <si>
    <t>MeterTotalCount</t>
  </si>
  <si>
    <t>PV Inverters/Charger Controllers</t>
  </si>
  <si>
    <t>PVCCCount</t>
  </si>
  <si>
    <t>Number of battery inverters for this site</t>
  </si>
  <si>
    <t>BatteryInverterCount</t>
  </si>
  <si>
    <t>BatteryCount</t>
  </si>
  <si>
    <t>FencingLength</t>
  </si>
  <si>
    <t>FencingLabourPerMeter</t>
  </si>
  <si>
    <t>FencingMaterialsPerMeter</t>
  </si>
  <si>
    <t>FencingMaterialsTransportPerMeter</t>
  </si>
  <si>
    <t>CombinedShippingInvertersBatteries</t>
  </si>
  <si>
    <t>Base Station Count</t>
  </si>
  <si>
    <t>MeterCountBaseStation</t>
  </si>
  <si>
    <t>Modem Count</t>
  </si>
  <si>
    <t>ModemCount</t>
  </si>
  <si>
    <t>Racking</t>
  </si>
  <si>
    <t>Customer service drops (single-phase)</t>
  </si>
  <si>
    <t>Cost of 5T truck to site (or beach, for island)</t>
  </si>
  <si>
    <t>TruckCost</t>
  </si>
  <si>
    <t>Split racking transport with how many other categories?</t>
  </si>
  <si>
    <t>Split panels transport with how many other categories?</t>
  </si>
  <si>
    <t>Split power house cabinet transport with how many other categories?</t>
  </si>
  <si>
    <t>Split meters transport with how many other categories?</t>
  </si>
  <si>
    <t>TruckTransportSplitRacking</t>
  </si>
  <si>
    <t>TruckTransportSplitPowerHouse</t>
  </si>
  <si>
    <t>TruckTransportSplitMeters</t>
  </si>
  <si>
    <t>Note: The sum of the inverses of the above split numbers should add up to an integer.</t>
  </si>
  <si>
    <t>Normal cargo boat transport cost</t>
  </si>
  <si>
    <t>Big boat transport cost</t>
  </si>
  <si>
    <t>BoatCostCargo</t>
  </si>
  <si>
    <t>BoatCostCargoBig</t>
  </si>
  <si>
    <t>Materials price per W</t>
  </si>
  <si>
    <t>Labour price per W</t>
  </si>
  <si>
    <t>RackingPricePerW</t>
  </si>
  <si>
    <t>RackingLabourPerW</t>
  </si>
  <si>
    <t>Key</t>
  </si>
  <si>
    <t>Inputs</t>
  </si>
  <si>
    <t>Calculations</t>
  </si>
  <si>
    <t>Auto-Budgeted?</t>
  </si>
  <si>
    <t>Half</t>
  </si>
  <si>
    <t>All other permits (estimating for the unknown permit costs)</t>
  </si>
  <si>
    <t>Site preparation</t>
  </si>
  <si>
    <t>Pre-construction visits: travel (flight)</t>
  </si>
  <si>
    <t>Connection labor- technicians</t>
  </si>
  <si>
    <t>Connection labor- site agents</t>
  </si>
  <si>
    <t>Modem (TP-Link TL-MR6400)</t>
  </si>
  <si>
    <t>Customer internal wiring</t>
  </si>
  <si>
    <t>Shackle insulators, D-irons, and bolts</t>
  </si>
  <si>
    <t>Meter transport to site</t>
  </si>
  <si>
    <t>Generator foundation and shade materials</t>
  </si>
  <si>
    <t>SparkMeter SaaS Term Licenses</t>
  </si>
  <si>
    <t>TruckTransportSplitPV</t>
  </si>
  <si>
    <t>New connections target</t>
  </si>
  <si>
    <t>NewConnections</t>
  </si>
  <si>
    <t>Lightning arrestor cabling</t>
  </si>
  <si>
    <t>Racking international transport</t>
  </si>
  <si>
    <t>Racking foundations</t>
  </si>
  <si>
    <t>Racking foundations materials transport</t>
  </si>
  <si>
    <t>Generator cabling</t>
  </si>
  <si>
    <t>AC Distribution Board</t>
  </si>
  <si>
    <t>This is an option if we have extra money to spend. This would lower OPEX by taking away SaaS fees for 5 years.</t>
  </si>
  <si>
    <t>PV Combiner Boxes</t>
  </si>
  <si>
    <t>Wiring from output breaker to grid</t>
  </si>
  <si>
    <t>Estimate for 5-core 95 mm2 armoured copper. Based on price of 4-core 120 mm2.</t>
  </si>
  <si>
    <t>Solar panel string wiring</t>
  </si>
  <si>
    <t>Combiner box output wiring</t>
  </si>
  <si>
    <t>Trenching</t>
  </si>
  <si>
    <t>Cable ties, lugs, conduit, labels, etc</t>
  </si>
  <si>
    <t>Site tools kit</t>
  </si>
  <si>
    <t>Budget Quantity</t>
  </si>
  <si>
    <t>Budget Price</t>
  </si>
  <si>
    <t>Updated Quantity</t>
  </si>
  <si>
    <t>Updated Price</t>
  </si>
  <si>
    <t>Updated VAT</t>
  </si>
  <si>
    <t>Budget VAT</t>
  </si>
  <si>
    <t>Cash Out 1 Quantity</t>
  </si>
  <si>
    <t>Cash Out 1 Price</t>
  </si>
  <si>
    <t>Cash Out 1 VAT</t>
  </si>
  <si>
    <t>Cash Out 1 Date</t>
  </si>
  <si>
    <t>Cash Out 2 Price</t>
  </si>
  <si>
    <t>Cash Out 2 VAT</t>
  </si>
  <si>
    <t>Cash Out 2 Date</t>
  </si>
  <si>
    <t>Cash Out 2 Quantity</t>
  </si>
  <si>
    <t>Cash Out 3 Quantity</t>
  </si>
  <si>
    <t>Cash Out 3 Price</t>
  </si>
  <si>
    <t>Cash Out 3 VAT</t>
  </si>
  <si>
    <t>Cash Out 3 Date</t>
  </si>
  <si>
    <t>Budget Total</t>
  </si>
  <si>
    <t>Exchange Rate</t>
  </si>
  <si>
    <t>Cash Out Total</t>
  </si>
  <si>
    <t>Summary (Always refresh all
pivot tables before using!)</t>
  </si>
  <si>
    <t>Budgeting Inputs</t>
  </si>
  <si>
    <t>Main Project Information</t>
  </si>
  <si>
    <t>International Shipping</t>
  </si>
  <si>
    <t>Quick Inputs</t>
  </si>
  <si>
    <t>VATRate</t>
  </si>
  <si>
    <t>Project Allocation % For Cash Outs</t>
  </si>
  <si>
    <t>Port fees</t>
  </si>
  <si>
    <t>Solar MD Smart Logger</t>
  </si>
  <si>
    <t>Salaries for community representatives</t>
  </si>
  <si>
    <t>Pre-construction visits: rental boda bodas (or, rental cars + fuel)</t>
  </si>
  <si>
    <t>Customer drop wire transport to site</t>
  </si>
  <si>
    <t>Distribution contingency</t>
  </si>
  <si>
    <t>Distribution surveyor</t>
  </si>
  <si>
    <t>Distribution labor</t>
  </si>
  <si>
    <t>Pole offloading</t>
  </si>
  <si>
    <t>Distribution materials</t>
  </si>
  <si>
    <t>Conductor transport</t>
  </si>
  <si>
    <t>Distribution materials boat transport</t>
  </si>
  <si>
    <t>Fencing labor</t>
  </si>
  <si>
    <t>Fencing materials</t>
  </si>
  <si>
    <t>Fencing materials transport</t>
  </si>
  <si>
    <t>Clearing agent fees</t>
  </si>
  <si>
    <t>Spedag</t>
  </si>
  <si>
    <t>Battery Inverter: Victron Quattro 15 kW</t>
  </si>
  <si>
    <t>Extras (like surge protectors)</t>
  </si>
  <si>
    <t>Gate house labor</t>
  </si>
  <si>
    <t>Toilets labor</t>
  </si>
  <si>
    <t>Gate house</t>
  </si>
  <si>
    <t>Padlocks</t>
  </si>
  <si>
    <t>Toilets</t>
  </si>
  <si>
    <t>Construction labor</t>
  </si>
  <si>
    <t>Air conditioner</t>
  </si>
  <si>
    <t>Chairs</t>
  </si>
  <si>
    <t>Desk</t>
  </si>
  <si>
    <t>Fire extinguisher</t>
  </si>
  <si>
    <t>First aid kit</t>
  </si>
  <si>
    <t>Trash bin</t>
  </si>
  <si>
    <t>Visitors book</t>
  </si>
  <si>
    <t>Power house cabinet transport by boat</t>
  </si>
  <si>
    <t>Boat rental contingency (for materials transport)</t>
  </si>
  <si>
    <t>Storage space rental</t>
  </si>
  <si>
    <t>Transmission contingency</t>
  </si>
  <si>
    <t>Step-down transformer(s) earthing labor</t>
  </si>
  <si>
    <t>Step-up transformer base labor</t>
  </si>
  <si>
    <t>Step-up transformer earthing labor</t>
  </si>
  <si>
    <t>Step-down transformer(s)</t>
  </si>
  <si>
    <t>Step-down transformer(s) earthing</t>
  </si>
  <si>
    <t>Step-down transformer(s) mounting</t>
  </si>
  <si>
    <t>Step-up transformer</t>
  </si>
  <si>
    <t>Step-up transformer base</t>
  </si>
  <si>
    <t>Step-up transformer earthing</t>
  </si>
  <si>
    <t>Balance of transmission transport</t>
  </si>
  <si>
    <t>Poles transport</t>
  </si>
  <si>
    <t>Transformer transport</t>
  </si>
  <si>
    <t>Rental motorcycles/cars</t>
  </si>
  <si>
    <t>Staff flights from home cities</t>
  </si>
  <si>
    <t>Rental pickup truck</t>
  </si>
  <si>
    <t>Battery fuses/breakers</t>
  </si>
  <si>
    <t>Battery inverter AC  wiring</t>
  </si>
  <si>
    <t>Battery inverter DC wiring</t>
  </si>
  <si>
    <t>Battery inverter mounting hardware</t>
  </si>
  <si>
    <t>Battery racking</t>
  </si>
  <si>
    <t>Battery wiring</t>
  </si>
  <si>
    <t>Battery wiring lugs</t>
  </si>
  <si>
    <t>Charge controller mounting hardware</t>
  </si>
  <si>
    <t>Charge controller output wiring</t>
  </si>
  <si>
    <t>DC bus bars</t>
  </si>
  <si>
    <t>Frame for mounting inverters and switchgear</t>
  </si>
  <si>
    <t>Hardware for frame for mounting inverters and switchgear</t>
  </si>
  <si>
    <t>Inverter monitoring device power supply</t>
  </si>
  <si>
    <t>2 guards for 1 month. This may be overkill.</t>
  </si>
  <si>
    <t>Sometimes the community leaders want something for their time</t>
  </si>
  <si>
    <t>Assuming 2 staff members go for 5 days</t>
  </si>
  <si>
    <t>Assuming 2 staff members go for 5 days and 1 of them is driving a motorcycle around</t>
  </si>
  <si>
    <t>Max 1000 customers per base station</t>
  </si>
  <si>
    <t>Count of SMRSD meters</t>
  </si>
  <si>
    <t>Count of SMRPI meters</t>
  </si>
  <si>
    <t>SMRSD Meters</t>
  </si>
  <si>
    <t>SMRPI Meters</t>
  </si>
  <si>
    <t>SMRSD Price</t>
  </si>
  <si>
    <t>SMRPI Price</t>
  </si>
  <si>
    <t>MeterPriceSMRSD</t>
  </si>
  <si>
    <t>MeterPriceSMRPI</t>
  </si>
  <si>
    <t>MeterCountSMRSD</t>
  </si>
  <si>
    <t>MeterCountSMRPI</t>
  </si>
  <si>
    <t>Based on SparkMeter DDP quote for KKCF</t>
  </si>
  <si>
    <t>Assumes 3 staff for 21 days</t>
  </si>
  <si>
    <t>3 staff, round trip each</t>
  </si>
  <si>
    <t>1 driver, 1000 a day, 21 days</t>
  </si>
  <si>
    <t>Needed for some batteries, but not for Solar MD</t>
  </si>
  <si>
    <t>Earthing pits for site</t>
  </si>
  <si>
    <t>AC DB MCBs</t>
  </si>
  <si>
    <t>Usually one big one for the grid, a 32 A for local heavy loads, and a 10 A for local light loads</t>
  </si>
  <si>
    <t>10 mm2 cable. Price is an estimate. Assuming 10 meters of cable (one-way) for each charge controller.</t>
  </si>
  <si>
    <t>Power house</t>
  </si>
  <si>
    <t>Roofing and paint for power house</t>
  </si>
  <si>
    <t>Clearing Agents</t>
  </si>
  <si>
    <t>Port and Shipping Line</t>
  </si>
  <si>
    <t>Delivery Order Fee</t>
  </si>
  <si>
    <t>Transmission labor</t>
  </si>
  <si>
    <t>Are you building distribution lines?</t>
  </si>
  <si>
    <t>It's smart to budget 10% of total distribution costs</t>
  </si>
  <si>
    <t>Kilometers to build</t>
  </si>
  <si>
    <t>Materials cost per km</t>
  </si>
  <si>
    <t>DistributionMaterialsCostPerKm</t>
  </si>
  <si>
    <t>DistributionLabourCostPerKm</t>
  </si>
  <si>
    <t>Labour cost per km</t>
  </si>
  <si>
    <t>DistributionKm</t>
  </si>
  <si>
    <t>DistributionTrueFalse</t>
  </si>
  <si>
    <t>kilometers</t>
  </si>
  <si>
    <t>DistributionTransportCostPerKm</t>
  </si>
  <si>
    <t>Transport cost per km (road)</t>
  </si>
  <si>
    <t>Power house transport by road</t>
  </si>
  <si>
    <t>Loading of meters and customer wiring materials</t>
  </si>
  <si>
    <t>Offloading of meters and customer wiring materials</t>
  </si>
  <si>
    <t>Loading of various BOS materials</t>
  </si>
  <si>
    <t>Offloading of various BOS materials</t>
  </si>
  <si>
    <t>Loading of racking materials</t>
  </si>
  <si>
    <t>Offloading of racking materials</t>
  </si>
  <si>
    <t>Loading of solar panels</t>
  </si>
  <si>
    <t>Offloading of solar panels</t>
  </si>
  <si>
    <t>Overall metrics</t>
  </si>
  <si>
    <t>Display Settings</t>
  </si>
  <si>
    <t>Expense Categories</t>
  </si>
  <si>
    <t>Expense Types</t>
  </si>
  <si>
    <t>Expense Statuses</t>
  </si>
  <si>
    <t>Commonly changed inputs (Douglas removed these, but learn this tool and apply them yourself!)</t>
  </si>
  <si>
    <t>20' Container</t>
  </si>
  <si>
    <t>40' Container</t>
  </si>
  <si>
    <t>THC/Handling/Cleaning Fee</t>
  </si>
  <si>
    <t>Shorehandling</t>
  </si>
  <si>
    <t>Wharfage</t>
  </si>
  <si>
    <t>Total for 20' container</t>
  </si>
  <si>
    <t>Total for 40' container</t>
  </si>
  <si>
    <t>Shipping</t>
  </si>
  <si>
    <t>Distribution</t>
  </si>
  <si>
    <t>Units</t>
  </si>
  <si>
    <t>PortFeesTwentyFoot</t>
  </si>
  <si>
    <t>PortFeesFortyFoot</t>
  </si>
  <si>
    <t>Total panels in shipment</t>
  </si>
  <si>
    <t>Note: LCL shipments are assumed to have the same clearing and port costs as a 20' container.</t>
  </si>
  <si>
    <t>Battery port fees</t>
  </si>
  <si>
    <t>Battery clearing agent fees</t>
  </si>
  <si>
    <t>BatteryPortFees</t>
  </si>
  <si>
    <t>BatteryClearingAgentFees</t>
  </si>
  <si>
    <t>How are the batteries shipping?</t>
  </si>
  <si>
    <t>How are the panels shipping?</t>
  </si>
  <si>
    <t>Battery VAT</t>
  </si>
  <si>
    <t>Battery non-VAT Import Taxes</t>
  </si>
  <si>
    <t>PV port fees</t>
  </si>
  <si>
    <t>PV clearing agent fees</t>
  </si>
  <si>
    <t>PV VAT</t>
  </si>
  <si>
    <t>PV non-VAT Import Taxes</t>
  </si>
  <si>
    <t>Fill out this sheet, and many things will calculate automatically on the Expense List. This sheet is for inputs which will be different for every individual project, like customer counts and component sizes.</t>
  </si>
  <si>
    <t>Customs and Clearing</t>
  </si>
  <si>
    <t>How are the batteries inverters shipping?</t>
  </si>
  <si>
    <t>Materials and Labour</t>
  </si>
  <si>
    <t>How is the racking shipping?</t>
  </si>
  <si>
    <t>How many projects' racking is in this shipment?</t>
  </si>
  <si>
    <t>Racking shipping cost</t>
  </si>
  <si>
    <t>Transport (Domestic Road and Water)</t>
  </si>
  <si>
    <t>Battery inverter port fees</t>
  </si>
  <si>
    <t>Battery inverter clearing agent fees</t>
  </si>
  <si>
    <t>Battery inverter VAT</t>
  </si>
  <si>
    <t>Battery inverter non-VAT Import Taxes</t>
  </si>
  <si>
    <t>Shipping cost</t>
  </si>
  <si>
    <t>Source/Notes</t>
  </si>
  <si>
    <t>meters</t>
  </si>
  <si>
    <t>Fencing length</t>
  </si>
  <si>
    <t>Fill out this sheet, and many things will calculate automatically on the Expense List. This sheet is for inputs which usually don't change much from project to project, especially for projects built around the same time or in the same area.</t>
  </si>
  <si>
    <t>Battery inspection fee</t>
  </si>
  <si>
    <t>BatteryVAT</t>
  </si>
  <si>
    <t>BatteryNonVAT</t>
  </si>
  <si>
    <t>BatteryInspection</t>
  </si>
  <si>
    <t>Battery inverter inspection fees</t>
  </si>
  <si>
    <t>BatteryInverterInspection</t>
  </si>
  <si>
    <t>BatteryInverterPortFees</t>
  </si>
  <si>
    <t>BatteryInverterClearingAgentFees</t>
  </si>
  <si>
    <t>BatteryInverterVAT</t>
  </si>
  <si>
    <t>BatteryInverterNonVAT</t>
  </si>
  <si>
    <t>MeterInspection</t>
  </si>
  <si>
    <t>MeterPortFees</t>
  </si>
  <si>
    <t>MeterClearingAgentFees</t>
  </si>
  <si>
    <t>MeterVAT</t>
  </si>
  <si>
    <t>MeterNonVAT</t>
  </si>
  <si>
    <t>PV inspection fee</t>
  </si>
  <si>
    <t>PVInspection</t>
  </si>
  <si>
    <t>PVPortFees</t>
  </si>
  <si>
    <t>PVClearingAgentFees</t>
  </si>
  <si>
    <t>PVVAT</t>
  </si>
  <si>
    <t>PVNonVAT</t>
  </si>
  <si>
    <t>Racking Inpection Fee</t>
  </si>
  <si>
    <t>RackingInspection</t>
  </si>
  <si>
    <t>Racking port fees</t>
  </si>
  <si>
    <t>RackingPortFees</t>
  </si>
  <si>
    <t>Racking clearing agent fees</t>
  </si>
  <si>
    <t>RackingClearingAgentFees</t>
  </si>
  <si>
    <t>Racking VAT</t>
  </si>
  <si>
    <t>RackingVAT</t>
  </si>
  <si>
    <t>Racking non-VAT Import Taxes</t>
  </si>
  <si>
    <t>RackingNonVAT</t>
  </si>
  <si>
    <t>RackingSitesCount</t>
  </si>
  <si>
    <t>Meter inspection fee</t>
  </si>
  <si>
    <t>Meter port fees</t>
  </si>
  <si>
    <t>Meter clearing agent fees</t>
  </si>
  <si>
    <t>Meter VAT</t>
  </si>
  <si>
    <t>Meter non-VAT Import Taxes</t>
  </si>
  <si>
    <t>kW</t>
  </si>
  <si>
    <t>km</t>
  </si>
  <si>
    <t>PV Size</t>
  </si>
  <si>
    <t>Battery Size</t>
  </si>
  <si>
    <t>Distribution Length</t>
  </si>
  <si>
    <t>Transmission Length</t>
  </si>
  <si>
    <t>Customs and Clearing (overwrite with 0 if you're not importing racking)</t>
  </si>
  <si>
    <t>Battery inverter size</t>
  </si>
  <si>
    <t>How many projects' battery inverters are in this shipment?</t>
  </si>
  <si>
    <t>From Kapelbok actuals</t>
  </si>
  <si>
    <t>Guess</t>
  </si>
  <si>
    <t>Fencing labour per meter</t>
  </si>
  <si>
    <t>Fencing materials per meter</t>
  </si>
  <si>
    <t>Fencing materials transport per meter</t>
  </si>
  <si>
    <t>Shipping cost per meter</t>
  </si>
  <si>
    <t>Rate from the KKCF shipment</t>
  </si>
  <si>
    <t>Total meter shipping cost</t>
  </si>
  <si>
    <t>MeterShippingCost</t>
  </si>
  <si>
    <t>This is a guess. Because meters fly, the fees are completely different.</t>
  </si>
  <si>
    <t>This can be all over the place- it varies a lot for each order. There is usally a "consolidation fee", at least.</t>
  </si>
  <si>
    <t>Panel size</t>
  </si>
  <si>
    <t>Total shipment size</t>
  </si>
  <si>
    <t>Let all the shipping and logistics costs go to battery inverters, for simplicity</t>
  </si>
  <si>
    <t>PVCCVAT</t>
  </si>
  <si>
    <t>PVCCNonVAT</t>
  </si>
  <si>
    <t>SparkMeter pre-shipment fees</t>
  </si>
  <si>
    <t>Portion of panels going to this project</t>
  </si>
  <si>
    <t>Batteries shipping with inverters?</t>
  </si>
  <si>
    <t>Racking shipping cost for this project</t>
  </si>
  <si>
    <t>RackingShippingCost</t>
  </si>
  <si>
    <t>Inspection Fee</t>
  </si>
  <si>
    <t>Victron SmartSolar MPPT 250/85 Charge Controller</t>
  </si>
  <si>
    <t>Comes with Victron GX devices, but doesn't come with SMA, for example</t>
  </si>
  <si>
    <t>Racking earthing cables</t>
  </si>
  <si>
    <t>Template Minigrid</t>
  </si>
  <si>
    <t>Based on Dein's estimate for Ozuzu (6 km of LV), use 4200000 for totally new lines. Just wiring is 350 per meter.</t>
  </si>
  <si>
    <t>Based on Dein's estimate for Ozuzu (6 km of LV + 1.6 km of MV), use 1180552 for totally new lines.</t>
  </si>
  <si>
    <t>DistributionContingency</t>
  </si>
  <si>
    <t>Distribution surveyor cost (including any meals or lodging)</t>
  </si>
  <si>
    <t>DistributionSurveyCost</t>
  </si>
  <si>
    <t>Levy on battery inverters (LVY), applied to total</t>
  </si>
  <si>
    <t>Import duty on battery inverters (ID, DTY), applied to total</t>
  </si>
  <si>
    <t>VAT on battery inverters, applied to total + all other charges</t>
  </si>
  <si>
    <t>VAT on batteries, applied to total + all other charges</t>
  </si>
  <si>
    <t>Import duty on batteries (ID, DTY), applied to total</t>
  </si>
  <si>
    <t>Levy on batteries (LVY), applied to total</t>
  </si>
  <si>
    <t>VAT on meters, applied to total + all other charges</t>
  </si>
  <si>
    <t>Import duty on meters (ID, DTY), applied to total</t>
  </si>
  <si>
    <t>Levy on meters (LVY), applied to total</t>
  </si>
  <si>
    <t>VAT on panels, applied to total + all other charges</t>
  </si>
  <si>
    <t>Import duty on panels (ID, DTY), applied to total</t>
  </si>
  <si>
    <t>Levy on panels (LVY), applied to total</t>
  </si>
  <si>
    <t>Note: import taxes on PV panels in Nigeria are wild. You may want to study past imports and add a contingency.</t>
  </si>
  <si>
    <t>VAT on PV inverters/charge controllers, applied to total + all other charges</t>
  </si>
  <si>
    <t>Import duty on PV inverters/charge controllers (ID, DTY), applied to total</t>
  </si>
  <si>
    <t>Levy on PV inverters/charge controllers (LVY), applied to total</t>
  </si>
  <si>
    <t>VAT on racking, applied to total + all other charges</t>
  </si>
  <si>
    <t>Import duty on racking (ID, DTY), applied to total</t>
  </si>
  <si>
    <t>Levy on racking (LVY), applied to total</t>
  </si>
  <si>
    <t>LevyOnRacking</t>
  </si>
  <si>
    <t>DutyOnRacking</t>
  </si>
  <si>
    <t>VATonRacking</t>
  </si>
  <si>
    <t>VATonPVInverters</t>
  </si>
  <si>
    <t>DutyOnPVInverters</t>
  </si>
  <si>
    <t>LevyOnPVInverters</t>
  </si>
  <si>
    <t>VATonPV</t>
  </si>
  <si>
    <t>DutyOnPV</t>
  </si>
  <si>
    <t>LevyOnPV</t>
  </si>
  <si>
    <t>VATonMeters</t>
  </si>
  <si>
    <t>DutyOnMeters</t>
  </si>
  <si>
    <t>LevyOnMeters</t>
  </si>
  <si>
    <t>VATonBatteryInverters</t>
  </si>
  <si>
    <t>DutyOnBatteryInverters</t>
  </si>
  <si>
    <t>LevyOnBatteryInverters</t>
  </si>
  <si>
    <t>VATonBatteries</t>
  </si>
  <si>
    <t>DutyOnBatteries</t>
  </si>
  <si>
    <t>LevyOnBatteries</t>
  </si>
  <si>
    <t>Import administrative charge (on product value, no shipping or insurance)</t>
  </si>
  <si>
    <t>Port surcharge (on Duty amount)</t>
  </si>
  <si>
    <t>ECOWAS Trade Liberalization Scheme Levy (on total value)</t>
  </si>
  <si>
    <t>ImportCharge</t>
  </si>
  <si>
    <t>PortSurcharge</t>
  </si>
  <si>
    <t>ETLLevy</t>
  </si>
  <si>
    <t>ExchangeRateNGNUSD</t>
  </si>
  <si>
    <t>BatteryCost</t>
  </si>
  <si>
    <t>BatteryCostShipping</t>
  </si>
  <si>
    <t>Battery Shipping Cost (for this project)</t>
  </si>
  <si>
    <t>Battery Cost (for this project)</t>
  </si>
  <si>
    <t>Number of batteries for this project</t>
  </si>
  <si>
    <t>Battery inverter cost (for this project)</t>
  </si>
  <si>
    <t>Battery inverter shipping cost (for this project)</t>
  </si>
  <si>
    <t>BatteryInverterCostShipping</t>
  </si>
  <si>
    <t>BatteryInverterCost</t>
  </si>
  <si>
    <t>Meter Cost Total (for this project)</t>
  </si>
  <si>
    <t>MeterCost</t>
  </si>
  <si>
    <t>PV Cost (for this project)</t>
  </si>
  <si>
    <t>Project Wattage</t>
  </si>
  <si>
    <t>PVCost</t>
  </si>
  <si>
    <t>Number of panels (for this project)</t>
  </si>
  <si>
    <t>PV Shipping Cost (for this project)</t>
  </si>
  <si>
    <t>PVCostShipping</t>
  </si>
  <si>
    <t>PV inverter/charge controller cost (for this project)</t>
  </si>
  <si>
    <t>PVCCCost</t>
  </si>
  <si>
    <t>Count of PV inverters/charge controllers (for this project)</t>
  </si>
  <si>
    <t>PVCCCostShipping</t>
  </si>
  <si>
    <t>Racking materials cost</t>
  </si>
  <si>
    <t>RackingCost</t>
  </si>
  <si>
    <t>Pre-Shipping</t>
  </si>
  <si>
    <t>Inspection (SGS/BV/IT) fee</t>
  </si>
  <si>
    <t>Port Verification Charge</t>
  </si>
  <si>
    <t>We don't usually do this in Nigeria</t>
  </si>
  <si>
    <t>Assuming 25 meters (length) per customer</t>
  </si>
  <si>
    <t>MTN</t>
  </si>
  <si>
    <t>Building Permit</t>
  </si>
  <si>
    <t>ESMP</t>
  </si>
  <si>
    <t>Land Lease Processing</t>
  </si>
  <si>
    <t>Land Purchase</t>
  </si>
  <si>
    <t>NERC Application Fee</t>
  </si>
  <si>
    <t>State</t>
  </si>
  <si>
    <t>PAMM Environmental Services</t>
  </si>
  <si>
    <t>NERC</t>
  </si>
  <si>
    <t>Chair rental and drinks for meetings</t>
  </si>
  <si>
    <t>NCS</t>
  </si>
  <si>
    <t>Customer internal wiring transport to site</t>
  </si>
  <si>
    <t>This is based on Balep, but it varies wildly</t>
  </si>
  <si>
    <t>Distribution materials road transport</t>
  </si>
  <si>
    <t>CAT DE165C</t>
  </si>
  <si>
    <t>SGS</t>
  </si>
  <si>
    <t>NPA</t>
  </si>
  <si>
    <t>Conduit for outside cable runs</t>
  </si>
  <si>
    <t>Full tool sets for technicians to have access to whenever needed, including multimeter.</t>
  </si>
  <si>
    <t>Victron GX device and accessories</t>
  </si>
  <si>
    <t>Importing contingency</t>
  </si>
  <si>
    <t>Every time we import solar panels, incorrect and surprise charges end up sticking to us and we're forced to pay.</t>
  </si>
  <si>
    <t>Transmission materials</t>
  </si>
  <si>
    <t xml:space="preserve">Based on: 1 motorcycle, filled up weekly, 1200 per fill-up, plus 20% margin </t>
  </si>
  <si>
    <t>Assuming 2 staff members take round-trip flights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</si>
</sst>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_(* #,##0_);_(* \(#,##0\);_(* &quot;-&quot;??_);_(@_)"/>
    <numFmt numFmtId="165" formatCode="[$-409]mmmm\ d\,\ yyyy;@"/>
    <numFmt numFmtId="166" formatCode="0.000"/>
    <numFmt numFmtId="167" formatCode="0.0%"/>
    <numFmt numFmtId="168" formatCode="_(&quot;$&quot;* #,##0_);_(&quot;$&quot;* \(#,##0\);_(&quot;$&quot;* &quot;-&quot;??_);_(@_)"/>
  </numFmts>
  <fonts count="19" x14ac:knownFonts="1">
    <font>
      <sz val="12"/>
      <color theme="1"/>
      <name val="Calibri"/>
      <family val="2"/>
      <scheme val="minor"/>
    </font>
    <font>
      <sz val="12"/>
      <color theme="1"/>
      <name val="Calibri"/>
      <family val="2"/>
      <scheme val="minor"/>
    </font>
    <font>
      <b/>
      <sz val="12"/>
      <color theme="1"/>
      <name val="Calibri"/>
      <family val="2"/>
      <scheme val="minor"/>
    </font>
    <font>
      <b/>
      <sz val="13"/>
      <color theme="3"/>
      <name val="Calibri"/>
      <family val="2"/>
      <scheme val="minor"/>
    </font>
    <font>
      <b/>
      <sz val="15"/>
      <name val="Calibri"/>
      <family val="2"/>
      <scheme val="minor"/>
    </font>
    <font>
      <b/>
      <sz val="25"/>
      <color theme="1"/>
      <name val="Calibri"/>
      <family val="2"/>
      <scheme val="minor"/>
    </font>
    <font>
      <sz val="11"/>
      <color theme="1"/>
      <name val="Calibri"/>
      <family val="2"/>
      <scheme val="minor"/>
    </font>
    <font>
      <sz val="18"/>
      <color theme="1"/>
      <name val="Calibri"/>
      <family val="2"/>
      <scheme val="minor"/>
    </font>
    <font>
      <sz val="8"/>
      <name val="Calibri"/>
      <family val="2"/>
      <scheme val="minor"/>
    </font>
    <font>
      <b/>
      <sz val="14"/>
      <color theme="1"/>
      <name val="Calibri"/>
      <family val="2"/>
      <scheme val="minor"/>
    </font>
    <font>
      <b/>
      <sz val="12"/>
      <color theme="4"/>
      <name val="Calibri"/>
      <family val="2"/>
      <scheme val="minor"/>
    </font>
    <font>
      <sz val="12"/>
      <color theme="4"/>
      <name val="Calibri"/>
      <family val="2"/>
      <scheme val="minor"/>
    </font>
    <font>
      <i/>
      <sz val="12"/>
      <color theme="1"/>
      <name val="Calibri"/>
      <family val="2"/>
      <scheme val="minor"/>
    </font>
    <font>
      <b/>
      <sz val="20"/>
      <color theme="1"/>
      <name val="Calibri"/>
      <family val="2"/>
      <scheme val="minor"/>
    </font>
    <font>
      <i/>
      <u/>
      <sz val="12"/>
      <color theme="1"/>
      <name val="Calibri"/>
      <family val="2"/>
      <scheme val="minor"/>
    </font>
    <font>
      <sz val="11"/>
      <color theme="4"/>
      <name val="Calibri"/>
      <family val="2"/>
      <scheme val="minor"/>
    </font>
    <font>
      <sz val="12"/>
      <name val="Calibri"/>
      <family val="2"/>
      <scheme val="minor"/>
    </font>
    <font>
      <sz val="12"/>
      <color rgb="FF000000"/>
      <name val="Calibri"/>
      <family val="2"/>
      <scheme val="minor"/>
    </font>
    <font>
      <i/>
      <u/>
      <sz val="12"/>
      <color rgb="FF000000"/>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rgb="FFFF98A4"/>
        <bgColor indexed="64"/>
      </patternFill>
    </fill>
  </fills>
  <borders count="6">
    <border>
      <left/>
      <right/>
      <top/>
      <bottom/>
      <diagonal/>
    </border>
    <border>
      <left/>
      <right/>
      <top/>
      <bottom style="thick">
        <color theme="4" tint="0.499984740745262"/>
      </bottom>
      <diagonal/>
    </border>
    <border>
      <left/>
      <right/>
      <top/>
      <bottom style="thin">
        <color indexed="64"/>
      </bottom>
      <diagonal/>
    </border>
    <border>
      <left style="thin">
        <color theme="1"/>
      </left>
      <right/>
      <top/>
      <bottom/>
      <diagonal/>
    </border>
    <border>
      <left/>
      <right style="thin">
        <color theme="1"/>
      </right>
      <top/>
      <bottom/>
      <diagonal/>
    </border>
    <border>
      <left/>
      <right/>
      <top/>
      <bottom style="dotted">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pplyFill="0" applyAlignment="0" applyProtection="0"/>
    <xf numFmtId="0" fontId="6" fillId="0" borderId="0"/>
  </cellStyleXfs>
  <cellXfs count="173">
    <xf numFmtId="0" fontId="0" fillId="0" borderId="0" xfId="0"/>
    <xf numFmtId="43" fontId="0" fillId="0" borderId="0" xfId="0" applyNumberFormat="1"/>
    <xf numFmtId="0" fontId="0" fillId="0" borderId="0" xfId="0" applyAlignment="1">
      <alignment horizontal="right"/>
    </xf>
    <xf numFmtId="0" fontId="3" fillId="0" borderId="1" xfId="3"/>
    <xf numFmtId="1" fontId="0" fillId="0" borderId="0" xfId="0" applyNumberFormat="1"/>
    <xf numFmtId="43" fontId="0" fillId="0" borderId="0" xfId="1" applyFont="1" applyAlignment="1">
      <alignment horizontal="right"/>
    </xf>
    <xf numFmtId="43" fontId="0" fillId="0" borderId="0" xfId="1" applyFont="1"/>
    <xf numFmtId="0" fontId="0" fillId="0" borderId="0" xfId="0" applyAlignment="1">
      <alignment vertical="center"/>
    </xf>
    <xf numFmtId="164" fontId="0" fillId="0" borderId="0" xfId="1" applyNumberFormat="1" applyFont="1" applyAlignment="1">
      <alignment vertical="center"/>
    </xf>
    <xf numFmtId="43" fontId="0" fillId="0" borderId="0" xfId="0" applyNumberFormat="1" applyAlignment="1">
      <alignment vertical="center"/>
    </xf>
    <xf numFmtId="0" fontId="0" fillId="0" borderId="0" xfId="0" applyBorder="1" applyAlignment="1">
      <alignment vertical="center"/>
    </xf>
    <xf numFmtId="0" fontId="0" fillId="0" borderId="0" xfId="0" applyBorder="1" applyAlignment="1">
      <alignment horizontal="left" vertical="center" indent="1"/>
    </xf>
    <xf numFmtId="0" fontId="4" fillId="0" borderId="0" xfId="0" applyFont="1" applyAlignment="1">
      <alignment vertical="center"/>
    </xf>
    <xf numFmtId="0" fontId="0" fillId="0" borderId="0" xfId="0" applyFill="1" applyBorder="1" applyAlignment="1">
      <alignment vertical="center"/>
    </xf>
    <xf numFmtId="43" fontId="0" fillId="0" borderId="0" xfId="0" applyNumberFormat="1" applyAlignment="1">
      <alignment horizontal="left" vertical="center"/>
    </xf>
    <xf numFmtId="0" fontId="0" fillId="0" borderId="0" xfId="0" applyNumberFormat="1" applyFont="1" applyAlignment="1">
      <alignment vertical="center"/>
    </xf>
    <xf numFmtId="164" fontId="2" fillId="0" borderId="0" xfId="1" applyNumberFormat="1" applyFont="1" applyAlignment="1">
      <alignment vertical="center"/>
    </xf>
    <xf numFmtId="164" fontId="0" fillId="0" borderId="0" xfId="1" applyNumberFormat="1" applyFont="1" applyBorder="1" applyAlignment="1">
      <alignment vertical="center"/>
    </xf>
    <xf numFmtId="164" fontId="0" fillId="0" borderId="0" xfId="0" applyNumberFormat="1" applyAlignment="1">
      <alignment vertical="center"/>
    </xf>
    <xf numFmtId="43" fontId="7" fillId="0" borderId="0" xfId="0" pivotButton="1" applyNumberFormat="1" applyFont="1" applyAlignment="1">
      <alignment vertical="center"/>
    </xf>
    <xf numFmtId="0" fontId="2" fillId="0" borderId="0" xfId="0" applyFont="1" applyBorder="1"/>
    <xf numFmtId="0" fontId="0" fillId="0" borderId="0" xfId="0" applyNumberFormat="1" applyBorder="1" applyAlignment="1">
      <alignment horizontal="left" vertical="center" wrapText="1" indent="2"/>
    </xf>
    <xf numFmtId="0" fontId="0" fillId="0" borderId="0" xfId="0" applyBorder="1" applyAlignment="1">
      <alignment horizontal="left" vertical="center" wrapText="1" indent="1"/>
    </xf>
    <xf numFmtId="0" fontId="2" fillId="0" borderId="0" xfId="0" applyFont="1"/>
    <xf numFmtId="0" fontId="11" fillId="0" borderId="0" xfId="0" applyFont="1"/>
    <xf numFmtId="9" fontId="11" fillId="0" borderId="0" xfId="0" applyNumberFormat="1" applyFont="1"/>
    <xf numFmtId="166" fontId="11" fillId="0" borderId="0" xfId="0" applyNumberFormat="1" applyFont="1"/>
    <xf numFmtId="167" fontId="11" fillId="0" borderId="0" xfId="0" applyNumberFormat="1" applyFont="1"/>
    <xf numFmtId="0" fontId="12" fillId="0" borderId="0" xfId="0" applyFont="1"/>
    <xf numFmtId="2" fontId="0" fillId="0" borderId="0" xfId="0" applyNumberFormat="1"/>
    <xf numFmtId="164" fontId="11" fillId="0" borderId="0" xfId="1" applyNumberFormat="1" applyFont="1"/>
    <xf numFmtId="0" fontId="0" fillId="0" borderId="0" xfId="0" applyAlignment="1">
      <alignment horizontal="left"/>
    </xf>
    <xf numFmtId="168" fontId="0" fillId="0" borderId="0" xfId="0" applyNumberFormat="1" applyAlignment="1">
      <alignment vertical="center"/>
    </xf>
    <xf numFmtId="0" fontId="0" fillId="0" borderId="0" xfId="0" applyAlignment="1">
      <alignment horizontal="left" indent="1"/>
    </xf>
    <xf numFmtId="0" fontId="0" fillId="0" borderId="2" xfId="0" applyBorder="1"/>
    <xf numFmtId="2" fontId="0" fillId="3" borderId="0" xfId="0" applyNumberFormat="1" applyFill="1" applyBorder="1" applyAlignment="1">
      <alignment horizontal="center" vertical="center"/>
    </xf>
    <xf numFmtId="0" fontId="0" fillId="3" borderId="0" xfId="0" applyNumberFormat="1" applyFont="1" applyFill="1" applyBorder="1" applyAlignment="1">
      <alignment horizontal="left" vertical="center" wrapText="1" indent="2"/>
    </xf>
    <xf numFmtId="166" fontId="0" fillId="3" borderId="0" xfId="0" applyNumberFormat="1" applyFill="1" applyBorder="1" applyAlignment="1">
      <alignment horizontal="left" vertical="center" wrapText="1" indent="2"/>
    </xf>
    <xf numFmtId="0" fontId="5" fillId="0" borderId="0" xfId="0" applyFont="1" applyAlignment="1">
      <alignment vertical="center" wrapText="1"/>
    </xf>
    <xf numFmtId="0" fontId="4" fillId="0" borderId="0" xfId="0" applyFont="1" applyBorder="1" applyAlignment="1">
      <alignment vertical="center"/>
    </xf>
    <xf numFmtId="0" fontId="0" fillId="0" borderId="0" xfId="0" applyFill="1" applyBorder="1" applyAlignment="1">
      <alignment horizontal="left" vertical="center" indent="1"/>
    </xf>
    <xf numFmtId="0" fontId="10" fillId="0" borderId="0" xfId="0" applyFont="1" applyBorder="1" applyAlignment="1">
      <alignment horizontal="right" vertical="center"/>
    </xf>
    <xf numFmtId="0" fontId="11" fillId="0" borderId="0" xfId="0" applyFont="1" applyAlignment="1">
      <alignment horizontal="left" indent="1"/>
    </xf>
    <xf numFmtId="0" fontId="11" fillId="2" borderId="0" xfId="0" applyFont="1" applyFill="1" applyAlignment="1">
      <alignment horizontal="left" indent="1"/>
    </xf>
    <xf numFmtId="0" fontId="0" fillId="0" borderId="0" xfId="0" applyFont="1" applyAlignment="1">
      <alignment horizontal="left" indent="1"/>
    </xf>
    <xf numFmtId="0" fontId="12" fillId="0" borderId="0" xfId="0" applyFont="1" applyAlignment="1">
      <alignment horizontal="left" indent="1"/>
    </xf>
    <xf numFmtId="0" fontId="13" fillId="0" borderId="0" xfId="0" applyFont="1" applyAlignment="1">
      <alignment vertical="center"/>
    </xf>
    <xf numFmtId="0" fontId="0" fillId="0" borderId="0" xfId="0" applyBorder="1"/>
    <xf numFmtId="0" fontId="9" fillId="0" borderId="2" xfId="0" applyFont="1" applyBorder="1"/>
    <xf numFmtId="0" fontId="11" fillId="0" borderId="0" xfId="0" applyFont="1" applyFill="1"/>
    <xf numFmtId="1" fontId="11" fillId="0" borderId="0" xfId="2" applyNumberFormat="1" applyFont="1" applyBorder="1" applyAlignment="1">
      <alignment vertical="center"/>
    </xf>
    <xf numFmtId="14" fontId="0" fillId="0" borderId="0" xfId="0" applyNumberFormat="1" applyBorder="1" applyAlignment="1">
      <alignment horizontal="left" vertical="center"/>
    </xf>
    <xf numFmtId="43" fontId="0" fillId="0" borderId="0" xfId="1" applyNumberFormat="1" applyFont="1" applyBorder="1" applyAlignment="1">
      <alignment horizontal="right" vertical="center" indent="2"/>
    </xf>
    <xf numFmtId="0" fontId="0" fillId="0" borderId="0" xfId="0" applyBorder="1" applyAlignment="1">
      <alignment horizontal="center" vertical="center"/>
    </xf>
    <xf numFmtId="43" fontId="0" fillId="3" borderId="0" xfId="0" applyNumberFormat="1" applyFill="1" applyBorder="1" applyAlignment="1">
      <alignment horizontal="center" vertical="center"/>
    </xf>
    <xf numFmtId="2" fontId="0" fillId="0" borderId="0" xfId="0" applyNumberFormat="1" applyBorder="1" applyAlignment="1">
      <alignment horizontal="center" vertical="center"/>
    </xf>
    <xf numFmtId="165" fontId="0" fillId="0" borderId="0" xfId="0" applyNumberFormat="1" applyBorder="1" applyAlignment="1">
      <alignment horizontal="center" vertical="center"/>
    </xf>
    <xf numFmtId="1" fontId="0" fillId="3" borderId="0" xfId="2" applyNumberFormat="1" applyFont="1" applyFill="1" applyBorder="1" applyAlignment="1">
      <alignment horizontal="left" vertical="center" indent="1"/>
    </xf>
    <xf numFmtId="0" fontId="0" fillId="0" borderId="0" xfId="0" applyFont="1" applyBorder="1" applyAlignment="1">
      <alignment horizontal="left" vertical="center" wrapText="1" indent="1"/>
    </xf>
    <xf numFmtId="0" fontId="0" fillId="0" borderId="0" xfId="0" applyBorder="1" applyAlignment="1">
      <alignment horizontal="left" vertical="center" wrapText="1"/>
    </xf>
    <xf numFmtId="0" fontId="0" fillId="0" borderId="0" xfId="0" applyBorder="1" applyAlignment="1">
      <alignment horizontal="left" vertical="center" wrapText="1" indent="2"/>
    </xf>
    <xf numFmtId="1" fontId="0" fillId="0" borderId="0" xfId="0" applyNumberFormat="1" applyBorder="1" applyAlignment="1">
      <alignment horizontal="center" vertical="center"/>
    </xf>
    <xf numFmtId="0" fontId="0" fillId="0" borderId="3" xfId="0" applyBorder="1" applyAlignment="1">
      <alignment horizontal="right" vertical="center" indent="2"/>
    </xf>
    <xf numFmtId="0" fontId="0" fillId="0" borderId="3" xfId="0" applyBorder="1" applyAlignment="1">
      <alignment horizontal="center" vertical="center"/>
    </xf>
    <xf numFmtId="1" fontId="0" fillId="0" borderId="3" xfId="0" applyNumberFormat="1" applyBorder="1" applyAlignment="1">
      <alignment horizontal="center" vertical="center"/>
    </xf>
    <xf numFmtId="2" fontId="0" fillId="3" borderId="3" xfId="0" applyNumberFormat="1" applyFill="1" applyBorder="1" applyAlignment="1">
      <alignment horizontal="center" vertical="center"/>
    </xf>
    <xf numFmtId="0" fontId="0" fillId="0" borderId="0" xfId="0" applyNumberFormat="1" applyFont="1" applyBorder="1" applyAlignment="1">
      <alignment horizontal="left" vertical="center" wrapText="1" indent="2"/>
    </xf>
    <xf numFmtId="0" fontId="2" fillId="0" borderId="0" xfId="0" applyFont="1" applyFill="1" applyBorder="1"/>
    <xf numFmtId="1" fontId="0" fillId="0" borderId="0" xfId="2" applyNumberFormat="1" applyFont="1" applyFill="1"/>
    <xf numFmtId="0" fontId="2" fillId="0" borderId="2" xfId="0" applyFont="1" applyFill="1" applyBorder="1"/>
    <xf numFmtId="9" fontId="0" fillId="0" borderId="0" xfId="2" applyFont="1" applyFill="1"/>
    <xf numFmtId="9" fontId="0" fillId="0" borderId="0" xfId="2" applyFont="1" applyFill="1" applyAlignment="1">
      <alignment horizontal="right"/>
    </xf>
    <xf numFmtId="0" fontId="11" fillId="0" borderId="0" xfId="0" quotePrefix="1" applyFont="1" applyFill="1"/>
    <xf numFmtId="0" fontId="0" fillId="0" borderId="0" xfId="0" applyAlignment="1">
      <alignment horizontal="left" vertical="center" indent="1"/>
    </xf>
    <xf numFmtId="0" fontId="0" fillId="0" borderId="0" xfId="0" applyAlignment="1">
      <alignment horizontal="left" vertical="center" wrapText="1" indent="1"/>
    </xf>
    <xf numFmtId="14" fontId="0" fillId="0" borderId="0" xfId="0" applyNumberFormat="1" applyAlignment="1">
      <alignment horizontal="left" vertical="center"/>
    </xf>
    <xf numFmtId="0" fontId="0" fillId="0" borderId="0" xfId="0" applyNumberFormat="1" applyAlignment="1">
      <alignment horizontal="left" vertical="center" wrapText="1" indent="2"/>
    </xf>
    <xf numFmtId="166" fontId="0" fillId="3" borderId="0" xfId="0" applyNumberFormat="1" applyFill="1" applyAlignment="1">
      <alignment horizontal="left" vertical="center" wrapText="1" indent="2"/>
    </xf>
    <xf numFmtId="43" fontId="0" fillId="0" borderId="0" xfId="1" applyNumberFormat="1" applyFont="1" applyAlignment="1">
      <alignment horizontal="right" vertical="center" indent="2"/>
    </xf>
    <xf numFmtId="0" fontId="0" fillId="0" borderId="0" xfId="0" applyAlignment="1">
      <alignment horizontal="center" vertical="center"/>
    </xf>
    <xf numFmtId="43" fontId="0" fillId="3" borderId="0" xfId="0" applyNumberFormat="1" applyFill="1" applyAlignment="1">
      <alignment horizontal="center" vertical="center"/>
    </xf>
    <xf numFmtId="2" fontId="0" fillId="3" borderId="0" xfId="0" applyNumberFormat="1" applyFill="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165" fontId="0" fillId="0" borderId="0" xfId="0" applyNumberFormat="1" applyAlignment="1">
      <alignment horizontal="center" vertical="center"/>
    </xf>
    <xf numFmtId="0" fontId="0" fillId="3" borderId="0" xfId="0" applyNumberFormat="1" applyFont="1" applyFill="1" applyAlignment="1">
      <alignment horizontal="left" vertical="center" wrapText="1" indent="2"/>
    </xf>
    <xf numFmtId="1" fontId="0" fillId="3" borderId="0" xfId="2" applyNumberFormat="1" applyFont="1" applyFill="1" applyAlignment="1">
      <alignment horizontal="left" vertical="center" indent="1"/>
    </xf>
    <xf numFmtId="9" fontId="0" fillId="0" borderId="3" xfId="2" applyFont="1" applyFill="1" applyBorder="1" applyAlignment="1">
      <alignment horizontal="right" vertical="center"/>
    </xf>
    <xf numFmtId="2" fontId="0" fillId="3" borderId="4" xfId="0" applyNumberFormat="1" applyFill="1" applyBorder="1" applyAlignment="1">
      <alignment horizontal="center" vertical="center"/>
    </xf>
    <xf numFmtId="0" fontId="0" fillId="0" borderId="0" xfId="0" applyFont="1" applyAlignment="1">
      <alignment horizontal="left" vertical="center" wrapText="1" indent="1"/>
    </xf>
    <xf numFmtId="0" fontId="14" fillId="0" borderId="0" xfId="0" applyFont="1"/>
    <xf numFmtId="0" fontId="11" fillId="0" borderId="0" xfId="0" applyFont="1" applyAlignment="1">
      <alignment horizontal="right"/>
    </xf>
    <xf numFmtId="0" fontId="0" fillId="0" borderId="0" xfId="0" applyBorder="1" applyAlignment="1">
      <alignment horizontal="left" vertical="center" indent="2"/>
    </xf>
    <xf numFmtId="164" fontId="0" fillId="0" borderId="0" xfId="1" applyNumberFormat="1" applyFont="1" applyBorder="1" applyAlignment="1">
      <alignment horizontal="right" vertical="center"/>
    </xf>
    <xf numFmtId="43" fontId="0" fillId="0" borderId="0" xfId="0" applyNumberFormat="1" applyBorder="1" applyAlignment="1">
      <alignment vertical="center"/>
    </xf>
    <xf numFmtId="164" fontId="0" fillId="0" borderId="0" xfId="0" applyNumberFormat="1" applyBorder="1" applyAlignment="1">
      <alignment vertical="center"/>
    </xf>
    <xf numFmtId="164" fontId="0" fillId="0" borderId="0" xfId="0" applyNumberFormat="1" applyBorder="1" applyAlignment="1">
      <alignment horizontal="right" vertical="center"/>
    </xf>
    <xf numFmtId="0" fontId="2" fillId="0" borderId="0" xfId="0" applyFont="1" applyFill="1" applyBorder="1" applyAlignment="1">
      <alignment horizontal="left" vertical="center" indent="1"/>
    </xf>
    <xf numFmtId="2" fontId="0" fillId="0" borderId="0" xfId="2" applyNumberFormat="1" applyFont="1" applyBorder="1" applyAlignment="1">
      <alignment horizontal="right" vertical="center"/>
    </xf>
    <xf numFmtId="9" fontId="11" fillId="0" borderId="0" xfId="0" applyNumberFormat="1" applyFont="1" applyFill="1"/>
    <xf numFmtId="0" fontId="14" fillId="0" borderId="0" xfId="0" applyFont="1" applyAlignment="1">
      <alignment horizontal="left"/>
    </xf>
    <xf numFmtId="0" fontId="16" fillId="0" borderId="0" xfId="0" applyFont="1" applyFill="1" applyBorder="1" applyAlignment="1">
      <alignment vertical="center"/>
    </xf>
    <xf numFmtId="0" fontId="11" fillId="0" borderId="0" xfId="0" applyFont="1" applyFill="1" applyBorder="1" applyAlignment="1">
      <alignment vertical="center"/>
    </xf>
    <xf numFmtId="0" fontId="15" fillId="0" borderId="0" xfId="0" applyFont="1" applyFill="1" applyBorder="1" applyAlignment="1">
      <alignment horizontal="right" vertical="center"/>
    </xf>
    <xf numFmtId="0" fontId="4" fillId="0" borderId="0" xfId="0" applyFont="1" applyFill="1" applyBorder="1" applyAlignment="1">
      <alignment vertical="center"/>
    </xf>
    <xf numFmtId="0" fontId="0" fillId="0" borderId="0" xfId="0" applyFill="1"/>
    <xf numFmtId="0" fontId="14" fillId="0" borderId="0" xfId="0" applyFont="1" applyAlignment="1">
      <alignment horizontal="left" indent="1"/>
    </xf>
    <xf numFmtId="0" fontId="0" fillId="0" borderId="0" xfId="0" applyFont="1"/>
    <xf numFmtId="0" fontId="0" fillId="0" borderId="5" xfId="0" applyBorder="1" applyAlignment="1">
      <alignment horizontal="left" indent="1"/>
    </xf>
    <xf numFmtId="0" fontId="11" fillId="0" borderId="5" xfId="0" applyFont="1" applyBorder="1"/>
    <xf numFmtId="0" fontId="0" fillId="0" borderId="5" xfId="0" applyBorder="1"/>
    <xf numFmtId="0" fontId="17" fillId="0" borderId="0" xfId="0" applyFont="1" applyAlignment="1">
      <alignment horizontal="left" indent="1"/>
    </xf>
    <xf numFmtId="0" fontId="18" fillId="0" borderId="0" xfId="0" applyFont="1" applyAlignment="1">
      <alignment horizontal="left" indent="1"/>
    </xf>
    <xf numFmtId="0" fontId="0" fillId="0" borderId="0" xfId="0" applyFont="1" applyFill="1"/>
    <xf numFmtId="1" fontId="0" fillId="0" borderId="0" xfId="0" applyNumberFormat="1" applyFont="1" applyFill="1"/>
    <xf numFmtId="0" fontId="0" fillId="0" borderId="0" xfId="0" applyAlignment="1">
      <alignment horizontal="center"/>
    </xf>
    <xf numFmtId="0" fontId="17" fillId="0" borderId="0" xfId="0" applyFont="1" applyAlignment="1">
      <alignment horizontal="center"/>
    </xf>
    <xf numFmtId="1" fontId="0" fillId="0" borderId="0" xfId="0" applyNumberFormat="1" applyFont="1"/>
    <xf numFmtId="9" fontId="0" fillId="0" borderId="0" xfId="2" applyFont="1"/>
    <xf numFmtId="1" fontId="0" fillId="0" borderId="0" xfId="0" applyNumberFormat="1" applyFont="1" applyAlignment="1">
      <alignment horizontal="right"/>
    </xf>
    <xf numFmtId="0" fontId="0" fillId="0" borderId="0" xfId="0" applyFill="1" applyAlignment="1">
      <alignment horizontal="left" indent="1"/>
    </xf>
    <xf numFmtId="1" fontId="11" fillId="0" borderId="0" xfId="0" applyNumberFormat="1" applyFont="1" applyAlignment="1">
      <alignment horizontal="right"/>
    </xf>
    <xf numFmtId="167" fontId="11" fillId="0" borderId="0" xfId="0" applyNumberFormat="1" applyFont="1" applyFill="1"/>
    <xf numFmtId="167" fontId="11" fillId="0" borderId="0" xfId="0" applyNumberFormat="1" applyFont="1" applyBorder="1" applyAlignment="1">
      <alignment vertical="center"/>
    </xf>
    <xf numFmtId="0" fontId="0" fillId="0" borderId="5" xfId="0" applyBorder="1" applyAlignment="1">
      <alignment horizontal="center"/>
    </xf>
    <xf numFmtId="0" fontId="0" fillId="0" borderId="2" xfId="0" applyNumberFormat="1" applyBorder="1" applyAlignment="1">
      <alignment horizontal="left" vertical="center" wrapText="1" indent="2"/>
    </xf>
    <xf numFmtId="0" fontId="0" fillId="4" borderId="0" xfId="0" applyFill="1" applyAlignment="1">
      <alignment horizontal="left" indent="1"/>
    </xf>
    <xf numFmtId="0" fontId="11" fillId="4" borderId="0" xfId="0" applyFont="1" applyFill="1"/>
    <xf numFmtId="0" fontId="0" fillId="4" borderId="0" xfId="0" applyFill="1" applyAlignment="1">
      <alignment horizontal="center"/>
    </xf>
    <xf numFmtId="0" fontId="0" fillId="5" borderId="0" xfId="0" applyFill="1" applyAlignment="1">
      <alignment horizontal="left" indent="1"/>
    </xf>
    <xf numFmtId="0" fontId="0" fillId="5" borderId="0" xfId="0" applyFont="1" applyFill="1"/>
    <xf numFmtId="0" fontId="0" fillId="5" borderId="0" xfId="0" applyFill="1" applyAlignment="1">
      <alignment horizontal="center"/>
    </xf>
    <xf numFmtId="0" fontId="0" fillId="4" borderId="0" xfId="0" applyFill="1" applyAlignment="1">
      <alignment horizontal="left" vertical="center" indent="1"/>
    </xf>
    <xf numFmtId="0" fontId="0" fillId="4" borderId="0" xfId="0" applyFill="1" applyAlignment="1">
      <alignment horizontal="left" vertical="center" wrapText="1" indent="1"/>
    </xf>
    <xf numFmtId="0" fontId="0" fillId="4" borderId="0" xfId="0" applyNumberFormat="1" applyFill="1" applyAlignment="1">
      <alignment horizontal="left" vertical="center" wrapText="1" indent="2"/>
    </xf>
    <xf numFmtId="14" fontId="0" fillId="4" borderId="0" xfId="0" applyNumberFormat="1" applyFill="1" applyAlignment="1">
      <alignment horizontal="left" vertical="center"/>
    </xf>
    <xf numFmtId="166" fontId="0" fillId="4" borderId="0" xfId="0" applyNumberFormat="1" applyFill="1" applyAlignment="1">
      <alignment horizontal="left" vertical="center" wrapText="1" indent="2"/>
    </xf>
    <xf numFmtId="0" fontId="0" fillId="4" borderId="3" xfId="0" applyFill="1" applyBorder="1" applyAlignment="1">
      <alignment horizontal="right" vertical="center" indent="2"/>
    </xf>
    <xf numFmtId="43" fontId="0" fillId="4" borderId="0" xfId="1" applyNumberFormat="1" applyFont="1" applyFill="1" applyAlignment="1">
      <alignment horizontal="right" vertical="center" indent="2"/>
    </xf>
    <xf numFmtId="0" fontId="0" fillId="4" borderId="0" xfId="0" applyFill="1" applyAlignment="1">
      <alignment horizontal="center" vertical="center"/>
    </xf>
    <xf numFmtId="43" fontId="0" fillId="4" borderId="0" xfId="0" applyNumberFormat="1" applyFill="1" applyAlignment="1">
      <alignment horizontal="center" vertical="center"/>
    </xf>
    <xf numFmtId="43" fontId="0" fillId="4" borderId="3" xfId="0" applyNumberFormat="1" applyFill="1" applyBorder="1" applyAlignment="1">
      <alignment horizontal="center" vertical="center"/>
    </xf>
    <xf numFmtId="2" fontId="0" fillId="4" borderId="0" xfId="0" applyNumberFormat="1" applyFill="1" applyAlignment="1">
      <alignment horizontal="center" vertical="center"/>
    </xf>
    <xf numFmtId="9" fontId="0" fillId="4" borderId="3" xfId="2" applyFont="1" applyFill="1" applyBorder="1" applyAlignment="1">
      <alignment horizontal="right" vertical="center"/>
    </xf>
    <xf numFmtId="1" fontId="0" fillId="4" borderId="0" xfId="0" applyNumberFormat="1" applyFill="1" applyAlignment="1">
      <alignment horizontal="center" vertical="center"/>
    </xf>
    <xf numFmtId="165" fontId="0" fillId="4" borderId="0" xfId="0" applyNumberFormat="1" applyFill="1" applyAlignment="1">
      <alignment horizontal="center" vertical="center"/>
    </xf>
    <xf numFmtId="1" fontId="0" fillId="4" borderId="3" xfId="0" applyNumberFormat="1" applyFill="1" applyBorder="1" applyAlignment="1">
      <alignment horizontal="center" vertical="center"/>
    </xf>
    <xf numFmtId="2" fontId="0" fillId="4" borderId="3" xfId="0" applyNumberFormat="1" applyFill="1" applyBorder="1" applyAlignment="1">
      <alignment horizontal="center" vertical="center"/>
    </xf>
    <xf numFmtId="0" fontId="0" fillId="4" borderId="0" xfId="0" applyNumberFormat="1" applyFont="1" applyFill="1" applyAlignment="1">
      <alignment horizontal="left" vertical="center" wrapText="1" indent="2"/>
    </xf>
    <xf numFmtId="1" fontId="0" fillId="4" borderId="0" xfId="2" applyNumberFormat="1" applyFont="1" applyFill="1" applyAlignment="1">
      <alignment horizontal="left" vertical="center" indent="1"/>
    </xf>
    <xf numFmtId="0" fontId="0" fillId="4" borderId="0" xfId="0" applyFill="1" applyAlignment="1">
      <alignment vertical="center"/>
    </xf>
    <xf numFmtId="0" fontId="0" fillId="4" borderId="0" xfId="0" applyFill="1" applyBorder="1" applyAlignment="1">
      <alignment horizontal="left" vertical="center" indent="1"/>
    </xf>
    <xf numFmtId="0" fontId="0" fillId="4" borderId="0" xfId="0" applyFill="1" applyBorder="1" applyAlignment="1">
      <alignment horizontal="left" vertical="center" wrapText="1" indent="1"/>
    </xf>
    <xf numFmtId="0" fontId="0" fillId="4" borderId="0" xfId="0" applyNumberFormat="1" applyFill="1" applyBorder="1" applyAlignment="1">
      <alignment horizontal="left" vertical="center" wrapText="1" indent="2"/>
    </xf>
    <xf numFmtId="14" fontId="0" fillId="4" borderId="0" xfId="0" applyNumberFormat="1" applyFill="1" applyBorder="1" applyAlignment="1">
      <alignment horizontal="left" vertical="center"/>
    </xf>
    <xf numFmtId="166" fontId="0" fillId="4" borderId="0" xfId="0" applyNumberFormat="1" applyFill="1" applyBorder="1" applyAlignment="1">
      <alignment horizontal="left" vertical="center" wrapText="1" indent="2"/>
    </xf>
    <xf numFmtId="43" fontId="0" fillId="4" borderId="0" xfId="1" applyNumberFormat="1" applyFont="1" applyFill="1" applyBorder="1" applyAlignment="1">
      <alignment horizontal="right" vertical="center" indent="2"/>
    </xf>
    <xf numFmtId="0" fontId="0" fillId="4" borderId="0" xfId="0" applyFill="1" applyBorder="1" applyAlignment="1">
      <alignment horizontal="center" vertical="center"/>
    </xf>
    <xf numFmtId="43" fontId="0" fillId="4" borderId="0" xfId="0" applyNumberFormat="1" applyFill="1" applyBorder="1" applyAlignment="1">
      <alignment horizontal="center" vertical="center"/>
    </xf>
    <xf numFmtId="2" fontId="0" fillId="4" borderId="0" xfId="0" applyNumberFormat="1" applyFill="1" applyBorder="1" applyAlignment="1">
      <alignment horizontal="center" vertical="center"/>
    </xf>
    <xf numFmtId="1" fontId="0" fillId="4" borderId="0" xfId="0" applyNumberFormat="1" applyFill="1" applyBorder="1" applyAlignment="1">
      <alignment horizontal="center" vertical="center"/>
    </xf>
    <xf numFmtId="165" fontId="0" fillId="4" borderId="0" xfId="0" applyNumberFormat="1" applyFill="1" applyBorder="1" applyAlignment="1">
      <alignment horizontal="center" vertical="center"/>
    </xf>
    <xf numFmtId="0" fontId="0" fillId="4" borderId="0" xfId="0" applyNumberFormat="1" applyFont="1" applyFill="1" applyBorder="1" applyAlignment="1">
      <alignment horizontal="left" vertical="center" wrapText="1" indent="2"/>
    </xf>
    <xf numFmtId="1" fontId="0" fillId="4" borderId="0" xfId="2" applyNumberFormat="1" applyFont="1" applyFill="1" applyBorder="1" applyAlignment="1">
      <alignment horizontal="left" vertical="center" indent="1"/>
    </xf>
    <xf numFmtId="0" fontId="0" fillId="4" borderId="3" xfId="0" applyFill="1" applyBorder="1" applyAlignment="1">
      <alignment horizontal="center" vertical="center"/>
    </xf>
    <xf numFmtId="0" fontId="0" fillId="4" borderId="0" xfId="0" applyFill="1"/>
    <xf numFmtId="0" fontId="2" fillId="4" borderId="0" xfId="0" applyNumberFormat="1" applyFont="1" applyFill="1" applyBorder="1" applyAlignment="1">
      <alignment horizontal="left" vertical="center" wrapText="1" indent="2"/>
    </xf>
    <xf numFmtId="43" fontId="1" fillId="4" borderId="0" xfId="1" applyNumberFormat="1" applyFont="1" applyFill="1" applyBorder="1" applyAlignment="1">
      <alignment horizontal="right" vertical="center" indent="2"/>
    </xf>
    <xf numFmtId="0" fontId="0" fillId="4" borderId="0" xfId="0" applyFill="1" applyBorder="1" applyAlignment="1">
      <alignment horizontal="right" vertical="center" indent="2"/>
    </xf>
    <xf numFmtId="0" fontId="0" fillId="4" borderId="0" xfId="0" applyFont="1" applyFill="1" applyBorder="1" applyAlignment="1">
      <alignment horizontal="left" vertical="center" wrapText="1" indent="1"/>
    </xf>
    <xf numFmtId="0" fontId="2" fillId="4" borderId="0" xfId="0" applyNumberFormat="1" applyFont="1" applyFill="1" applyAlignment="1">
      <alignment horizontal="left" vertical="center" wrapText="1" indent="2"/>
    </xf>
    <xf numFmtId="0" fontId="0" fillId="4" borderId="2" xfId="0" applyNumberFormat="1" applyFill="1" applyBorder="1" applyAlignment="1">
      <alignment horizontal="left" vertical="center" wrapText="1" indent="2"/>
    </xf>
    <xf numFmtId="0" fontId="0" fillId="4" borderId="0" xfId="0" applyFont="1" applyFill="1" applyAlignment="1">
      <alignment horizontal="left" vertical="center" wrapText="1" indent="1"/>
    </xf>
  </cellXfs>
  <cellStyles count="5">
    <cellStyle name="Comma" xfId="1" builtinId="3"/>
    <cellStyle name="Heading 2" xfId="3" builtinId="17"/>
    <cellStyle name="Normal" xfId="0" builtinId="0"/>
    <cellStyle name="Normal 2" xfId="4" xr:uid="{656F3E12-BA3B-BD41-8037-D4318E574C06}"/>
    <cellStyle name="Percent" xfId="2" builtinId="5"/>
  </cellStyles>
  <dxfs count="79">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strike val="0"/>
        <outline val="0"/>
        <shadow val="0"/>
        <u val="none"/>
        <vertAlign val="baseline"/>
        <sz val="12"/>
        <color theme="4"/>
        <name val="Calibri"/>
        <family val="2"/>
        <scheme val="minor"/>
      </font>
      <fill>
        <patternFill patternType="none">
          <fgColor indexed="64"/>
          <bgColor auto="1"/>
        </patternFill>
      </fill>
    </dxf>
    <dxf>
      <font>
        <strike val="0"/>
        <outline val="0"/>
        <shadow val="0"/>
        <u val="none"/>
        <vertAlign val="baseline"/>
        <sz val="12"/>
        <color theme="4"/>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dxf>
    <dxf>
      <font>
        <sz val="18"/>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font>
        <sz val="18"/>
      </font>
    </dxf>
    <dxf>
      <font>
        <b val="0"/>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numFmt numFmtId="168" formatCode="_(&quot;$&quot;* #,##0_);_(&quot;$&quot;* \(#,##0\);_(&quot;$&quot;* &quot;-&quot;??_);_(@_)"/>
    </dxf>
    <dxf>
      <font>
        <sz val="18"/>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numFmt numFmtId="1" formatCode="0"/>
      <fill>
        <patternFill patternType="solid">
          <fgColor indexed="64"/>
          <bgColor theme="2"/>
        </patternFill>
      </fill>
      <alignment horizontal="left" vertical="center" textRotation="0" wrapText="0" relativeIndent="1" justifyLastLine="0" shrinkToFit="0" readingOrder="0"/>
    </dxf>
    <dxf>
      <font>
        <b val="0"/>
      </font>
      <numFmt numFmtId="0" formatCode="General"/>
      <fill>
        <patternFill patternType="solid">
          <fgColor indexed="64"/>
          <bgColor theme="2"/>
        </patternFill>
      </fill>
      <alignment horizontal="left" vertical="center" textRotation="0" wrapText="1" indent="2" justifyLastLine="0" shrinkToFit="0" readingOrder="0"/>
    </dxf>
    <dxf>
      <numFmt numFmtId="2" formatCode="0.00"/>
      <fill>
        <patternFill patternType="solid">
          <fgColor indexed="64"/>
          <bgColor theme="2"/>
        </patternFill>
      </fill>
      <alignment horizontal="center" vertical="center" textRotation="0" wrapText="0" indent="0" justifyLastLine="0" shrinkToFit="0" readingOrder="0"/>
    </dxf>
    <dxf>
      <numFmt numFmtId="2" formatCode="0.00"/>
      <fill>
        <patternFill patternType="solid">
          <fgColor indexed="64"/>
          <bgColor theme="2"/>
        </patternFill>
      </fill>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numFmt numFmtId="165" formatCode="[$-409]mmmm\ d\,\ yyyy;@"/>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numFmt numFmtId="165" formatCode="[$-409]mmmm\ d\,\ yyyy;@"/>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border diagonalUp="0" diagonalDown="0">
        <left style="thin">
          <color theme="1"/>
        </left>
        <right/>
        <top/>
        <bottom/>
      </border>
    </dxf>
    <dxf>
      <numFmt numFmtId="2" formatCode="0.00"/>
      <fill>
        <patternFill patternType="solid">
          <fgColor indexed="64"/>
          <bgColor theme="2"/>
        </patternFill>
      </fill>
      <alignment horizontal="center" vertical="center" textRotation="0" wrapText="0" indent="0" justifyLastLine="0" shrinkToFit="0" readingOrder="0"/>
      <border outline="0">
        <right style="thin">
          <color theme="1"/>
        </right>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theme="1"/>
        </left>
        <right/>
        <top/>
        <bottom/>
        <vertical/>
        <horizontal/>
      </border>
    </dxf>
    <dxf>
      <numFmt numFmtId="35" formatCode="_(* #,##0.00_);_(* \(#,##0.00\);_(* &quot;-&quot;??_);_(@_)"/>
      <fill>
        <patternFill patternType="solid">
          <fgColor indexed="64"/>
          <bgColor theme="2"/>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35" formatCode="_(* #,##0.00_);_(* \(#,##0.00\);_(* &quot;-&quot;??_);_(@_)"/>
      <alignment horizontal="right" vertical="center" textRotation="0" wrapText="0" indent="2" justifyLastLine="0" shrinkToFit="0" readingOrder="0"/>
    </dxf>
    <dxf>
      <alignment horizontal="right" vertical="center" textRotation="0" wrapText="0" indent="2" justifyLastLine="0" shrinkToFit="0" readingOrder="0"/>
      <border diagonalUp="0" diagonalDown="0">
        <left style="thin">
          <color theme="1"/>
        </left>
        <right/>
        <top/>
        <bottom/>
        <vertical/>
        <horizontal/>
      </border>
    </dxf>
    <dxf>
      <numFmt numFmtId="166" formatCode="0.000"/>
      <fill>
        <patternFill patternType="solid">
          <fgColor indexed="64"/>
          <bgColor theme="2"/>
        </patternFill>
      </fill>
      <alignment horizontal="left" vertical="center" textRotation="0" wrapText="1" indent="2" justifyLastLine="0" shrinkToFit="0" readingOrder="0"/>
    </dxf>
    <dxf>
      <numFmt numFmtId="19" formatCode="m/d/yy"/>
      <alignment horizontal="left" vertical="center" textRotation="0" wrapText="0" indent="0" justifyLastLine="0" shrinkToFit="0" readingOrder="0"/>
    </dxf>
    <dxf>
      <numFmt numFmtId="0" formatCode="General"/>
      <alignment horizontal="left" vertical="center" textRotation="0" wrapText="1" indent="2"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0" relativeIndent="1" justifyLastLine="0" shrinkToFit="0" readingOrder="0"/>
    </dxf>
    <dxf>
      <alignment horizontal="lef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1" relativeIndent="1" justifyLastLine="0" shrinkToFit="0" readingOrder="0"/>
    </dxf>
    <dxf>
      <font>
        <b/>
        <i val="0"/>
        <color theme="0"/>
      </font>
      <fill>
        <patternFill>
          <bgColor theme="1" tint="0.34998626667073579"/>
        </patternFill>
      </fill>
    </dxf>
    <dxf>
      <border>
        <bottom/>
        <horizontal style="thin">
          <color auto="1"/>
        </horizontal>
      </border>
    </dxf>
  </dxfs>
  <tableStyles count="1" defaultTableStyle="Table Style 1" defaultPivotStyle="PivotStyleLight16">
    <tableStyle name="Table Style 1" pivot="0" count="2" xr9:uid="{7315A022-245D-3B44-A48D-E71C3EE2D4F6}">
      <tableStyleElement type="wholeTable" dxfId="78"/>
      <tableStyleElement type="headerRow" dxfId="77"/>
    </tableStyle>
  </tableStyles>
  <colors>
    <mruColors>
      <color rgb="FFFF9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Spending Tracker</a:t>
            </a:r>
          </a:p>
        </c:rich>
      </c:tx>
      <c:layout>
        <c:manualLayout>
          <c:xMode val="edge"/>
          <c:yMode val="edge"/>
          <c:x val="0.46098790020629521"/>
          <c:y val="0.1667098103105819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0010027433632"/>
          <c:y val="7.412550980576392E-2"/>
          <c:w val="0.85736995910021141"/>
          <c:h val="0.87494853243926829"/>
        </c:manualLayout>
      </c:layout>
      <c:barChart>
        <c:barDir val="bar"/>
        <c:grouping val="stacked"/>
        <c:varyColors val="0"/>
        <c:ser>
          <c:idx val="0"/>
          <c:order val="0"/>
          <c:tx>
            <c:v>Spent</c:v>
          </c:tx>
          <c:spPr>
            <a:solidFill>
              <a:schemeClr val="accent1"/>
            </a:solidFill>
            <a:ln>
              <a:noFill/>
            </a:ln>
            <a:effectLst/>
          </c:spPr>
          <c:invertIfNegative val="0"/>
          <c:dLbls>
            <c:dLbl>
              <c:idx val="0"/>
              <c:dLblPos val="inBase"/>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DB2B-FF4C-830E-56865B879E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('Backend- Calculations'!$B$8,'Backend- Calculations'!$B$10)</c:f>
              <c:strCache>
                <c:ptCount val="2"/>
                <c:pt idx="0">
                  <c:v>Spent</c:v>
                </c:pt>
                <c:pt idx="1">
                  <c:v>Remaining</c:v>
                </c:pt>
              </c:strCache>
            </c:strRef>
          </c:cat>
          <c:val>
            <c:numRef>
              <c:f>'Backend- Calculations'!$C$8</c:f>
              <c:numCache>
                <c:formatCode>_(* #,##0.00_);_(* \(#,##0.00\);_(* "-"??_);_(@_)</c:formatCode>
                <c:ptCount val="1"/>
                <c:pt idx="0">
                  <c:v>0</c:v>
                </c:pt>
              </c:numCache>
            </c:numRef>
          </c:val>
          <c:extLst>
            <c:ext xmlns:c16="http://schemas.microsoft.com/office/drawing/2014/chart" uri="{C3380CC4-5D6E-409C-BE32-E72D297353CC}">
              <c16:uniqueId val="{00000000-2038-F84F-9699-5EB44DBE5172}"/>
            </c:ext>
          </c:extLst>
        </c:ser>
        <c:ser>
          <c:idx val="1"/>
          <c:order val="1"/>
          <c:tx>
            <c:v>Remaining</c:v>
          </c:tx>
          <c:spPr>
            <a:solidFill>
              <a:schemeClr val="accent2"/>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5395-5048-BF00-AF5AB4E8067E}"/>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('Backend- Calculations'!$B$8,'Backend- Calculations'!$B$10)</c:f>
              <c:strCache>
                <c:ptCount val="2"/>
                <c:pt idx="0">
                  <c:v>Spent</c:v>
                </c:pt>
                <c:pt idx="1">
                  <c:v>Remaining</c:v>
                </c:pt>
              </c:strCache>
            </c:strRef>
          </c:cat>
          <c:val>
            <c:numRef>
              <c:f>'Backend- Calculations'!$C$10</c:f>
              <c:numCache>
                <c:formatCode>_(* #,##0.00_);_(* \(#,##0.00\);_(* "-"??_);_(@_)</c:formatCode>
                <c:ptCount val="1"/>
                <c:pt idx="0">
                  <c:v>212749.53968487558</c:v>
                </c:pt>
              </c:numCache>
            </c:numRef>
          </c:val>
          <c:extLst>
            <c:ext xmlns:c16="http://schemas.microsoft.com/office/drawing/2014/chart" uri="{C3380CC4-5D6E-409C-BE32-E72D297353CC}">
              <c16:uniqueId val="{00000001-2038-F84F-9699-5EB44DBE5172}"/>
            </c:ext>
          </c:extLst>
        </c:ser>
        <c:dLbls>
          <c:dLblPos val="ctr"/>
          <c:showLegendKey val="0"/>
          <c:showVal val="1"/>
          <c:showCatName val="0"/>
          <c:showSerName val="0"/>
          <c:showPercent val="0"/>
          <c:showBubbleSize val="0"/>
        </c:dLbls>
        <c:gapWidth val="150"/>
        <c:overlap val="100"/>
        <c:axId val="496974415"/>
        <c:axId val="501426735"/>
      </c:barChart>
      <c:catAx>
        <c:axId val="496974415"/>
        <c:scaling>
          <c:orientation val="minMax"/>
        </c:scaling>
        <c:delete val="1"/>
        <c:axPos val="l"/>
        <c:numFmt formatCode="General" sourceLinked="1"/>
        <c:majorTickMark val="none"/>
        <c:minorTickMark val="none"/>
        <c:tickLblPos val="nextTo"/>
        <c:crossAx val="501426735"/>
        <c:crosses val="autoZero"/>
        <c:auto val="1"/>
        <c:lblAlgn val="ctr"/>
        <c:lblOffset val="100"/>
        <c:noMultiLvlLbl val="0"/>
      </c:catAx>
      <c:valAx>
        <c:axId val="501426735"/>
        <c:scaling>
          <c:orientation val="minMax"/>
          <c:min val="0"/>
        </c:scaling>
        <c:delete val="0"/>
        <c:axPos val="b"/>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97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Running Budget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251221959710924"/>
          <c:y val="0.18810554356437401"/>
          <c:w val="0.61342951099341969"/>
          <c:h val="0.631988378152233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F2-A04B-AEDF-38DCB82BB5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F2-A04B-AEDF-38DCB82BB5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F2-A04B-AEDF-38DCB82BB5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F2-A04B-AEDF-38DCB82BB5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F2-A04B-AEDF-38DCB82BB5E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F2-A04B-AEDF-38DCB82BB5E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4F2-A04B-AEDF-38DCB82BB5E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4F2-A04B-AEDF-38DCB82BB5E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4F2-A04B-AEDF-38DCB82BB5E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4F2-A04B-AEDF-38DCB82BB5E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4F2-A04B-AEDF-38DCB82BB5E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4F2-A04B-AEDF-38DCB82BB5E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4F2-A04B-AEDF-38DCB82BB5E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4F2-A04B-AEDF-38DCB82BB5E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4F2-A04B-AEDF-38DCB82BB5E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4F2-A04B-AEDF-38DCB82BB5E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4F2-A04B-AEDF-38DCB82BB5E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4F2-A04B-AEDF-38DCB82BB5E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4F2-A04B-AEDF-38DCB82BB5E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4F2-A04B-AEDF-38DCB82BB5E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('Backend- Lists'!$B$2:$B$20,'Backend- Lists'!$K$1)</c:f>
              <c:strCache>
                <c:ptCount val="20"/>
                <c:pt idx="0">
                  <c:v>Batteries</c:v>
                </c:pt>
                <c:pt idx="1">
                  <c:v>Community Relations</c:v>
                </c:pt>
                <c:pt idx="2">
                  <c:v>Customer Metering and Wiring</c:v>
                </c:pt>
                <c:pt idx="3">
                  <c:v>Distribution (LV)</c:v>
                </c:pt>
                <c:pt idx="4">
                  <c:v>Engineering</c:v>
                </c:pt>
                <c:pt idx="5">
                  <c:v>Fencing</c:v>
                </c:pt>
                <c:pt idx="6">
                  <c:v>Generator</c:v>
                </c:pt>
                <c:pt idx="7">
                  <c:v>Inverters/Chargers (Battery)</c:v>
                </c:pt>
                <c:pt idx="8">
                  <c:v>Inverters/Chargers (PV)</c:v>
                </c:pt>
                <c:pt idx="9">
                  <c:v>Overhead &amp; Profit</c:v>
                </c:pt>
                <c:pt idx="10">
                  <c:v>Permits</c:v>
                </c:pt>
                <c:pt idx="11">
                  <c:v>Plant Balance of System</c:v>
                </c:pt>
                <c:pt idx="12">
                  <c:v>Plant Site</c:v>
                </c:pt>
                <c:pt idx="13">
                  <c:v>Power House</c:v>
                </c:pt>
                <c:pt idx="14">
                  <c:v>Racking and Mounting</c:v>
                </c:pt>
                <c:pt idx="15">
                  <c:v>Solar Panels</c:v>
                </c:pt>
                <c:pt idx="16">
                  <c:v>Temporary Facilities</c:v>
                </c:pt>
                <c:pt idx="17">
                  <c:v>Transmission (MV)</c:v>
                </c:pt>
                <c:pt idx="18">
                  <c:v>Travel, Lodging, and Meals</c:v>
                </c:pt>
                <c:pt idx="19">
                  <c:v>Other</c:v>
                </c:pt>
              </c:strCache>
            </c:strRef>
          </c:cat>
          <c:val>
            <c:numRef>
              <c:f>('Backend- Lists'!$E$2:$E$20,'Backend- Lists'!$K$2)</c:f>
              <c:numCache>
                <c:formatCode>0%</c:formatCode>
                <c:ptCount val="20"/>
                <c:pt idx="0">
                  <c:v>0.13223527236486854</c:v>
                </c:pt>
                <c:pt idx="1">
                  <c:v>#N/A</c:v>
                </c:pt>
                <c:pt idx="2">
                  <c:v>0.21333631618155749</c:v>
                </c:pt>
                <c:pt idx="3">
                  <c:v>0.36676258802595557</c:v>
                </c:pt>
                <c:pt idx="4">
                  <c:v>#N/A</c:v>
                </c:pt>
                <c:pt idx="5">
                  <c:v>#N/A</c:v>
                </c:pt>
                <c:pt idx="6">
                  <c:v>#N/A</c:v>
                </c:pt>
                <c:pt idx="7">
                  <c:v>#N/A</c:v>
                </c:pt>
                <c:pt idx="8">
                  <c:v>#N/A</c:v>
                </c:pt>
                <c:pt idx="9">
                  <c:v>#N/A</c:v>
                </c:pt>
                <c:pt idx="10">
                  <c:v>#N/A</c:v>
                </c:pt>
                <c:pt idx="11">
                  <c:v>#N/A</c:v>
                </c:pt>
                <c:pt idx="12">
                  <c:v>#N/A</c:v>
                </c:pt>
                <c:pt idx="13">
                  <c:v>#N/A</c:v>
                </c:pt>
                <c:pt idx="14">
                  <c:v>4.7191328692788977E-2</c:v>
                </c:pt>
                <c:pt idx="15">
                  <c:v>8.2326550110550373E-2</c:v>
                </c:pt>
                <c:pt idx="16">
                  <c:v>#N/A</c:v>
                </c:pt>
                <c:pt idx="17">
                  <c:v>#N/A</c:v>
                </c:pt>
                <c:pt idx="18">
                  <c:v>#N/A</c:v>
                </c:pt>
                <c:pt idx="19">
                  <c:v>0.15814794462427906</c:v>
                </c:pt>
              </c:numCache>
            </c:numRef>
          </c:val>
          <c:extLst>
            <c:ext xmlns:c16="http://schemas.microsoft.com/office/drawing/2014/chart" uri="{C3380CC4-5D6E-409C-BE32-E72D297353CC}">
              <c16:uniqueId val="{00000032-24F2-A04B-AEDF-38DCB82BB5EA}"/>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Original Budget vs Running Budget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2727271070830862E-2"/>
          <c:y val="5.5126675621885654E-2"/>
          <c:w val="0.97454545785833824"/>
          <c:h val="0.82418875804032843"/>
        </c:manualLayout>
      </c:layout>
      <c:barChart>
        <c:barDir val="col"/>
        <c:grouping val="clustered"/>
        <c:varyColors val="0"/>
        <c:ser>
          <c:idx val="0"/>
          <c:order val="0"/>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 Calculations'!$B$14:$B$15</c:f>
              <c:strCache>
                <c:ptCount val="2"/>
                <c:pt idx="0">
                  <c:v>Original Budget</c:v>
                </c:pt>
                <c:pt idx="1">
                  <c:v>Running Budget</c:v>
                </c:pt>
              </c:strCache>
            </c:strRef>
          </c:cat>
          <c:val>
            <c:numRef>
              <c:f>'Backend- Calculations'!$C$14:$C$15</c:f>
              <c:numCache>
                <c:formatCode>_(* #,##0.00_);_(* \(#,##0.00\);_(* "-"??_);_(@_)</c:formatCode>
                <c:ptCount val="2"/>
                <c:pt idx="0">
                  <c:v>212749.53968487558</c:v>
                </c:pt>
                <c:pt idx="1">
                  <c:v>212749.53968487558</c:v>
                </c:pt>
              </c:numCache>
            </c:numRef>
          </c:val>
          <c:extLst>
            <c:ext xmlns:c16="http://schemas.microsoft.com/office/drawing/2014/chart" uri="{C3380CC4-5D6E-409C-BE32-E72D297353CC}">
              <c16:uniqueId val="{00000000-D570-DE4D-A54F-5AA2C8EE2306}"/>
            </c:ext>
          </c:extLst>
        </c:ser>
        <c:dLbls>
          <c:showLegendKey val="0"/>
          <c:showVal val="0"/>
          <c:showCatName val="0"/>
          <c:showSerName val="0"/>
          <c:showPercent val="0"/>
          <c:showBubbleSize val="0"/>
        </c:dLbls>
        <c:gapWidth val="50"/>
        <c:axId val="1485556400"/>
        <c:axId val="1522654512"/>
      </c:barChart>
      <c:catAx>
        <c:axId val="14855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22654512"/>
        <c:crosses val="autoZero"/>
        <c:auto val="1"/>
        <c:lblAlgn val="ctr"/>
        <c:lblOffset val="100"/>
        <c:noMultiLvlLbl val="0"/>
      </c:catAx>
      <c:valAx>
        <c:axId val="1522654512"/>
        <c:scaling>
          <c:orientation val="minMax"/>
          <c:min val="0"/>
        </c:scaling>
        <c:delete val="1"/>
        <c:axPos val="l"/>
        <c:numFmt formatCode="_(* #,##0.00_);_(* \(#,##0.00\);_(* &quot;-&quot;??_);_(@_)" sourceLinked="1"/>
        <c:majorTickMark val="out"/>
        <c:minorTickMark val="none"/>
        <c:tickLblPos val="nextTo"/>
        <c:crossAx val="148555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Original Budget vs Running Budget (positive is overruns, negative is savings)</a:t>
            </a:r>
          </a:p>
        </c:rich>
      </c:tx>
      <c:layout>
        <c:manualLayout>
          <c:xMode val="edge"/>
          <c:yMode val="edge"/>
          <c:x val="0.36423161873579957"/>
          <c:y val="4.2118872526226746E-3"/>
        </c:manualLayout>
      </c:layout>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10463318242075E-2"/>
          <c:y val="9.0616481116142164E-2"/>
          <c:w val="0.93466252460469401"/>
          <c:h val="0.6631910344767648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 Lists'!$B$2:$B$20</c:f>
              <c:strCache>
                <c:ptCount val="19"/>
                <c:pt idx="0">
                  <c:v>Batteries</c:v>
                </c:pt>
                <c:pt idx="1">
                  <c:v>Community Relations</c:v>
                </c:pt>
                <c:pt idx="2">
                  <c:v>Customer Metering and Wiring</c:v>
                </c:pt>
                <c:pt idx="3">
                  <c:v>Distribution (LV)</c:v>
                </c:pt>
                <c:pt idx="4">
                  <c:v>Engineering</c:v>
                </c:pt>
                <c:pt idx="5">
                  <c:v>Fencing</c:v>
                </c:pt>
                <c:pt idx="6">
                  <c:v>Generator</c:v>
                </c:pt>
                <c:pt idx="7">
                  <c:v>Inverters/Chargers (Battery)</c:v>
                </c:pt>
                <c:pt idx="8">
                  <c:v>Inverters/Chargers (PV)</c:v>
                </c:pt>
                <c:pt idx="9">
                  <c:v>Overhead &amp; Profit</c:v>
                </c:pt>
                <c:pt idx="10">
                  <c:v>Permits</c:v>
                </c:pt>
                <c:pt idx="11">
                  <c:v>Plant Balance of System</c:v>
                </c:pt>
                <c:pt idx="12">
                  <c:v>Plant Site</c:v>
                </c:pt>
                <c:pt idx="13">
                  <c:v>Power House</c:v>
                </c:pt>
                <c:pt idx="14">
                  <c:v>Racking and Mounting</c:v>
                </c:pt>
                <c:pt idx="15">
                  <c:v>Solar Panels</c:v>
                </c:pt>
                <c:pt idx="16">
                  <c:v>Temporary Facilities</c:v>
                </c:pt>
                <c:pt idx="17">
                  <c:v>Transmission (MV)</c:v>
                </c:pt>
                <c:pt idx="18">
                  <c:v>Travel, Lodging, and Meals</c:v>
                </c:pt>
              </c:strCache>
            </c:strRef>
          </c:cat>
          <c:val>
            <c:numRef>
              <c:f>'Backend- Lists'!$H$2:$H$20</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FE71-CC49-BEB7-16D2FFD1414E}"/>
            </c:ext>
          </c:extLst>
        </c:ser>
        <c:dLbls>
          <c:showLegendKey val="0"/>
          <c:showVal val="1"/>
          <c:showCatName val="0"/>
          <c:showSerName val="0"/>
          <c:showPercent val="0"/>
          <c:showBubbleSize val="0"/>
        </c:dLbls>
        <c:gapWidth val="10"/>
        <c:axId val="782248543"/>
        <c:axId val="786952239"/>
      </c:barChart>
      <c:catAx>
        <c:axId val="78224854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baseline="0">
                <a:solidFill>
                  <a:schemeClr val="tx1">
                    <a:lumMod val="65000"/>
                    <a:lumOff val="35000"/>
                  </a:schemeClr>
                </a:solidFill>
                <a:latin typeface="+mn-lt"/>
                <a:ea typeface="+mn-ea"/>
                <a:cs typeface="+mn-cs"/>
              </a:defRPr>
            </a:pPr>
            <a:endParaRPr lang="en-US"/>
          </a:p>
        </c:txPr>
        <c:crossAx val="786952239"/>
        <c:crosses val="autoZero"/>
        <c:auto val="1"/>
        <c:lblAlgn val="ctr"/>
        <c:lblOffset val="100"/>
        <c:noMultiLvlLbl val="0"/>
      </c:catAx>
      <c:valAx>
        <c:axId val="786952239"/>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78224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1371600</xdr:colOff>
      <xdr:row>30</xdr:row>
      <xdr:rowOff>0</xdr:rowOff>
    </xdr:from>
    <xdr:to>
      <xdr:col>17</xdr:col>
      <xdr:colOff>8345714</xdr:colOff>
      <xdr:row>40</xdr:row>
      <xdr:rowOff>0</xdr:rowOff>
    </xdr:to>
    <xdr:graphicFrame macro="">
      <xdr:nvGraphicFramePr>
        <xdr:cNvPr id="5" name="Chart 4">
          <a:extLst>
            <a:ext uri="{FF2B5EF4-FFF2-40B4-BE49-F238E27FC236}">
              <a16:creationId xmlns:a16="http://schemas.microsoft.com/office/drawing/2014/main" id="{F5782E23-7929-6748-AF69-4E420F48B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429847</xdr:colOff>
      <xdr:row>4</xdr:row>
      <xdr:rowOff>58616</xdr:rowOff>
    </xdr:from>
    <xdr:to>
      <xdr:col>15</xdr:col>
      <xdr:colOff>9320893</xdr:colOff>
      <xdr:row>30</xdr:row>
      <xdr:rowOff>100950</xdr:rowOff>
    </xdr:to>
    <xdr:graphicFrame macro="">
      <xdr:nvGraphicFramePr>
        <xdr:cNvPr id="10" name="Chart 9">
          <a:extLst>
            <a:ext uri="{FF2B5EF4-FFF2-40B4-BE49-F238E27FC236}">
              <a16:creationId xmlns:a16="http://schemas.microsoft.com/office/drawing/2014/main" id="{C5DFE414-4DEB-FE42-9C38-255742BC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635000</xdr:colOff>
      <xdr:row>3</xdr:row>
      <xdr:rowOff>317498</xdr:rowOff>
    </xdr:from>
    <xdr:to>
      <xdr:col>18</xdr:col>
      <xdr:colOff>453572</xdr:colOff>
      <xdr:row>30</xdr:row>
      <xdr:rowOff>31200</xdr:rowOff>
    </xdr:to>
    <xdr:graphicFrame macro="">
      <xdr:nvGraphicFramePr>
        <xdr:cNvPr id="11" name="Chart 10">
          <a:extLst>
            <a:ext uri="{FF2B5EF4-FFF2-40B4-BE49-F238E27FC236}">
              <a16:creationId xmlns:a16="http://schemas.microsoft.com/office/drawing/2014/main" id="{67574FB1-BB7D-024B-94A1-1F1D07010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726417</xdr:colOff>
      <xdr:row>44</xdr:row>
      <xdr:rowOff>206744</xdr:rowOff>
    </xdr:from>
    <xdr:to>
      <xdr:col>17</xdr:col>
      <xdr:colOff>8830227</xdr:colOff>
      <xdr:row>61</xdr:row>
      <xdr:rowOff>236280</xdr:rowOff>
    </xdr:to>
    <xdr:graphicFrame macro="">
      <xdr:nvGraphicFramePr>
        <xdr:cNvPr id="12" name="Chart 11">
          <a:extLst>
            <a:ext uri="{FF2B5EF4-FFF2-40B4-BE49-F238E27FC236}">
              <a16:creationId xmlns:a16="http://schemas.microsoft.com/office/drawing/2014/main" id="{C43AABF7-FE76-C64F-B8BC-E2F15AAD0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uglas Cox" refreshedDate="44742.493612384256" createdVersion="6" refreshedVersion="8" minRefreshableVersion="3" recordCount="177" xr:uid="{9C082BCB-7D5D-9A43-A82F-C6E38A832DE2}">
  <cacheSource type="worksheet">
    <worksheetSource name="List"/>
  </cacheSource>
  <cacheFields count="33">
    <cacheField name="Auto-Budgeted?" numFmtId="0">
      <sharedItems/>
    </cacheField>
    <cacheField name="Category" numFmtId="0">
      <sharedItems containsBlank="1" count="21">
        <s v="Batteries"/>
        <s v="Community Relations"/>
        <s v="Customer Metering and Wiring"/>
        <s v="Distribution (LV)"/>
        <s v="Fencing"/>
        <s v="Generator"/>
        <s v="Inverters/Chargers (Battery)"/>
        <s v="Inverters/Chargers (PV)"/>
        <s v="Permits"/>
        <s v="Plant Balance of System"/>
        <s v="Plant Site"/>
        <s v="Power House"/>
        <s v="Racking and Mounting"/>
        <s v="Solar Panels"/>
        <s v="Temporary Facilities"/>
        <s v="Transmission (MV)"/>
        <s v="Travel, Lodging, and Meals"/>
        <m u="1"/>
        <s v="Engineering" u="1"/>
        <s v="Battery and Inverter System" u="1"/>
        <s v="Initial Plant Setup" u="1"/>
      </sharedItems>
    </cacheField>
    <cacheField name="Type" numFmtId="0">
      <sharedItems containsBlank="1" count="10">
        <s v="Customs"/>
        <s v="Materials"/>
        <s v="Transport"/>
        <s v="Direct Job Cost"/>
        <s v="Equipment Rentals"/>
        <s v="Labor"/>
        <s v="Contingency"/>
        <s v="Construction Consumables"/>
        <m u="1"/>
        <s v="Expense" u="1"/>
      </sharedItems>
    </cacheField>
    <cacheField name="Item" numFmtId="0">
      <sharedItems/>
    </cacheField>
    <cacheField name="Vendor" numFmtId="0">
      <sharedItems containsBlank="1"/>
    </cacheField>
    <cacheField name="Notes" numFmtId="0">
      <sharedItems containsBlank="1"/>
    </cacheField>
    <cacheField name="Currency" numFmtId="14">
      <sharedItems/>
    </cacheField>
    <cacheField name="Exchange Rate" numFmtId="166">
      <sharedItems containsSemiMixedTypes="0" containsString="0" containsNumber="1" minValue="2.4330900243309003E-3" maxValue="1"/>
    </cacheField>
    <cacheField name="Budget Quantity" numFmtId="0">
      <sharedItems containsSemiMixedTypes="0" containsString="0" containsNumber="1" containsInteger="1" minValue="0" maxValue="48600"/>
    </cacheField>
    <cacheField name="Budget Price" numFmtId="43">
      <sharedItems containsSemiMixedTypes="0" containsString="0" containsNumber="1" minValue="0" maxValue="4200000"/>
    </cacheField>
    <cacheField name="Budget VAT" numFmtId="0">
      <sharedItems/>
    </cacheField>
    <cacheField name="Budget Total" numFmtId="43">
      <sharedItems containsSemiMixedTypes="0" containsString="0" containsNumber="1" minValue="0" maxValue="54927.007299270066"/>
    </cacheField>
    <cacheField name="Updated Quantity" numFmtId="0">
      <sharedItems containsNonDate="0" containsString="0" containsBlank="1"/>
    </cacheField>
    <cacheField name="Updated Price" numFmtId="0">
      <sharedItems containsNonDate="0" containsString="0" containsBlank="1"/>
    </cacheField>
    <cacheField name="Updated VAT" numFmtId="0">
      <sharedItems containsNonDate="0" containsString="0" containsBlank="1"/>
    </cacheField>
    <cacheField name="Running Budget Total" numFmtId="2">
      <sharedItems containsSemiMixedTypes="0" containsString="0" containsNumber="1" minValue="0" maxValue="54927.007299270066"/>
    </cacheField>
    <cacheField name="Project Allocation % For Cash Outs" numFmtId="9">
      <sharedItems containsSemiMixedTypes="0" containsString="0" containsNumber="1" containsInteger="1" minValue="1" maxValue="1"/>
    </cacheField>
    <cacheField name="Cash Out 1 Quantity" numFmtId="0">
      <sharedItems containsNonDate="0" containsString="0" containsBlank="1"/>
    </cacheField>
    <cacheField name="Cash Out 1 Price" numFmtId="0">
      <sharedItems containsNonDate="0" containsString="0" containsBlank="1"/>
    </cacheField>
    <cacheField name="Cash Out 1 VAT" numFmtId="0">
      <sharedItems containsNonDate="0" containsString="0" containsBlank="1"/>
    </cacheField>
    <cacheField name="Cash Out 1 Date" numFmtId="165">
      <sharedItems containsNonDate="0" containsString="0" containsBlank="1"/>
    </cacheField>
    <cacheField name="Cash Out 2 Quantity" numFmtId="1">
      <sharedItems containsNonDate="0" containsString="0" containsBlank="1"/>
    </cacheField>
    <cacheField name="Cash Out 2 Price" numFmtId="2">
      <sharedItems containsNonDate="0" containsString="0" containsBlank="1"/>
    </cacheField>
    <cacheField name="Cash Out 2 VAT" numFmtId="165">
      <sharedItems containsNonDate="0" containsString="0" containsBlank="1"/>
    </cacheField>
    <cacheField name="Cash Out 2 Date" numFmtId="165">
      <sharedItems containsNonDate="0" containsString="0" containsBlank="1"/>
    </cacheField>
    <cacheField name="Cash Out 3 Quantity" numFmtId="1">
      <sharedItems containsNonDate="0" containsString="0" containsBlank="1"/>
    </cacheField>
    <cacheField name="Cash Out 3 Price" numFmtId="2">
      <sharedItems containsNonDate="0" containsString="0" containsBlank="1"/>
    </cacheField>
    <cacheField name="Cash Out 3 VAT" numFmtId="165">
      <sharedItems containsNonDate="0" containsString="0" containsBlank="1"/>
    </cacheField>
    <cacheField name="Cash Out 3 Date" numFmtId="165">
      <sharedItems containsNonDate="0" containsString="0" containsBlank="1"/>
    </cacheField>
    <cacheField name="Cash Out Total" numFmtId="2">
      <sharedItems containsSemiMixedTypes="0" containsString="0" containsNumber="1" containsInteger="1" minValue="0" maxValue="0"/>
    </cacheField>
    <cacheField name="Remaining" numFmtId="2">
      <sharedItems containsSemiMixedTypes="0" containsString="0" containsNumber="1" minValue="0" maxValue="54927.007299270066"/>
    </cacheField>
    <cacheField name="Status" numFmtId="0">
      <sharedItems/>
    </cacheField>
    <cacheField name="Spent %" numFmtId="1">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
  <r>
    <s v="Yes"/>
    <x v="0"/>
    <x v="0"/>
    <s v="Clearing agent fees"/>
    <s v="Spedag"/>
    <m/>
    <s v="NGN"/>
    <n v="2.4330900243309003E-3"/>
    <n v="1"/>
    <n v="27400"/>
    <s v="Yes"/>
    <n v="71.666666666666657"/>
    <m/>
    <m/>
    <m/>
    <n v="71.666666666666657"/>
    <n v="1"/>
    <m/>
    <m/>
    <m/>
    <m/>
    <m/>
    <m/>
    <m/>
    <m/>
    <m/>
    <m/>
    <m/>
    <m/>
    <n v="0"/>
    <n v="71.666666666666657"/>
    <s v="0% paid"/>
    <n v="0"/>
  </r>
  <r>
    <s v="Yes"/>
    <x v="0"/>
    <x v="0"/>
    <s v="Inspection Fee"/>
    <s v="SGS"/>
    <m/>
    <s v="NGN"/>
    <n v="2.4330900243309003E-3"/>
    <n v="1"/>
    <n v="20550"/>
    <s v="No"/>
    <n v="50"/>
    <m/>
    <m/>
    <m/>
    <n v="50"/>
    <n v="1"/>
    <m/>
    <m/>
    <m/>
    <m/>
    <m/>
    <m/>
    <m/>
    <m/>
    <m/>
    <m/>
    <m/>
    <m/>
    <n v="0"/>
    <n v="50"/>
    <s v="0% paid"/>
    <n v="0"/>
  </r>
  <r>
    <s v="Yes"/>
    <x v="0"/>
    <x v="0"/>
    <s v="Non-VAT Customs"/>
    <s v="NCS"/>
    <m/>
    <s v="NGN"/>
    <n v="2.4330900243309003E-3"/>
    <n v="1"/>
    <n v="2110583"/>
    <s v="No"/>
    <n v="5135.238442822385"/>
    <m/>
    <m/>
    <m/>
    <n v="5135.238442822385"/>
    <n v="1"/>
    <m/>
    <m/>
    <m/>
    <m/>
    <m/>
    <m/>
    <m/>
    <m/>
    <m/>
    <m/>
    <m/>
    <m/>
    <n v="0"/>
    <n v="5135.238442822385"/>
    <s v="0% paid"/>
    <n v="0"/>
  </r>
  <r>
    <s v="Yes"/>
    <x v="0"/>
    <x v="0"/>
    <s v="Port fees"/>
    <s v="NPA"/>
    <m/>
    <s v="NGN"/>
    <n v="2.4330900243309003E-3"/>
    <n v="1"/>
    <n v="43740.675000000003"/>
    <s v="No"/>
    <n v="106.42500000000001"/>
    <m/>
    <m/>
    <m/>
    <n v="106.42500000000001"/>
    <n v="1"/>
    <m/>
    <m/>
    <m/>
    <m/>
    <m/>
    <m/>
    <m/>
    <m/>
    <m/>
    <m/>
    <m/>
    <m/>
    <n v="0"/>
    <n v="106.42500000000001"/>
    <s v="0% paid"/>
    <n v="0"/>
  </r>
  <r>
    <s v="Yes"/>
    <x v="0"/>
    <x v="0"/>
    <s v="VAT"/>
    <s v="NCS"/>
    <s v="Batteries are VAT-free"/>
    <s v="NGN"/>
    <n v="2.4330900243309003E-3"/>
    <n v="1"/>
    <n v="63759.751874999994"/>
    <s v="Only VAT"/>
    <n v="155.1332162408759"/>
    <m/>
    <m/>
    <m/>
    <n v="155.1332162408759"/>
    <n v="1"/>
    <m/>
    <m/>
    <m/>
    <m/>
    <m/>
    <m/>
    <m/>
    <m/>
    <m/>
    <m/>
    <m/>
    <m/>
    <n v="0"/>
    <n v="155.1332162408759"/>
    <s v="0% paid"/>
    <n v="0"/>
  </r>
  <r>
    <s v="Yes"/>
    <x v="0"/>
    <x v="1"/>
    <s v="Batteries"/>
    <m/>
    <m/>
    <s v="$"/>
    <n v="1"/>
    <n v="10"/>
    <n v="2200"/>
    <s v="No"/>
    <n v="22000"/>
    <m/>
    <m/>
    <m/>
    <n v="22000"/>
    <n v="1"/>
    <m/>
    <m/>
    <m/>
    <m/>
    <m/>
    <m/>
    <m/>
    <m/>
    <m/>
    <m/>
    <m/>
    <m/>
    <n v="0"/>
    <n v="22000"/>
    <s v="0% paid"/>
    <n v="0"/>
  </r>
  <r>
    <s v="No"/>
    <x v="0"/>
    <x v="1"/>
    <s v="Solar MD Smart Logger"/>
    <m/>
    <m/>
    <s v="$"/>
    <n v="1"/>
    <n v="1"/>
    <n v="170.53"/>
    <s v="No"/>
    <n v="170.53"/>
    <m/>
    <m/>
    <m/>
    <n v="170.53"/>
    <n v="1"/>
    <m/>
    <m/>
    <m/>
    <m/>
    <m/>
    <m/>
    <m/>
    <m/>
    <m/>
    <m/>
    <m/>
    <m/>
    <n v="0"/>
    <n v="170.53"/>
    <s v="0% paid"/>
    <n v="0"/>
  </r>
  <r>
    <s v="Yes"/>
    <x v="0"/>
    <x v="2"/>
    <s v="International transport"/>
    <m/>
    <m/>
    <s v="$"/>
    <n v="1"/>
    <n v="74"/>
    <n v="6"/>
    <s v="No"/>
    <n v="444"/>
    <m/>
    <m/>
    <m/>
    <n v="444"/>
    <n v="1"/>
    <m/>
    <m/>
    <m/>
    <m/>
    <m/>
    <m/>
    <m/>
    <m/>
    <m/>
    <m/>
    <m/>
    <m/>
    <n v="0"/>
    <n v="444"/>
    <s v="0% paid"/>
    <n v="0"/>
  </r>
  <r>
    <s v="No"/>
    <x v="1"/>
    <x v="3"/>
    <s v="Pre-construction visits: lodging"/>
    <m/>
    <s v="Assuming 2 staff members go for 5 days"/>
    <s v="NGN"/>
    <n v="2.4330900243309003E-3"/>
    <n v="10"/>
    <n v="12000"/>
    <s v="Yes"/>
    <n v="313.8686131386861"/>
    <m/>
    <m/>
    <m/>
    <n v="313.8686131386861"/>
    <n v="1"/>
    <m/>
    <m/>
    <m/>
    <m/>
    <m/>
    <m/>
    <m/>
    <m/>
    <m/>
    <m/>
    <m/>
    <m/>
    <n v="0"/>
    <n v="313.8686131386861"/>
    <s v="0% paid"/>
    <n v="0"/>
  </r>
  <r>
    <s v="No"/>
    <x v="1"/>
    <x v="3"/>
    <s v="Pre-construction visits: per diem"/>
    <m/>
    <s v="Assuming 2 staff members go for 5 days"/>
    <s v="NGN"/>
    <n v="2.4330900243309003E-3"/>
    <n v="10"/>
    <n v="4000"/>
    <s v="No"/>
    <n v="97.323600973236012"/>
    <m/>
    <m/>
    <m/>
    <n v="97.323600973236012"/>
    <n v="1"/>
    <m/>
    <m/>
    <m/>
    <m/>
    <m/>
    <m/>
    <m/>
    <m/>
    <m/>
    <m/>
    <m/>
    <m/>
    <n v="0"/>
    <n v="97.323600973236012"/>
    <s v="0% paid"/>
    <n v="0"/>
  </r>
  <r>
    <s v="No"/>
    <x v="1"/>
    <x v="3"/>
    <s v="Pre-construction visits: rental boda bodas (or, rental cars + fuel)"/>
    <m/>
    <s v="Assuming 2 staff members go for 5 days and 1 of them is driving a motorcycle around"/>
    <s v="NGN"/>
    <n v="2.4330900243309003E-3"/>
    <n v="5"/>
    <n v="10000"/>
    <s v="No"/>
    <n v="121.65450121654501"/>
    <m/>
    <m/>
    <m/>
    <n v="121.65450121654501"/>
    <n v="1"/>
    <m/>
    <m/>
    <m/>
    <m/>
    <m/>
    <m/>
    <m/>
    <m/>
    <m/>
    <m/>
    <m/>
    <m/>
    <n v="0"/>
    <n v="121.65450121654501"/>
    <s v="0% paid"/>
    <n v="0"/>
  </r>
  <r>
    <s v="No"/>
    <x v="1"/>
    <x v="3"/>
    <s v="Pre-construction visits: travel (flight)"/>
    <m/>
    <s v="Assuming 2 staff members take round-trip flights"/>
    <s v="NGN"/>
    <n v="2.4330900243309003E-3"/>
    <n v="4"/>
    <n v="40000"/>
    <s v="Yes"/>
    <n v="418.49148418491478"/>
    <m/>
    <m/>
    <m/>
    <n v="418.49148418491478"/>
    <n v="1"/>
    <m/>
    <m/>
    <m/>
    <m/>
    <m/>
    <m/>
    <m/>
    <m/>
    <m/>
    <m/>
    <m/>
    <m/>
    <n v="0"/>
    <n v="418.49148418491478"/>
    <s v="0% paid"/>
    <n v="0"/>
  </r>
  <r>
    <s v="No"/>
    <x v="1"/>
    <x v="4"/>
    <s v="Chair rental and drinks for meetings"/>
    <m/>
    <m/>
    <s v="NGN"/>
    <n v="2.4330900243309003E-3"/>
    <n v="1"/>
    <n v="20000"/>
    <s v="No"/>
    <n v="48.661800486618006"/>
    <m/>
    <m/>
    <m/>
    <n v="48.661800486618006"/>
    <n v="1"/>
    <m/>
    <m/>
    <m/>
    <m/>
    <m/>
    <m/>
    <m/>
    <m/>
    <m/>
    <m/>
    <m/>
    <m/>
    <n v="0"/>
    <n v="48.661800486618006"/>
    <s v="0% paid"/>
    <n v="0"/>
  </r>
  <r>
    <s v="No"/>
    <x v="1"/>
    <x v="5"/>
    <s v="Salaries for community representatives"/>
    <m/>
    <s v="Sometimes the community leaders want something for their time"/>
    <s v="NGN"/>
    <n v="2.4330900243309003E-3"/>
    <n v="1"/>
    <n v="8000"/>
    <s v="No"/>
    <n v="19.464720194647203"/>
    <m/>
    <m/>
    <m/>
    <n v="19.464720194647203"/>
    <n v="1"/>
    <m/>
    <m/>
    <m/>
    <m/>
    <m/>
    <m/>
    <m/>
    <m/>
    <m/>
    <m/>
    <m/>
    <m/>
    <n v="0"/>
    <n v="19.464720194647203"/>
    <s v="0% paid"/>
    <n v="0"/>
  </r>
  <r>
    <s v="No"/>
    <x v="1"/>
    <x v="5"/>
    <s v="Security during construction"/>
    <m/>
    <s v="2 guards for 1 month. This may be overkill."/>
    <s v="NGN"/>
    <n v="2.4330900243309003E-3"/>
    <n v="2"/>
    <n v="35000"/>
    <s v="No"/>
    <n v="170.31630170316302"/>
    <m/>
    <m/>
    <m/>
    <n v="170.31630170316302"/>
    <n v="1"/>
    <m/>
    <m/>
    <m/>
    <m/>
    <m/>
    <m/>
    <m/>
    <m/>
    <m/>
    <m/>
    <m/>
    <m/>
    <n v="0"/>
    <n v="170.31630170316302"/>
    <s v="0% paid"/>
    <n v="0"/>
  </r>
  <r>
    <s v="Yes"/>
    <x v="2"/>
    <x v="0"/>
    <s v="Clearing agent fees"/>
    <s v="Spedag"/>
    <m/>
    <s v="NGN"/>
    <n v="2.4330900243309003E-3"/>
    <n v="1"/>
    <n v="137000"/>
    <s v="Yes"/>
    <n v="358.33333333333331"/>
    <m/>
    <m/>
    <m/>
    <n v="358.33333333333331"/>
    <n v="1"/>
    <m/>
    <m/>
    <m/>
    <m/>
    <m/>
    <m/>
    <m/>
    <m/>
    <m/>
    <m/>
    <m/>
    <m/>
    <n v="0"/>
    <n v="358.33333333333331"/>
    <s v="0% paid"/>
    <n v="0"/>
  </r>
  <r>
    <s v="Yes"/>
    <x v="2"/>
    <x v="0"/>
    <s v="Inspection Fee"/>
    <s v="SGS"/>
    <m/>
    <s v="NGN"/>
    <n v="2.4330900243309003E-3"/>
    <n v="1"/>
    <n v="102750"/>
    <s v="No"/>
    <n v="250"/>
    <m/>
    <m/>
    <m/>
    <n v="250"/>
    <n v="1"/>
    <m/>
    <m/>
    <m/>
    <m/>
    <m/>
    <m/>
    <m/>
    <m/>
    <m/>
    <m/>
    <m/>
    <m/>
    <n v="0"/>
    <n v="250"/>
    <s v="0% paid"/>
    <n v="0"/>
  </r>
  <r>
    <s v="Yes"/>
    <x v="2"/>
    <x v="0"/>
    <s v="Non-VAT Customs"/>
    <s v="NCS"/>
    <m/>
    <s v="NGN"/>
    <n v="2.4330900243309003E-3"/>
    <n v="1"/>
    <n v="4034493"/>
    <s v="No"/>
    <n v="9816.2846715328469"/>
    <m/>
    <m/>
    <m/>
    <n v="9816.2846715328469"/>
    <n v="1"/>
    <m/>
    <m/>
    <m/>
    <m/>
    <m/>
    <m/>
    <m/>
    <m/>
    <m/>
    <m/>
    <m/>
    <m/>
    <n v="0"/>
    <n v="9816.2846715328469"/>
    <s v="0% paid"/>
    <n v="0"/>
  </r>
  <r>
    <s v="Yes"/>
    <x v="2"/>
    <x v="0"/>
    <s v="Port fees"/>
    <s v="NCS"/>
    <m/>
    <s v="NGN"/>
    <n v="2.4330900243309003E-3"/>
    <n v="1"/>
    <n v="100000"/>
    <s v="Yes"/>
    <n v="261.55717761557173"/>
    <m/>
    <m/>
    <m/>
    <n v="261.55717761557173"/>
    <n v="1"/>
    <m/>
    <m/>
    <m/>
    <m/>
    <m/>
    <m/>
    <m/>
    <m/>
    <m/>
    <m/>
    <m/>
    <m/>
    <n v="0"/>
    <n v="261.55717761557173"/>
    <s v="0% paid"/>
    <n v="0"/>
  </r>
  <r>
    <s v="No"/>
    <x v="2"/>
    <x v="0"/>
    <s v="SparkMeter pre-shipment fees"/>
    <s v="SparkMeter"/>
    <s v="This can be all over the place- it varies a lot for each order. There is usally a &quot;consolidation fee&quot;, at least."/>
    <s v="$"/>
    <n v="1"/>
    <n v="1"/>
    <n v="500"/>
    <s v="No"/>
    <n v="500"/>
    <m/>
    <m/>
    <m/>
    <n v="500"/>
    <n v="1"/>
    <m/>
    <m/>
    <m/>
    <m/>
    <m/>
    <m/>
    <m/>
    <m/>
    <m/>
    <m/>
    <m/>
    <m/>
    <n v="0"/>
    <n v="500"/>
    <s v="0% paid"/>
    <n v="0"/>
  </r>
  <r>
    <s v="Yes"/>
    <x v="2"/>
    <x v="0"/>
    <s v="VAT"/>
    <s v="NCS"/>
    <m/>
    <s v="NGN"/>
    <n v="2.4330900243309003E-3"/>
    <n v="1"/>
    <n v="0"/>
    <s v="Only VAT"/>
    <n v="0"/>
    <m/>
    <m/>
    <m/>
    <n v="0"/>
    <n v="1"/>
    <m/>
    <m/>
    <m/>
    <m/>
    <m/>
    <m/>
    <m/>
    <m/>
    <m/>
    <m/>
    <m/>
    <m/>
    <n v="0"/>
    <n v="0"/>
    <s v="Cancelled"/>
    <n v="0"/>
  </r>
  <r>
    <s v="No"/>
    <x v="2"/>
    <x v="3"/>
    <s v="SparkMeter SaaS Term Licenses"/>
    <s v="SparkMeter"/>
    <s v="This is an option if we have extra money to spend. This would lower OPEX by taking away SaaS fees for 5 years."/>
    <s v="$"/>
    <n v="1"/>
    <n v="0"/>
    <n v="2250"/>
    <s v="No"/>
    <n v="0"/>
    <m/>
    <m/>
    <m/>
    <n v="0"/>
    <n v="1"/>
    <m/>
    <m/>
    <m/>
    <m/>
    <m/>
    <m/>
    <m/>
    <m/>
    <m/>
    <m/>
    <m/>
    <m/>
    <n v="0"/>
    <n v="0"/>
    <s v="Cancelled"/>
    <n v="0"/>
  </r>
  <r>
    <s v="Half"/>
    <x v="2"/>
    <x v="5"/>
    <s v="Connection labor- site agents"/>
    <m/>
    <m/>
    <s v="NGN"/>
    <n v="2.4330900243309003E-3"/>
    <n v="400"/>
    <n v="400"/>
    <s v="No"/>
    <n v="389.29440389294405"/>
    <m/>
    <m/>
    <m/>
    <n v="389.29440389294405"/>
    <n v="1"/>
    <m/>
    <m/>
    <m/>
    <m/>
    <m/>
    <m/>
    <m/>
    <m/>
    <m/>
    <m/>
    <m/>
    <m/>
    <n v="0"/>
    <n v="389.29440389294405"/>
    <s v="0% paid"/>
    <n v="0"/>
  </r>
  <r>
    <s v="Half"/>
    <x v="2"/>
    <x v="5"/>
    <s v="Connection labor- technicians"/>
    <m/>
    <m/>
    <s v="NGN"/>
    <n v="2.4330900243309003E-3"/>
    <n v="400"/>
    <n v="1200"/>
    <s v="No"/>
    <n v="1167.8832116788321"/>
    <m/>
    <m/>
    <m/>
    <n v="1167.8832116788321"/>
    <n v="1"/>
    <m/>
    <m/>
    <m/>
    <m/>
    <m/>
    <m/>
    <m/>
    <m/>
    <m/>
    <m/>
    <m/>
    <m/>
    <n v="0"/>
    <n v="1167.8832116788321"/>
    <s v="0% paid"/>
    <n v="0"/>
  </r>
  <r>
    <s v="No"/>
    <x v="2"/>
    <x v="5"/>
    <s v="Loading of meters and customer wiring materials"/>
    <m/>
    <m/>
    <s v="NGN"/>
    <n v="2.4330900243309003E-3"/>
    <n v="1"/>
    <n v="18000"/>
    <s v="No"/>
    <n v="43.795620437956202"/>
    <m/>
    <m/>
    <m/>
    <n v="43.795620437956202"/>
    <n v="1"/>
    <m/>
    <m/>
    <m/>
    <m/>
    <m/>
    <m/>
    <m/>
    <m/>
    <m/>
    <m/>
    <m/>
    <m/>
    <n v="0"/>
    <n v="43.795620437956202"/>
    <s v="0% paid"/>
    <n v="0"/>
  </r>
  <r>
    <s v="No"/>
    <x v="2"/>
    <x v="5"/>
    <s v="Offloading of meters and customer wiring materials"/>
    <m/>
    <m/>
    <s v="NGN"/>
    <n v="2.4330900243309003E-3"/>
    <n v="1"/>
    <n v="18000"/>
    <s v="No"/>
    <n v="43.795620437956202"/>
    <m/>
    <m/>
    <m/>
    <n v="43.795620437956202"/>
    <n v="1"/>
    <m/>
    <m/>
    <m/>
    <m/>
    <m/>
    <m/>
    <m/>
    <m/>
    <m/>
    <m/>
    <m/>
    <m/>
    <n v="0"/>
    <n v="43.795620437956202"/>
    <s v="0% paid"/>
    <n v="0"/>
  </r>
  <r>
    <s v="Half"/>
    <x v="2"/>
    <x v="1"/>
    <s v="Customer internal wiring"/>
    <m/>
    <s v="We don't usually do this in Nigeria"/>
    <s v="NGN"/>
    <n v="2.4330900243309003E-3"/>
    <n v="400"/>
    <n v="0"/>
    <s v="Yes"/>
    <n v="0"/>
    <m/>
    <m/>
    <m/>
    <n v="0"/>
    <n v="1"/>
    <m/>
    <m/>
    <m/>
    <m/>
    <m/>
    <m/>
    <m/>
    <m/>
    <m/>
    <m/>
    <m/>
    <m/>
    <n v="0"/>
    <n v="0"/>
    <s v="Cancelled"/>
    <n v="0"/>
  </r>
  <r>
    <s v="Half"/>
    <x v="2"/>
    <x v="1"/>
    <s v="Customer service drops (single-phase)"/>
    <m/>
    <s v="Assuming 25 meters (length) per customer"/>
    <s v="NGN"/>
    <n v="2.4330900243309003E-3"/>
    <n v="10000"/>
    <n v="280"/>
    <s v="Yes"/>
    <n v="7323.6009732360089"/>
    <m/>
    <m/>
    <m/>
    <n v="7323.6009732360089"/>
    <n v="1"/>
    <m/>
    <m/>
    <m/>
    <m/>
    <m/>
    <m/>
    <m/>
    <m/>
    <m/>
    <m/>
    <m/>
    <m/>
    <n v="0"/>
    <n v="7323.6009732360089"/>
    <s v="0% paid"/>
    <n v="0"/>
  </r>
  <r>
    <s v="Half"/>
    <x v="2"/>
    <x v="1"/>
    <s v="Customer service drops (three-phase)"/>
    <m/>
    <s v="Assuming 25 meters (length) per customer"/>
    <s v="NGN"/>
    <n v="2.4330900243309003E-3"/>
    <n v="0"/>
    <n v="1600"/>
    <s v="Yes"/>
    <n v="0"/>
    <m/>
    <m/>
    <m/>
    <n v="0"/>
    <n v="1"/>
    <m/>
    <m/>
    <m/>
    <m/>
    <m/>
    <m/>
    <m/>
    <m/>
    <m/>
    <m/>
    <m/>
    <m/>
    <n v="0"/>
    <n v="0"/>
    <s v="Cancelled"/>
    <n v="0"/>
  </r>
  <r>
    <s v="Yes"/>
    <x v="2"/>
    <x v="1"/>
    <s v="Metering Base Station"/>
    <s v="SparkMeter"/>
    <s v="Max 1000 customers per base station"/>
    <s v="$"/>
    <n v="1"/>
    <n v="1"/>
    <n v="1050"/>
    <s v="No"/>
    <n v="1050"/>
    <m/>
    <m/>
    <m/>
    <n v="1050"/>
    <n v="1"/>
    <m/>
    <m/>
    <m/>
    <m/>
    <m/>
    <m/>
    <m/>
    <m/>
    <m/>
    <m/>
    <m/>
    <m/>
    <n v="0"/>
    <n v="1050"/>
    <s v="0% paid"/>
    <n v="0"/>
  </r>
  <r>
    <s v="Half"/>
    <x v="2"/>
    <x v="1"/>
    <s v="Modem (TP-Link TL-MR6400)"/>
    <m/>
    <m/>
    <s v="NGN"/>
    <n v="2.4330900243309003E-3"/>
    <n v="1"/>
    <n v="30000"/>
    <s v="Yes"/>
    <n v="78.467153284671525"/>
    <m/>
    <m/>
    <m/>
    <n v="78.467153284671525"/>
    <n v="1"/>
    <m/>
    <m/>
    <m/>
    <m/>
    <m/>
    <m/>
    <m/>
    <m/>
    <m/>
    <m/>
    <m/>
    <m/>
    <n v="0"/>
    <n v="78.467153284671525"/>
    <s v="0% paid"/>
    <n v="0"/>
  </r>
  <r>
    <s v="Half"/>
    <x v="2"/>
    <x v="1"/>
    <s v="Shackle insulators, D-irons, and bolts"/>
    <m/>
    <m/>
    <s v="NGN"/>
    <n v="2.4330900243309003E-3"/>
    <n v="400"/>
    <n v="3000"/>
    <s v="Yes"/>
    <n v="3138.6861313868608"/>
    <m/>
    <m/>
    <m/>
    <n v="3138.6861313868608"/>
    <n v="1"/>
    <m/>
    <m/>
    <m/>
    <m/>
    <m/>
    <m/>
    <m/>
    <m/>
    <m/>
    <m/>
    <m/>
    <m/>
    <n v="0"/>
    <n v="3138.6861313868608"/>
    <s v="0% paid"/>
    <n v="0"/>
  </r>
  <r>
    <s v="Half"/>
    <x v="2"/>
    <x v="1"/>
    <s v="SIM Card"/>
    <s v="MTN"/>
    <m/>
    <s v="NGN"/>
    <n v="2.4330900243309003E-3"/>
    <n v="1"/>
    <n v="100"/>
    <s v="Yes"/>
    <n v="0.26155717761557173"/>
    <m/>
    <m/>
    <m/>
    <n v="0.26155717761557173"/>
    <n v="1"/>
    <m/>
    <m/>
    <m/>
    <m/>
    <m/>
    <m/>
    <m/>
    <m/>
    <m/>
    <m/>
    <m/>
    <m/>
    <n v="0"/>
    <n v="0.26155717761557173"/>
    <s v="0% paid"/>
    <n v="0"/>
  </r>
  <r>
    <s v="Yes"/>
    <x v="2"/>
    <x v="1"/>
    <s v="SM200E Meters"/>
    <s v="SparkMeter"/>
    <m/>
    <s v="$"/>
    <n v="1"/>
    <n v="1"/>
    <n v="150"/>
    <s v="No"/>
    <n v="150"/>
    <m/>
    <m/>
    <m/>
    <n v="150"/>
    <n v="1"/>
    <m/>
    <m/>
    <m/>
    <m/>
    <m/>
    <m/>
    <m/>
    <m/>
    <m/>
    <m/>
    <m/>
    <m/>
    <n v="0"/>
    <n v="150"/>
    <s v="0% paid"/>
    <n v="0"/>
  </r>
  <r>
    <s v="Yes"/>
    <x v="2"/>
    <x v="1"/>
    <s v="SMRPI Meters"/>
    <s v="SparkMeter"/>
    <m/>
    <s v="$"/>
    <n v="1"/>
    <n v="0"/>
    <n v="100"/>
    <s v="No"/>
    <n v="0"/>
    <m/>
    <m/>
    <m/>
    <n v="0"/>
    <n v="1"/>
    <m/>
    <m/>
    <m/>
    <m/>
    <m/>
    <m/>
    <m/>
    <m/>
    <m/>
    <m/>
    <m/>
    <m/>
    <n v="0"/>
    <n v="0"/>
    <s v="Cancelled"/>
    <n v="0"/>
  </r>
  <r>
    <s v="Yes"/>
    <x v="2"/>
    <x v="1"/>
    <s v="SMRSD Meters"/>
    <s v="SparkMeter"/>
    <m/>
    <s v="$"/>
    <n v="1"/>
    <n v="432"/>
    <n v="40"/>
    <s v="No"/>
    <n v="17280"/>
    <m/>
    <m/>
    <m/>
    <n v="17280"/>
    <n v="1"/>
    <m/>
    <m/>
    <m/>
    <m/>
    <m/>
    <m/>
    <m/>
    <m/>
    <m/>
    <m/>
    <m/>
    <m/>
    <n v="0"/>
    <n v="17280"/>
    <s v="0% paid"/>
    <n v="0"/>
  </r>
  <r>
    <s v="Yes"/>
    <x v="2"/>
    <x v="2"/>
    <s v="Customer drop wire transport to site"/>
    <m/>
    <m/>
    <s v="NGN"/>
    <n v="2.4330900243309003E-3"/>
    <n v="1"/>
    <n v="200000"/>
    <s v="No"/>
    <n v="486.61800486618006"/>
    <m/>
    <m/>
    <m/>
    <n v="486.61800486618006"/>
    <n v="1"/>
    <m/>
    <m/>
    <m/>
    <m/>
    <m/>
    <m/>
    <m/>
    <m/>
    <m/>
    <m/>
    <m/>
    <m/>
    <n v="0"/>
    <n v="486.61800486618006"/>
    <s v="0% paid"/>
    <n v="0"/>
  </r>
  <r>
    <s v="Half"/>
    <x v="2"/>
    <x v="2"/>
    <s v="Customer internal wiring transport to site"/>
    <m/>
    <m/>
    <s v="NGN"/>
    <n v="2.4330900243309003E-3"/>
    <n v="0"/>
    <n v="100000"/>
    <s v="No"/>
    <n v="0"/>
    <m/>
    <m/>
    <m/>
    <n v="0"/>
    <n v="1"/>
    <m/>
    <m/>
    <m/>
    <m/>
    <m/>
    <m/>
    <m/>
    <m/>
    <m/>
    <m/>
    <m/>
    <m/>
    <n v="0"/>
    <n v="0"/>
    <s v="Cancelled"/>
    <n v="0"/>
  </r>
  <r>
    <s v="Yes"/>
    <x v="2"/>
    <x v="2"/>
    <s v="International transport"/>
    <s v="SparkMeter"/>
    <s v="Based on SparkMeter DDP quote for KKCF"/>
    <s v="$"/>
    <n v="1"/>
    <n v="1"/>
    <n v="2367.36"/>
    <s v="No"/>
    <n v="2367.36"/>
    <m/>
    <m/>
    <m/>
    <n v="2367.36"/>
    <n v="1"/>
    <m/>
    <m/>
    <m/>
    <m/>
    <m/>
    <m/>
    <m/>
    <m/>
    <m/>
    <m/>
    <m/>
    <m/>
    <n v="0"/>
    <n v="2367.36"/>
    <s v="0% paid"/>
    <n v="0"/>
  </r>
  <r>
    <s v="No"/>
    <x v="2"/>
    <x v="2"/>
    <s v="Meter transport to site"/>
    <m/>
    <m/>
    <s v="NGN"/>
    <n v="2.4330900243309003E-3"/>
    <n v="1"/>
    <n v="280000"/>
    <s v="No"/>
    <n v="681.26520681265208"/>
    <m/>
    <m/>
    <m/>
    <n v="681.26520681265208"/>
    <n v="1"/>
    <m/>
    <m/>
    <m/>
    <m/>
    <m/>
    <m/>
    <m/>
    <m/>
    <m/>
    <m/>
    <m/>
    <m/>
    <n v="0"/>
    <n v="681.26520681265208"/>
    <s v="0% paid"/>
    <n v="0"/>
  </r>
  <r>
    <s v="Yes"/>
    <x v="3"/>
    <x v="6"/>
    <s v="Distribution contingency"/>
    <m/>
    <s v="It's smart to budget 10% of total distribution costs"/>
    <s v="NGN"/>
    <n v="2.4330900243309003E-3"/>
    <n v="5"/>
    <n v="544055.20000000007"/>
    <s v="No"/>
    <n v="6618.6763990267655"/>
    <m/>
    <m/>
    <m/>
    <n v="6618.6763990267655"/>
    <n v="1"/>
    <m/>
    <m/>
    <m/>
    <m/>
    <m/>
    <m/>
    <m/>
    <m/>
    <m/>
    <m/>
    <m/>
    <m/>
    <n v="0"/>
    <n v="6618.6763990267655"/>
    <s v="0% paid"/>
    <n v="0"/>
  </r>
  <r>
    <s v="Yes"/>
    <x v="3"/>
    <x v="3"/>
    <s v="Distribution surveyor"/>
    <m/>
    <m/>
    <s v="NGN"/>
    <n v="2.4330900243309003E-3"/>
    <n v="1"/>
    <n v="120000"/>
    <s v="Yes"/>
    <n v="313.8686131386861"/>
    <m/>
    <m/>
    <m/>
    <n v="313.8686131386861"/>
    <n v="1"/>
    <m/>
    <m/>
    <m/>
    <m/>
    <m/>
    <m/>
    <m/>
    <m/>
    <m/>
    <m/>
    <m/>
    <m/>
    <n v="0"/>
    <n v="313.8686131386861"/>
    <s v="0% paid"/>
    <n v="0"/>
  </r>
  <r>
    <s v="Yes"/>
    <x v="3"/>
    <x v="5"/>
    <s v="Distribution labor"/>
    <m/>
    <m/>
    <s v="NGN"/>
    <n v="2.4330900243309003E-3"/>
    <n v="5"/>
    <n v="1180552"/>
    <s v="Yes"/>
    <n v="15439.092457420922"/>
    <m/>
    <m/>
    <m/>
    <n v="15439.092457420922"/>
    <n v="1"/>
    <m/>
    <m/>
    <m/>
    <m/>
    <m/>
    <m/>
    <m/>
    <m/>
    <m/>
    <m/>
    <m/>
    <m/>
    <n v="0"/>
    <n v="15439.092457420922"/>
    <s v="0% paid"/>
    <n v="0"/>
  </r>
  <r>
    <s v="Yes"/>
    <x v="3"/>
    <x v="1"/>
    <s v="Distribution materials"/>
    <m/>
    <m/>
    <s v="NGN"/>
    <n v="2.4330900243309003E-3"/>
    <n v="5"/>
    <n v="4200000"/>
    <s v="Yes"/>
    <n v="54927.007299270066"/>
    <m/>
    <m/>
    <m/>
    <n v="54927.007299270066"/>
    <n v="1"/>
    <m/>
    <m/>
    <m/>
    <m/>
    <m/>
    <m/>
    <m/>
    <m/>
    <m/>
    <m/>
    <m/>
    <m/>
    <n v="0"/>
    <n v="54927.007299270066"/>
    <s v="0% paid"/>
    <n v="0"/>
  </r>
  <r>
    <s v="No"/>
    <x v="3"/>
    <x v="2"/>
    <s v="Distribution materials boat transport"/>
    <m/>
    <m/>
    <s v="NGN"/>
    <n v="2.4330900243309003E-3"/>
    <n v="0"/>
    <n v="0"/>
    <s v="No"/>
    <n v="0"/>
    <m/>
    <m/>
    <m/>
    <n v="0"/>
    <n v="1"/>
    <m/>
    <m/>
    <m/>
    <m/>
    <m/>
    <m/>
    <m/>
    <m/>
    <m/>
    <m/>
    <m/>
    <m/>
    <n v="0"/>
    <n v="0"/>
    <s v="Cancelled"/>
    <n v="0"/>
  </r>
  <r>
    <s v="Yes"/>
    <x v="3"/>
    <x v="2"/>
    <s v="Distribution materials road transport"/>
    <m/>
    <m/>
    <s v="NGN"/>
    <n v="2.4330900243309003E-3"/>
    <n v="5"/>
    <n v="60000"/>
    <s v="No"/>
    <n v="729.92700729927014"/>
    <m/>
    <m/>
    <m/>
    <n v="729.92700729927014"/>
    <n v="1"/>
    <m/>
    <m/>
    <m/>
    <m/>
    <m/>
    <m/>
    <m/>
    <m/>
    <m/>
    <m/>
    <m/>
    <m/>
    <n v="0"/>
    <n v="729.92700729927014"/>
    <s v="0% paid"/>
    <n v="0"/>
  </r>
  <r>
    <s v="Yes"/>
    <x v="4"/>
    <x v="5"/>
    <s v="Fencing labor"/>
    <m/>
    <m/>
    <s v="NGN"/>
    <n v="2.4330900243309003E-3"/>
    <n v="200"/>
    <n v="875"/>
    <s v="No"/>
    <n v="425.79075425790757"/>
    <m/>
    <m/>
    <m/>
    <n v="425.79075425790757"/>
    <n v="1"/>
    <m/>
    <m/>
    <m/>
    <m/>
    <m/>
    <m/>
    <m/>
    <m/>
    <m/>
    <m/>
    <m/>
    <m/>
    <n v="0"/>
    <n v="425.79075425790757"/>
    <s v="0% paid"/>
    <n v="0"/>
  </r>
  <r>
    <s v="Yes"/>
    <x v="4"/>
    <x v="1"/>
    <s v="Fencing materials"/>
    <m/>
    <m/>
    <s v="NGN"/>
    <n v="2.4330900243309003E-3"/>
    <n v="200"/>
    <n v="3500"/>
    <s v="Yes"/>
    <n v="1830.9002433090022"/>
    <m/>
    <m/>
    <m/>
    <n v="1830.9002433090022"/>
    <n v="1"/>
    <m/>
    <m/>
    <m/>
    <m/>
    <m/>
    <m/>
    <m/>
    <m/>
    <m/>
    <m/>
    <m/>
    <m/>
    <n v="0"/>
    <n v="1830.9002433090022"/>
    <s v="0% paid"/>
    <n v="0"/>
  </r>
  <r>
    <s v="Yes"/>
    <x v="4"/>
    <x v="2"/>
    <s v="Fencing materials transport"/>
    <m/>
    <m/>
    <s v="NGN"/>
    <n v="2.4330900243309003E-3"/>
    <n v="200"/>
    <n v="350"/>
    <s v="Yes"/>
    <n v="183.09002433090021"/>
    <m/>
    <m/>
    <m/>
    <n v="183.09002433090021"/>
    <n v="1"/>
    <m/>
    <m/>
    <m/>
    <m/>
    <m/>
    <m/>
    <m/>
    <m/>
    <m/>
    <m/>
    <m/>
    <m/>
    <n v="0"/>
    <n v="183.09002433090021"/>
    <s v="0% paid"/>
    <n v="0"/>
  </r>
  <r>
    <s v="No"/>
    <x v="5"/>
    <x v="5"/>
    <s v="Generator foundation labor"/>
    <m/>
    <m/>
    <s v="NGN"/>
    <n v="2.4330900243309003E-3"/>
    <n v="0"/>
    <n v="35000"/>
    <s v="No"/>
    <n v="0"/>
    <m/>
    <m/>
    <m/>
    <n v="0"/>
    <n v="1"/>
    <m/>
    <m/>
    <m/>
    <m/>
    <m/>
    <m/>
    <m/>
    <m/>
    <m/>
    <m/>
    <m/>
    <m/>
    <n v="0"/>
    <n v="0"/>
    <s v="Cancelled"/>
    <n v="0"/>
  </r>
  <r>
    <s v="No"/>
    <x v="5"/>
    <x v="1"/>
    <s v="Generator"/>
    <m/>
    <s v="CAT DE165C"/>
    <s v="$"/>
    <n v="1"/>
    <n v="0"/>
    <n v="29096.5"/>
    <s v="Yes"/>
    <n v="0"/>
    <m/>
    <m/>
    <m/>
    <n v="0"/>
    <n v="1"/>
    <m/>
    <m/>
    <m/>
    <m/>
    <m/>
    <m/>
    <m/>
    <m/>
    <m/>
    <m/>
    <m/>
    <m/>
    <n v="0"/>
    <n v="0"/>
    <s v="Cancelled"/>
    <n v="0"/>
  </r>
  <r>
    <s v="No"/>
    <x v="5"/>
    <x v="1"/>
    <s v="Generator cabling"/>
    <m/>
    <s v="Estimate for 5-core 95 mm2 armoured copper. Based on price of 4-core 120 mm2."/>
    <s v="NGN"/>
    <n v="2.4330900243309003E-3"/>
    <n v="0"/>
    <n v="28000"/>
    <s v="Yes"/>
    <n v="0"/>
    <m/>
    <m/>
    <m/>
    <n v="0"/>
    <n v="1"/>
    <m/>
    <m/>
    <m/>
    <m/>
    <m/>
    <m/>
    <m/>
    <m/>
    <m/>
    <m/>
    <m/>
    <m/>
    <n v="0"/>
    <n v="0"/>
    <s v="Cancelled"/>
    <n v="0"/>
  </r>
  <r>
    <s v="No"/>
    <x v="5"/>
    <x v="1"/>
    <s v="Generator foundation and shade materials"/>
    <m/>
    <m/>
    <s v="NGN"/>
    <n v="2.4330900243309003E-3"/>
    <n v="0"/>
    <n v="175000"/>
    <s v="No"/>
    <n v="0"/>
    <m/>
    <m/>
    <m/>
    <n v="0"/>
    <n v="1"/>
    <m/>
    <m/>
    <m/>
    <m/>
    <m/>
    <m/>
    <m/>
    <m/>
    <m/>
    <m/>
    <m/>
    <m/>
    <n v="0"/>
    <n v="0"/>
    <s v="Cancelled"/>
    <n v="0"/>
  </r>
  <r>
    <s v="Half"/>
    <x v="5"/>
    <x v="2"/>
    <s v="Generator transport"/>
    <m/>
    <m/>
    <s v="NGN"/>
    <n v="2.4330900243309003E-3"/>
    <n v="0"/>
    <n v="200000"/>
    <s v="Yes"/>
    <n v="0"/>
    <m/>
    <m/>
    <m/>
    <n v="0"/>
    <n v="1"/>
    <m/>
    <m/>
    <m/>
    <m/>
    <m/>
    <m/>
    <m/>
    <m/>
    <m/>
    <m/>
    <m/>
    <m/>
    <n v="0"/>
    <n v="0"/>
    <s v="Cancelled"/>
    <n v="0"/>
  </r>
  <r>
    <s v="Yes"/>
    <x v="6"/>
    <x v="0"/>
    <s v="Clearing agent fees"/>
    <m/>
    <m/>
    <s v="NGN"/>
    <n v="2.4330900243309003E-3"/>
    <n v="1"/>
    <n v="137000"/>
    <s v="Yes"/>
    <n v="358.33333333333331"/>
    <m/>
    <m/>
    <m/>
    <n v="358.33333333333331"/>
    <n v="1"/>
    <m/>
    <m/>
    <m/>
    <m/>
    <m/>
    <m/>
    <m/>
    <m/>
    <m/>
    <m/>
    <m/>
    <m/>
    <n v="0"/>
    <n v="358.33333333333331"/>
    <s v="0% paid"/>
    <n v="0"/>
  </r>
  <r>
    <s v="Yes"/>
    <x v="6"/>
    <x v="0"/>
    <s v="Inspection Fee"/>
    <s v="SGS"/>
    <m/>
    <s v="NGN"/>
    <n v="2.4330900243309003E-3"/>
    <n v="1"/>
    <n v="102750"/>
    <s v="No"/>
    <n v="250"/>
    <m/>
    <m/>
    <m/>
    <n v="250"/>
    <n v="1"/>
    <m/>
    <m/>
    <m/>
    <m/>
    <m/>
    <m/>
    <m/>
    <m/>
    <m/>
    <m/>
    <m/>
    <m/>
    <n v="0"/>
    <n v="250"/>
    <s v="0% paid"/>
    <n v="0"/>
  </r>
  <r>
    <s v="Yes"/>
    <x v="6"/>
    <x v="0"/>
    <s v="Non-VAT Customs"/>
    <s v="NCS"/>
    <m/>
    <s v="NGN"/>
    <n v="2.4330900243309003E-3"/>
    <n v="1"/>
    <n v="86183"/>
    <s v="No"/>
    <n v="209.69099756690997"/>
    <m/>
    <m/>
    <m/>
    <n v="209.69099756690997"/>
    <n v="1"/>
    <m/>
    <m/>
    <m/>
    <m/>
    <m/>
    <m/>
    <m/>
    <m/>
    <m/>
    <m/>
    <m/>
    <m/>
    <n v="0"/>
    <n v="209.69099756690997"/>
    <s v="0% paid"/>
    <n v="0"/>
  </r>
  <r>
    <s v="Yes"/>
    <x v="6"/>
    <x v="0"/>
    <s v="Port fees"/>
    <s v="NPA"/>
    <m/>
    <s v="NGN"/>
    <n v="2.4330900243309003E-3"/>
    <n v="1"/>
    <n v="218703.375"/>
    <s v="No"/>
    <n v="532.125"/>
    <m/>
    <m/>
    <m/>
    <n v="532.125"/>
    <n v="1"/>
    <m/>
    <m/>
    <m/>
    <m/>
    <m/>
    <m/>
    <m/>
    <m/>
    <m/>
    <m/>
    <m/>
    <m/>
    <n v="0"/>
    <n v="532.125"/>
    <s v="0% paid"/>
    <n v="0"/>
  </r>
  <r>
    <s v="Yes"/>
    <x v="6"/>
    <x v="0"/>
    <s v="VAT"/>
    <s v="NCS"/>
    <m/>
    <s v="NGN"/>
    <n v="2.4330900243309003E-3"/>
    <n v="1"/>
    <n v="0"/>
    <s v="Only VAT"/>
    <n v="0"/>
    <m/>
    <m/>
    <m/>
    <n v="0"/>
    <n v="1"/>
    <m/>
    <m/>
    <m/>
    <m/>
    <m/>
    <m/>
    <m/>
    <m/>
    <m/>
    <m/>
    <m/>
    <m/>
    <n v="0"/>
    <n v="0"/>
    <s v="Cancelled"/>
    <n v="0"/>
  </r>
  <r>
    <s v="Yes"/>
    <x v="6"/>
    <x v="1"/>
    <s v="Battery Inverter: Victron Quattro 15 kW"/>
    <m/>
    <m/>
    <s v="$"/>
    <n v="1"/>
    <n v="1"/>
    <n v="2600"/>
    <s v="No"/>
    <n v="2600"/>
    <m/>
    <m/>
    <m/>
    <n v="2600"/>
    <n v="1"/>
    <m/>
    <m/>
    <m/>
    <m/>
    <m/>
    <m/>
    <m/>
    <m/>
    <m/>
    <m/>
    <m/>
    <m/>
    <n v="0"/>
    <n v="2600"/>
    <s v="0% paid"/>
    <n v="0"/>
  </r>
  <r>
    <s v="Yes"/>
    <x v="6"/>
    <x v="2"/>
    <s v="International transport"/>
    <m/>
    <m/>
    <s v="$"/>
    <n v="1"/>
    <n v="15"/>
    <n v="36"/>
    <s v="No"/>
    <n v="540"/>
    <m/>
    <m/>
    <m/>
    <n v="540"/>
    <n v="1"/>
    <m/>
    <m/>
    <m/>
    <m/>
    <m/>
    <m/>
    <m/>
    <m/>
    <m/>
    <m/>
    <m/>
    <m/>
    <n v="0"/>
    <n v="540"/>
    <s v="0% paid"/>
    <n v="0"/>
  </r>
  <r>
    <s v="Yes"/>
    <x v="7"/>
    <x v="0"/>
    <s v="Non-VAT Customs"/>
    <s v="NCS"/>
    <m/>
    <s v="NGN"/>
    <n v="2.4330900243309003E-3"/>
    <n v="1"/>
    <n v="165792"/>
    <s v="No"/>
    <n v="403.38686131386862"/>
    <m/>
    <m/>
    <m/>
    <n v="403.38686131386862"/>
    <n v="1"/>
    <m/>
    <m/>
    <m/>
    <m/>
    <m/>
    <m/>
    <m/>
    <m/>
    <m/>
    <m/>
    <m/>
    <m/>
    <n v="0"/>
    <n v="403.38686131386862"/>
    <s v="0% paid"/>
    <n v="0"/>
  </r>
  <r>
    <s v="Yes"/>
    <x v="7"/>
    <x v="0"/>
    <s v="VAT"/>
    <s v="NCS"/>
    <m/>
    <s v="NGN"/>
    <n v="2.4330900243309003E-3"/>
    <n v="1"/>
    <n v="0"/>
    <s v="Only VAT"/>
    <n v="0"/>
    <m/>
    <m/>
    <m/>
    <n v="0"/>
    <n v="1"/>
    <m/>
    <m/>
    <m/>
    <m/>
    <m/>
    <m/>
    <m/>
    <m/>
    <m/>
    <m/>
    <m/>
    <m/>
    <n v="0"/>
    <n v="0"/>
    <s v="Cancelled"/>
    <n v="0"/>
  </r>
  <r>
    <s v="No"/>
    <x v="7"/>
    <x v="1"/>
    <s v="Extras (like surge protectors)"/>
    <m/>
    <m/>
    <s v="$"/>
    <n v="1"/>
    <n v="0"/>
    <n v="0"/>
    <s v="No"/>
    <n v="0"/>
    <m/>
    <m/>
    <m/>
    <n v="0"/>
    <n v="1"/>
    <m/>
    <m/>
    <m/>
    <m/>
    <m/>
    <m/>
    <m/>
    <m/>
    <m/>
    <m/>
    <m/>
    <m/>
    <n v="0"/>
    <n v="0"/>
    <s v="Cancelled"/>
    <n v="0"/>
  </r>
  <r>
    <s v="Yes"/>
    <x v="7"/>
    <x v="1"/>
    <s v="Victron SmartSolar MPPT 250/85 Charge Controller"/>
    <m/>
    <m/>
    <s v="$"/>
    <n v="1"/>
    <n v="10"/>
    <n v="588.88"/>
    <s v="No"/>
    <n v="5888.8"/>
    <m/>
    <m/>
    <m/>
    <n v="5888.8"/>
    <n v="1"/>
    <m/>
    <m/>
    <m/>
    <m/>
    <m/>
    <m/>
    <m/>
    <m/>
    <m/>
    <m/>
    <m/>
    <m/>
    <n v="0"/>
    <n v="5888.8"/>
    <s v="0% paid"/>
    <n v="0"/>
  </r>
  <r>
    <s v="No"/>
    <x v="8"/>
    <x v="6"/>
    <s v="All other permits (estimating for the unknown permit costs)"/>
    <m/>
    <s v="Total guess"/>
    <s v="NGN"/>
    <n v="2.4330900243309003E-3"/>
    <n v="1"/>
    <n v="400000"/>
    <s v="No"/>
    <n v="973.23600973236012"/>
    <m/>
    <m/>
    <m/>
    <n v="973.23600973236012"/>
    <n v="1"/>
    <m/>
    <m/>
    <m/>
    <m/>
    <m/>
    <m/>
    <m/>
    <m/>
    <m/>
    <m/>
    <m/>
    <m/>
    <n v="0"/>
    <n v="973.23600973236012"/>
    <s v="0% paid"/>
    <n v="0"/>
  </r>
  <r>
    <s v="No"/>
    <x v="8"/>
    <x v="3"/>
    <s v="Building Permit"/>
    <s v="State"/>
    <m/>
    <s v="NGN"/>
    <n v="2.4330900243309003E-3"/>
    <n v="1"/>
    <n v="150000"/>
    <s v="No"/>
    <n v="364.96350364963507"/>
    <m/>
    <m/>
    <m/>
    <n v="364.96350364963507"/>
    <n v="1"/>
    <m/>
    <m/>
    <m/>
    <m/>
    <m/>
    <m/>
    <m/>
    <m/>
    <m/>
    <m/>
    <m/>
    <m/>
    <n v="0"/>
    <n v="364.96350364963507"/>
    <s v="0% paid"/>
    <n v="0"/>
  </r>
  <r>
    <s v="No"/>
    <x v="8"/>
    <x v="3"/>
    <s v="ESMP"/>
    <s v="PAMM Environmental Services"/>
    <m/>
    <s v="NGN"/>
    <n v="2.4330900243309003E-3"/>
    <n v="1"/>
    <n v="900500"/>
    <s v="Yes"/>
    <n v="2355.3223844282238"/>
    <m/>
    <m/>
    <m/>
    <n v="2355.3223844282238"/>
    <n v="1"/>
    <m/>
    <m/>
    <m/>
    <m/>
    <m/>
    <m/>
    <m/>
    <m/>
    <m/>
    <m/>
    <m/>
    <m/>
    <n v="0"/>
    <n v="2355.3223844282238"/>
    <s v="0% paid"/>
    <n v="0"/>
  </r>
  <r>
    <s v="No"/>
    <x v="8"/>
    <x v="3"/>
    <s v="Land Lease Processing"/>
    <s v="State"/>
    <m/>
    <s v="NGN"/>
    <n v="2.4330900243309003E-3"/>
    <n v="1"/>
    <n v="80000"/>
    <s v="No"/>
    <n v="194.64720194647202"/>
    <m/>
    <m/>
    <m/>
    <n v="194.64720194647202"/>
    <n v="1"/>
    <m/>
    <m/>
    <m/>
    <m/>
    <m/>
    <m/>
    <m/>
    <m/>
    <m/>
    <m/>
    <m/>
    <m/>
    <n v="0"/>
    <n v="194.64720194647202"/>
    <s v="0% paid"/>
    <n v="0"/>
  </r>
  <r>
    <s v="No"/>
    <x v="8"/>
    <x v="3"/>
    <s v="Land Purchase"/>
    <m/>
    <m/>
    <s v="NGN"/>
    <n v="2.4330900243309003E-3"/>
    <n v="0"/>
    <n v="0"/>
    <s v="No"/>
    <n v="0"/>
    <m/>
    <m/>
    <m/>
    <n v="0"/>
    <n v="1"/>
    <m/>
    <m/>
    <m/>
    <m/>
    <m/>
    <m/>
    <m/>
    <m/>
    <m/>
    <m/>
    <m/>
    <m/>
    <n v="0"/>
    <n v="0"/>
    <s v="Cancelled"/>
    <n v="0"/>
  </r>
  <r>
    <s v="No"/>
    <x v="8"/>
    <x v="3"/>
    <s v="NERC Application Fee"/>
    <s v="NERC"/>
    <m/>
    <s v="NGN"/>
    <n v="2.4330900243309003E-3"/>
    <n v="1"/>
    <n v="80000"/>
    <s v="No"/>
    <n v="194.64720194647202"/>
    <m/>
    <m/>
    <m/>
    <n v="194.64720194647202"/>
    <n v="1"/>
    <m/>
    <m/>
    <m/>
    <m/>
    <m/>
    <m/>
    <m/>
    <m/>
    <m/>
    <m/>
    <m/>
    <m/>
    <n v="0"/>
    <n v="194.64720194647202"/>
    <s v="0% paid"/>
    <n v="0"/>
  </r>
  <r>
    <s v="No"/>
    <x v="9"/>
    <x v="6"/>
    <s v="Contingency"/>
    <m/>
    <s v="Cable ties, lugs, conduit, labels, etc"/>
    <s v="NGN"/>
    <n v="2.4330900243309003E-3"/>
    <n v="1"/>
    <n v="75000"/>
    <s v="No"/>
    <n v="182.48175182481754"/>
    <m/>
    <m/>
    <m/>
    <n v="182.48175182481754"/>
    <n v="1"/>
    <m/>
    <m/>
    <m/>
    <m/>
    <m/>
    <m/>
    <m/>
    <m/>
    <m/>
    <m/>
    <m/>
    <m/>
    <n v="0"/>
    <n v="182.48175182481754"/>
    <s v="0% paid"/>
    <n v="0"/>
  </r>
  <r>
    <s v="No"/>
    <x v="9"/>
    <x v="5"/>
    <s v="Earthing pit for site-  labor"/>
    <m/>
    <m/>
    <s v="NGN"/>
    <n v="2.4330900243309003E-3"/>
    <n v="2"/>
    <n v="14000"/>
    <s v="No"/>
    <n v="68.126520681265205"/>
    <m/>
    <m/>
    <m/>
    <n v="68.126520681265205"/>
    <n v="1"/>
    <m/>
    <m/>
    <m/>
    <m/>
    <m/>
    <m/>
    <m/>
    <m/>
    <m/>
    <m/>
    <m/>
    <m/>
    <n v="0"/>
    <n v="68.126520681265205"/>
    <s v="0% paid"/>
    <n v="0"/>
  </r>
  <r>
    <s v="No"/>
    <x v="9"/>
    <x v="5"/>
    <s v="Loading of various BOS materials"/>
    <m/>
    <m/>
    <s v="NGN"/>
    <n v="2.4330900243309003E-3"/>
    <n v="1"/>
    <n v="17500"/>
    <s v="No"/>
    <n v="42.579075425790755"/>
    <m/>
    <m/>
    <m/>
    <n v="42.579075425790755"/>
    <n v="1"/>
    <m/>
    <m/>
    <m/>
    <m/>
    <m/>
    <m/>
    <m/>
    <m/>
    <m/>
    <m/>
    <m/>
    <m/>
    <n v="0"/>
    <n v="42.579075425790755"/>
    <s v="0% paid"/>
    <n v="0"/>
  </r>
  <r>
    <s v="No"/>
    <x v="9"/>
    <x v="5"/>
    <s v="Offloading of various BOS materials"/>
    <m/>
    <m/>
    <s v="NGN"/>
    <n v="2.4330900243309003E-3"/>
    <n v="1"/>
    <n v="17500"/>
    <s v="No"/>
    <n v="42.579075425790755"/>
    <m/>
    <m/>
    <m/>
    <n v="42.579075425790755"/>
    <n v="1"/>
    <m/>
    <m/>
    <m/>
    <m/>
    <m/>
    <m/>
    <m/>
    <m/>
    <m/>
    <m/>
    <m/>
    <m/>
    <n v="0"/>
    <n v="42.579075425790755"/>
    <s v="0% paid"/>
    <n v="0"/>
  </r>
  <r>
    <s v="No"/>
    <x v="9"/>
    <x v="1"/>
    <s v="AC DB MCBs"/>
    <m/>
    <s v="Usually one big one for the grid, a 32 A for local heavy loads, and a 10 A for local light loads"/>
    <s v="NGN"/>
    <n v="2.4330900243309003E-3"/>
    <n v="1"/>
    <n v="17500"/>
    <s v="Yes"/>
    <n v="45.772506082725059"/>
    <m/>
    <m/>
    <m/>
    <n v="45.772506082725059"/>
    <n v="1"/>
    <m/>
    <m/>
    <m/>
    <m/>
    <m/>
    <m/>
    <m/>
    <m/>
    <m/>
    <m/>
    <m/>
    <m/>
    <n v="0"/>
    <n v="45.772506082725059"/>
    <s v="0% paid"/>
    <n v="0"/>
  </r>
  <r>
    <s v="No"/>
    <x v="9"/>
    <x v="1"/>
    <s v="AC Distribution Board"/>
    <m/>
    <m/>
    <s v="NGN"/>
    <n v="2.4330900243309003E-3"/>
    <n v="1"/>
    <n v="14000"/>
    <s v="Yes"/>
    <n v="36.618004866180044"/>
    <m/>
    <m/>
    <m/>
    <n v="36.618004866180044"/>
    <n v="1"/>
    <m/>
    <m/>
    <m/>
    <m/>
    <m/>
    <m/>
    <m/>
    <m/>
    <m/>
    <m/>
    <m/>
    <m/>
    <n v="0"/>
    <n v="36.618004866180044"/>
    <s v="0% paid"/>
    <n v="0"/>
  </r>
  <r>
    <s v="Half"/>
    <x v="9"/>
    <x v="1"/>
    <s v="Battery fuses/breakers"/>
    <m/>
    <s v="Needed for some batteries, but not for Solar MD"/>
    <s v="NGN"/>
    <n v="2.4330900243309003E-3"/>
    <n v="0"/>
    <n v="0"/>
    <s v="Yes"/>
    <n v="0"/>
    <m/>
    <m/>
    <m/>
    <n v="0"/>
    <n v="1"/>
    <m/>
    <m/>
    <m/>
    <m/>
    <m/>
    <m/>
    <m/>
    <m/>
    <m/>
    <m/>
    <m/>
    <m/>
    <n v="0"/>
    <n v="0"/>
    <s v="Cancelled"/>
    <n v="0"/>
  </r>
  <r>
    <s v="Half"/>
    <x v="9"/>
    <x v="1"/>
    <s v="Battery inverter AC  wiring"/>
    <m/>
    <m/>
    <s v="NGN"/>
    <n v="2.4330900243309003E-3"/>
    <n v="1"/>
    <n v="2000"/>
    <s v="Yes"/>
    <n v="5.2311435523114351"/>
    <m/>
    <m/>
    <m/>
    <n v="5.2311435523114351"/>
    <n v="1"/>
    <m/>
    <m/>
    <m/>
    <m/>
    <m/>
    <m/>
    <m/>
    <m/>
    <m/>
    <m/>
    <m/>
    <m/>
    <n v="0"/>
    <n v="5.2311435523114351"/>
    <s v="0% paid"/>
    <n v="0"/>
  </r>
  <r>
    <s v="Half"/>
    <x v="9"/>
    <x v="1"/>
    <s v="Battery inverter DC wiring"/>
    <m/>
    <m/>
    <s v="NGN"/>
    <n v="2.4330900243309003E-3"/>
    <n v="3"/>
    <n v="2000"/>
    <s v="Yes"/>
    <n v="15.693430656934307"/>
    <m/>
    <m/>
    <m/>
    <n v="15.693430656934307"/>
    <n v="1"/>
    <m/>
    <m/>
    <m/>
    <m/>
    <m/>
    <m/>
    <m/>
    <m/>
    <m/>
    <m/>
    <m/>
    <m/>
    <n v="0"/>
    <n v="15.693430656934307"/>
    <s v="0% paid"/>
    <n v="0"/>
  </r>
  <r>
    <s v="Half"/>
    <x v="9"/>
    <x v="1"/>
    <s v="Battery inverter mounting hardware"/>
    <m/>
    <m/>
    <s v="NGN"/>
    <n v="2.4330900243309003E-3"/>
    <n v="1"/>
    <n v="700"/>
    <s v="Yes"/>
    <n v="1.8309002433090023"/>
    <m/>
    <m/>
    <m/>
    <n v="1.8309002433090023"/>
    <n v="1"/>
    <m/>
    <m/>
    <m/>
    <m/>
    <m/>
    <m/>
    <m/>
    <m/>
    <m/>
    <m/>
    <m/>
    <m/>
    <n v="0"/>
    <n v="1.8309002433090023"/>
    <s v="0% paid"/>
    <n v="0"/>
  </r>
  <r>
    <s v="No"/>
    <x v="9"/>
    <x v="1"/>
    <s v="Battery racking"/>
    <m/>
    <m/>
    <s v="NGN"/>
    <n v="2.4330900243309003E-3"/>
    <n v="1"/>
    <n v="17500"/>
    <s v="No"/>
    <n v="42.579075425790755"/>
    <m/>
    <m/>
    <m/>
    <n v="42.579075425790755"/>
    <n v="1"/>
    <m/>
    <m/>
    <m/>
    <m/>
    <m/>
    <m/>
    <m/>
    <m/>
    <m/>
    <m/>
    <m/>
    <m/>
    <n v="0"/>
    <n v="42.579075425790755"/>
    <s v="0% paid"/>
    <n v="0"/>
  </r>
  <r>
    <s v="Half"/>
    <x v="9"/>
    <x v="1"/>
    <s v="Battery wiring"/>
    <m/>
    <m/>
    <s v="NGN"/>
    <n v="2.4330900243309003E-3"/>
    <n v="40"/>
    <n v="1000"/>
    <s v="Yes"/>
    <n v="104.6228710462287"/>
    <m/>
    <m/>
    <m/>
    <n v="104.6228710462287"/>
    <n v="1"/>
    <m/>
    <m/>
    <m/>
    <m/>
    <m/>
    <m/>
    <m/>
    <m/>
    <m/>
    <m/>
    <m/>
    <m/>
    <n v="0"/>
    <n v="104.6228710462287"/>
    <s v="0% paid"/>
    <n v="0"/>
  </r>
  <r>
    <s v="Half"/>
    <x v="9"/>
    <x v="1"/>
    <s v="Battery wiring lugs"/>
    <m/>
    <m/>
    <s v="NGN"/>
    <n v="2.4330900243309003E-3"/>
    <n v="40"/>
    <n v="400"/>
    <s v="Yes"/>
    <n v="41.849148418491481"/>
    <m/>
    <m/>
    <m/>
    <n v="41.849148418491481"/>
    <n v="1"/>
    <m/>
    <m/>
    <m/>
    <m/>
    <m/>
    <m/>
    <m/>
    <m/>
    <m/>
    <m/>
    <m/>
    <m/>
    <n v="0"/>
    <n v="41.849148418491481"/>
    <s v="0% paid"/>
    <n v="0"/>
  </r>
  <r>
    <s v="Half"/>
    <x v="9"/>
    <x v="1"/>
    <s v="Charge controller mounting hardware"/>
    <m/>
    <m/>
    <s v="NGN"/>
    <n v="2.4330900243309003E-3"/>
    <n v="10"/>
    <n v="400"/>
    <s v="Yes"/>
    <n v="10.46228710462287"/>
    <m/>
    <m/>
    <m/>
    <n v="10.46228710462287"/>
    <n v="1"/>
    <m/>
    <m/>
    <m/>
    <m/>
    <m/>
    <m/>
    <m/>
    <m/>
    <m/>
    <m/>
    <m/>
    <m/>
    <n v="0"/>
    <n v="10.46228710462287"/>
    <s v="0% paid"/>
    <n v="0"/>
  </r>
  <r>
    <s v="Half"/>
    <x v="9"/>
    <x v="1"/>
    <s v="Charge controller output wiring"/>
    <m/>
    <m/>
    <s v="NGN"/>
    <n v="2.4330900243309003E-3"/>
    <n v="20"/>
    <n v="1200"/>
    <s v="Yes"/>
    <n v="62.773722627737214"/>
    <m/>
    <m/>
    <m/>
    <n v="62.773722627737214"/>
    <n v="1"/>
    <m/>
    <m/>
    <m/>
    <m/>
    <m/>
    <m/>
    <m/>
    <m/>
    <m/>
    <m/>
    <m/>
    <m/>
    <n v="0"/>
    <n v="62.773722627737214"/>
    <s v="0% paid"/>
    <n v="0"/>
  </r>
  <r>
    <s v="Half"/>
    <x v="9"/>
    <x v="1"/>
    <s v="Combiner box output wiring"/>
    <m/>
    <s v="10 mm2 cable. Price is an estimate. Assuming 10 meters of cable (one-way) for each charge controller."/>
    <s v="NGN"/>
    <n v="2.4330900243309003E-3"/>
    <n v="200"/>
    <n v="700"/>
    <s v="Yes"/>
    <n v="366.18004866180041"/>
    <m/>
    <m/>
    <m/>
    <n v="366.18004866180041"/>
    <n v="1"/>
    <m/>
    <m/>
    <m/>
    <m/>
    <m/>
    <m/>
    <m/>
    <m/>
    <m/>
    <m/>
    <m/>
    <m/>
    <n v="0"/>
    <n v="366.18004866180041"/>
    <s v="0% paid"/>
    <n v="0"/>
  </r>
  <r>
    <s v="No"/>
    <x v="9"/>
    <x v="1"/>
    <s v="Conduit for outside cable runs"/>
    <m/>
    <m/>
    <s v="NGN"/>
    <n v="2.4330900243309003E-3"/>
    <n v="1"/>
    <n v="80000"/>
    <s v="Yes"/>
    <n v="209.24574209245739"/>
    <m/>
    <m/>
    <m/>
    <n v="209.24574209245739"/>
    <n v="1"/>
    <m/>
    <m/>
    <m/>
    <m/>
    <m/>
    <m/>
    <m/>
    <m/>
    <m/>
    <m/>
    <m/>
    <m/>
    <n v="0"/>
    <n v="209.24574209245739"/>
    <s v="0% paid"/>
    <n v="0"/>
  </r>
  <r>
    <s v="No"/>
    <x v="9"/>
    <x v="1"/>
    <s v="DC bus bars"/>
    <m/>
    <m/>
    <s v="NGN"/>
    <n v="2.4330900243309003E-3"/>
    <n v="2"/>
    <n v="35000"/>
    <s v="Yes"/>
    <n v="183.09002433090023"/>
    <m/>
    <m/>
    <m/>
    <n v="183.09002433090023"/>
    <n v="1"/>
    <m/>
    <m/>
    <m/>
    <m/>
    <m/>
    <m/>
    <m/>
    <m/>
    <m/>
    <m/>
    <m/>
    <m/>
    <n v="0"/>
    <n v="183.09002433090023"/>
    <s v="0% paid"/>
    <n v="0"/>
  </r>
  <r>
    <s v="No"/>
    <x v="9"/>
    <x v="1"/>
    <s v="Earthing pits for site"/>
    <m/>
    <m/>
    <s v="NGN"/>
    <n v="2.4330900243309003E-3"/>
    <n v="2"/>
    <n v="115000"/>
    <s v="No"/>
    <n v="559.6107055961071"/>
    <m/>
    <m/>
    <m/>
    <n v="559.6107055961071"/>
    <n v="1"/>
    <m/>
    <m/>
    <m/>
    <m/>
    <m/>
    <m/>
    <m/>
    <m/>
    <m/>
    <m/>
    <m/>
    <m/>
    <n v="0"/>
    <n v="559.6107055961071"/>
    <s v="0% paid"/>
    <n v="0"/>
  </r>
  <r>
    <s v="Half"/>
    <x v="9"/>
    <x v="1"/>
    <s v="Ethernet cables for inverter monitoring"/>
    <m/>
    <m/>
    <s v="NGN"/>
    <n v="2.4330900243309003E-3"/>
    <n v="3"/>
    <n v="1000"/>
    <s v="Yes"/>
    <n v="7.8467153284671536"/>
    <m/>
    <m/>
    <m/>
    <n v="7.8467153284671536"/>
    <n v="1"/>
    <m/>
    <m/>
    <m/>
    <m/>
    <m/>
    <m/>
    <m/>
    <m/>
    <m/>
    <m/>
    <m/>
    <m/>
    <n v="0"/>
    <n v="7.8467153284671536"/>
    <s v="0% paid"/>
    <n v="0"/>
  </r>
  <r>
    <s v="No"/>
    <x v="9"/>
    <x v="1"/>
    <s v="Frame for mounting inverters and switchgear"/>
    <m/>
    <m/>
    <s v="NGN"/>
    <n v="2.4330900243309003E-3"/>
    <n v="1"/>
    <n v="40000"/>
    <s v="Yes"/>
    <n v="104.6228710462287"/>
    <m/>
    <m/>
    <m/>
    <n v="104.6228710462287"/>
    <n v="1"/>
    <m/>
    <m/>
    <m/>
    <m/>
    <m/>
    <m/>
    <m/>
    <m/>
    <m/>
    <m/>
    <m/>
    <m/>
    <n v="0"/>
    <n v="104.6228710462287"/>
    <s v="0% paid"/>
    <n v="0"/>
  </r>
  <r>
    <s v="No"/>
    <x v="9"/>
    <x v="1"/>
    <s v="Hardware for frame for mounting inverters and switchgear"/>
    <m/>
    <m/>
    <s v="NGN"/>
    <n v="2.4330900243309003E-3"/>
    <n v="1"/>
    <n v="800"/>
    <s v="Yes"/>
    <n v="2.0924574209245739"/>
    <m/>
    <m/>
    <m/>
    <n v="2.0924574209245739"/>
    <n v="1"/>
    <m/>
    <m/>
    <m/>
    <m/>
    <m/>
    <m/>
    <m/>
    <m/>
    <m/>
    <m/>
    <m/>
    <m/>
    <n v="0"/>
    <n v="2.0924574209245739"/>
    <s v="0% paid"/>
    <n v="0"/>
  </r>
  <r>
    <s v="No"/>
    <x v="9"/>
    <x v="1"/>
    <s v="Inverter monitoring device power supply"/>
    <m/>
    <s v="Comes with Victron GX devices, but doesn't come with SMA, for example"/>
    <s v="NGN"/>
    <n v="2.4330900243309003E-3"/>
    <n v="0"/>
    <n v="0"/>
    <s v="No"/>
    <n v="0"/>
    <m/>
    <m/>
    <m/>
    <n v="0"/>
    <n v="1"/>
    <m/>
    <m/>
    <m/>
    <m/>
    <m/>
    <m/>
    <m/>
    <m/>
    <m/>
    <m/>
    <m/>
    <m/>
    <n v="0"/>
    <n v="0"/>
    <s v="Cancelled"/>
    <n v="0"/>
  </r>
  <r>
    <s v="No"/>
    <x v="9"/>
    <x v="1"/>
    <s v="Lightning arrestor cabling"/>
    <m/>
    <s v="Total guess"/>
    <s v="NGN"/>
    <n v="2.4330900243309003E-3"/>
    <n v="10"/>
    <n v="2000"/>
    <s v="Yes"/>
    <n v="52.311435523114348"/>
    <m/>
    <m/>
    <m/>
    <n v="52.311435523114348"/>
    <n v="1"/>
    <m/>
    <m/>
    <m/>
    <m/>
    <m/>
    <m/>
    <m/>
    <m/>
    <m/>
    <m/>
    <m/>
    <m/>
    <n v="0"/>
    <n v="52.311435523114348"/>
    <s v="0% paid"/>
    <n v="0"/>
  </r>
  <r>
    <s v="No"/>
    <x v="9"/>
    <x v="1"/>
    <s v="Lightning arrestor kit for site"/>
    <m/>
    <m/>
    <s v="NGN"/>
    <n v="2.4330900243309003E-3"/>
    <n v="1"/>
    <n v="20000"/>
    <s v="Yes"/>
    <n v="52.311435523114348"/>
    <m/>
    <m/>
    <m/>
    <n v="52.311435523114348"/>
    <n v="1"/>
    <m/>
    <m/>
    <m/>
    <m/>
    <m/>
    <m/>
    <m/>
    <m/>
    <m/>
    <m/>
    <m/>
    <m/>
    <n v="0"/>
    <n v="52.311435523114348"/>
    <s v="0% paid"/>
    <n v="0"/>
  </r>
  <r>
    <s v="Half"/>
    <x v="9"/>
    <x v="1"/>
    <s v="MC4 connectors"/>
    <m/>
    <m/>
    <s v="NGN"/>
    <n v="2.4330900243309003E-3"/>
    <n v="30"/>
    <n v="1500"/>
    <s v="Yes"/>
    <n v="117.70072992700727"/>
    <m/>
    <m/>
    <m/>
    <n v="117.70072992700727"/>
    <n v="1"/>
    <m/>
    <m/>
    <m/>
    <m/>
    <m/>
    <m/>
    <m/>
    <m/>
    <m/>
    <m/>
    <m/>
    <m/>
    <n v="0"/>
    <n v="117.70072992700727"/>
    <s v="0% paid"/>
    <n v="0"/>
  </r>
  <r>
    <s v="Half"/>
    <x v="9"/>
    <x v="1"/>
    <s v="PV Combiner Boxes"/>
    <m/>
    <m/>
    <s v="NGN"/>
    <n v="2.4330900243309003E-3"/>
    <n v="10"/>
    <n v="15000"/>
    <s v="Yes"/>
    <n v="392.3357664233576"/>
    <m/>
    <m/>
    <m/>
    <n v="392.3357664233576"/>
    <n v="1"/>
    <m/>
    <m/>
    <m/>
    <m/>
    <m/>
    <m/>
    <m/>
    <m/>
    <m/>
    <m/>
    <m/>
    <m/>
    <n v="0"/>
    <n v="392.3357664233576"/>
    <s v="0% paid"/>
    <n v="0"/>
  </r>
  <r>
    <s v="No"/>
    <x v="9"/>
    <x v="1"/>
    <s v="Racking earthing cables"/>
    <m/>
    <m/>
    <s v="NGN"/>
    <n v="2.4330900243309003E-3"/>
    <n v="50"/>
    <n v="1300"/>
    <s v="Yes"/>
    <n v="170.01216545012161"/>
    <m/>
    <m/>
    <m/>
    <n v="170.01216545012161"/>
    <n v="1"/>
    <m/>
    <m/>
    <m/>
    <m/>
    <m/>
    <m/>
    <m/>
    <m/>
    <m/>
    <m/>
    <m/>
    <m/>
    <n v="0"/>
    <n v="170.01216545012161"/>
    <s v="0% paid"/>
    <n v="0"/>
  </r>
  <r>
    <s v="Half"/>
    <x v="9"/>
    <x v="1"/>
    <s v="Solar panel string wiring"/>
    <m/>
    <m/>
    <s v="NGN"/>
    <n v="2.4330900243309003E-3"/>
    <n v="240"/>
    <n v="300"/>
    <s v="Yes"/>
    <n v="188.32116788321164"/>
    <m/>
    <m/>
    <m/>
    <n v="188.32116788321164"/>
    <n v="1"/>
    <m/>
    <m/>
    <m/>
    <m/>
    <m/>
    <m/>
    <m/>
    <m/>
    <m/>
    <m/>
    <m/>
    <m/>
    <n v="0"/>
    <n v="188.32116788321164"/>
    <s v="0% paid"/>
    <n v="0"/>
  </r>
  <r>
    <s v="No"/>
    <x v="9"/>
    <x v="1"/>
    <s v="Victron GX device and accessories"/>
    <m/>
    <m/>
    <s v="$"/>
    <n v="1"/>
    <n v="1"/>
    <n v="392.52"/>
    <s v="No"/>
    <n v="392.52"/>
    <m/>
    <m/>
    <m/>
    <n v="392.52"/>
    <n v="1"/>
    <m/>
    <m/>
    <m/>
    <m/>
    <m/>
    <m/>
    <m/>
    <m/>
    <m/>
    <m/>
    <m/>
    <m/>
    <n v="0"/>
    <n v="392.52"/>
    <s v="0% paid"/>
    <n v="0"/>
  </r>
  <r>
    <s v="No"/>
    <x v="9"/>
    <x v="1"/>
    <s v="Wiring from output breaker to grid"/>
    <m/>
    <m/>
    <s v="NGN"/>
    <n v="2.4330900243309003E-3"/>
    <n v="20"/>
    <n v="16000"/>
    <s v="Yes"/>
    <n v="836.98296836982956"/>
    <m/>
    <m/>
    <m/>
    <n v="836.98296836982956"/>
    <n v="1"/>
    <m/>
    <m/>
    <m/>
    <m/>
    <m/>
    <m/>
    <m/>
    <m/>
    <m/>
    <m/>
    <m/>
    <m/>
    <n v="0"/>
    <n v="836.98296836982956"/>
    <s v="0% paid"/>
    <n v="0"/>
  </r>
  <r>
    <s v="No"/>
    <x v="10"/>
    <x v="5"/>
    <s v="Gate house labor"/>
    <m/>
    <m/>
    <s v="NGN"/>
    <n v="2.4330900243309003E-3"/>
    <n v="1"/>
    <n v="70000"/>
    <s v="No"/>
    <n v="170.31630170316302"/>
    <m/>
    <m/>
    <m/>
    <n v="170.31630170316302"/>
    <n v="1"/>
    <m/>
    <m/>
    <m/>
    <m/>
    <m/>
    <m/>
    <m/>
    <m/>
    <m/>
    <m/>
    <m/>
    <m/>
    <n v="0"/>
    <n v="170.31630170316302"/>
    <s v="0% paid"/>
    <n v="0"/>
  </r>
  <r>
    <s v="No"/>
    <x v="10"/>
    <x v="5"/>
    <s v="Site preparation"/>
    <m/>
    <m/>
    <s v="NGN"/>
    <n v="2.4330900243309003E-3"/>
    <n v="1"/>
    <n v="50000"/>
    <s v="No"/>
    <n v="121.65450121654501"/>
    <m/>
    <m/>
    <m/>
    <n v="121.65450121654501"/>
    <n v="1"/>
    <m/>
    <m/>
    <m/>
    <m/>
    <m/>
    <m/>
    <m/>
    <m/>
    <m/>
    <m/>
    <m/>
    <m/>
    <n v="0"/>
    <n v="121.65450121654501"/>
    <s v="0% paid"/>
    <n v="0"/>
  </r>
  <r>
    <s v="No"/>
    <x v="10"/>
    <x v="5"/>
    <s v="Toilets labor"/>
    <m/>
    <m/>
    <s v="NGN"/>
    <n v="2.4330900243309003E-3"/>
    <n v="1"/>
    <n v="70000"/>
    <s v="No"/>
    <n v="170.31630170316302"/>
    <m/>
    <m/>
    <m/>
    <n v="170.31630170316302"/>
    <n v="1"/>
    <m/>
    <m/>
    <m/>
    <m/>
    <m/>
    <m/>
    <m/>
    <m/>
    <m/>
    <m/>
    <m/>
    <m/>
    <n v="0"/>
    <n v="170.31630170316302"/>
    <s v="0% paid"/>
    <n v="0"/>
  </r>
  <r>
    <s v="No"/>
    <x v="10"/>
    <x v="5"/>
    <s v="Trenching"/>
    <m/>
    <m/>
    <s v="NGN"/>
    <n v="2.4330900243309003E-3"/>
    <n v="1"/>
    <n v="30000"/>
    <s v="No"/>
    <n v="72.992700729927009"/>
    <m/>
    <m/>
    <m/>
    <n v="72.992700729927009"/>
    <n v="1"/>
    <m/>
    <m/>
    <m/>
    <m/>
    <m/>
    <m/>
    <m/>
    <m/>
    <m/>
    <m/>
    <m/>
    <m/>
    <n v="0"/>
    <n v="72.992700729927009"/>
    <s v="0% paid"/>
    <n v="0"/>
  </r>
  <r>
    <s v="No"/>
    <x v="10"/>
    <x v="1"/>
    <s v="External lighting"/>
    <m/>
    <m/>
    <s v="NGN"/>
    <n v="2.4330900243309003E-3"/>
    <n v="1"/>
    <n v="15000"/>
    <s v="Yes"/>
    <n v="39.233576642335763"/>
    <m/>
    <m/>
    <m/>
    <n v="39.233576642335763"/>
    <n v="1"/>
    <m/>
    <m/>
    <m/>
    <m/>
    <m/>
    <m/>
    <m/>
    <m/>
    <m/>
    <m/>
    <m/>
    <m/>
    <n v="0"/>
    <n v="39.233576642335763"/>
    <s v="0% paid"/>
    <n v="0"/>
  </r>
  <r>
    <s v="No"/>
    <x v="10"/>
    <x v="1"/>
    <s v="External lighting wiring"/>
    <m/>
    <m/>
    <s v="NGN"/>
    <n v="2.4330900243309003E-3"/>
    <n v="20"/>
    <n v="400"/>
    <s v="Yes"/>
    <n v="20.924574209245741"/>
    <m/>
    <m/>
    <m/>
    <n v="20.924574209245741"/>
    <n v="1"/>
    <m/>
    <m/>
    <m/>
    <m/>
    <m/>
    <m/>
    <m/>
    <m/>
    <m/>
    <m/>
    <m/>
    <m/>
    <n v="0"/>
    <n v="20.924574209245741"/>
    <s v="0% paid"/>
    <n v="0"/>
  </r>
  <r>
    <s v="No"/>
    <x v="10"/>
    <x v="1"/>
    <s v="Gate house"/>
    <m/>
    <m/>
    <s v="NGN"/>
    <n v="2.4330900243309003E-3"/>
    <n v="1"/>
    <n v="350000"/>
    <s v="No"/>
    <n v="851.58150851581513"/>
    <m/>
    <m/>
    <m/>
    <n v="851.58150851581513"/>
    <n v="1"/>
    <m/>
    <m/>
    <m/>
    <m/>
    <m/>
    <m/>
    <m/>
    <m/>
    <m/>
    <m/>
    <m/>
    <m/>
    <n v="0"/>
    <n v="851.58150851581513"/>
    <s v="0% paid"/>
    <n v="0"/>
  </r>
  <r>
    <s v="No"/>
    <x v="10"/>
    <x v="1"/>
    <s v="Padlocks"/>
    <m/>
    <m/>
    <s v="NGN"/>
    <n v="2.4330900243309003E-3"/>
    <n v="2"/>
    <n v="2000"/>
    <s v="Yes"/>
    <n v="10.46228710462287"/>
    <m/>
    <m/>
    <m/>
    <n v="10.46228710462287"/>
    <n v="1"/>
    <m/>
    <m/>
    <m/>
    <m/>
    <m/>
    <m/>
    <m/>
    <m/>
    <m/>
    <m/>
    <m/>
    <m/>
    <n v="0"/>
    <n v="10.46228710462287"/>
    <s v="0% paid"/>
    <n v="0"/>
  </r>
  <r>
    <s v="No"/>
    <x v="10"/>
    <x v="1"/>
    <s v="Site tools kit"/>
    <m/>
    <s v="Full tool sets for technicians to have access to whenever needed, including multimeter."/>
    <s v="NGN"/>
    <n v="2.4330900243309003E-3"/>
    <n v="1"/>
    <n v="80000"/>
    <s v="Yes"/>
    <n v="209.24574209245739"/>
    <m/>
    <m/>
    <m/>
    <n v="209.24574209245739"/>
    <n v="1"/>
    <m/>
    <m/>
    <m/>
    <m/>
    <m/>
    <m/>
    <m/>
    <m/>
    <m/>
    <m/>
    <m/>
    <m/>
    <n v="0"/>
    <n v="209.24574209245739"/>
    <s v="0% paid"/>
    <n v="0"/>
  </r>
  <r>
    <s v="No"/>
    <x v="10"/>
    <x v="1"/>
    <s v="Toilets"/>
    <m/>
    <m/>
    <s v="NGN"/>
    <n v="2.4330900243309003E-3"/>
    <n v="1"/>
    <n v="300000"/>
    <s v="No"/>
    <n v="729.92700729927014"/>
    <m/>
    <m/>
    <m/>
    <n v="729.92700729927014"/>
    <n v="1"/>
    <m/>
    <m/>
    <m/>
    <m/>
    <m/>
    <m/>
    <m/>
    <m/>
    <m/>
    <m/>
    <m/>
    <m/>
    <n v="0"/>
    <n v="729.92700729927014"/>
    <s v="0% paid"/>
    <n v="0"/>
  </r>
  <r>
    <s v="No"/>
    <x v="11"/>
    <x v="5"/>
    <s v="Construction labor"/>
    <m/>
    <m/>
    <s v="NGN"/>
    <n v="2.4330900243309003E-3"/>
    <n v="0"/>
    <n v="0"/>
    <s v="No"/>
    <n v="0"/>
    <m/>
    <m/>
    <m/>
    <n v="0"/>
    <n v="1"/>
    <m/>
    <m/>
    <m/>
    <m/>
    <m/>
    <m/>
    <m/>
    <m/>
    <m/>
    <m/>
    <m/>
    <m/>
    <n v="0"/>
    <n v="0"/>
    <s v="Cancelled"/>
    <n v="0"/>
  </r>
  <r>
    <s v="No"/>
    <x v="11"/>
    <x v="5"/>
    <s v="Foundation labor"/>
    <m/>
    <m/>
    <s v="NGN"/>
    <n v="2.4330900243309003E-3"/>
    <n v="1"/>
    <n v="35000"/>
    <s v="No"/>
    <n v="85.15815085158151"/>
    <m/>
    <m/>
    <m/>
    <n v="85.15815085158151"/>
    <n v="1"/>
    <m/>
    <m/>
    <m/>
    <m/>
    <m/>
    <m/>
    <m/>
    <m/>
    <m/>
    <m/>
    <m/>
    <m/>
    <n v="0"/>
    <n v="85.15815085158151"/>
    <s v="0% paid"/>
    <n v="0"/>
  </r>
  <r>
    <s v="No"/>
    <x v="11"/>
    <x v="1"/>
    <s v="Air conditioner"/>
    <m/>
    <m/>
    <s v="NGN"/>
    <n v="2.4330900243309003E-3"/>
    <n v="0"/>
    <n v="0"/>
    <s v="Yes"/>
    <n v="0"/>
    <m/>
    <m/>
    <m/>
    <n v="0"/>
    <n v="1"/>
    <m/>
    <m/>
    <m/>
    <m/>
    <m/>
    <m/>
    <m/>
    <m/>
    <m/>
    <m/>
    <m/>
    <m/>
    <n v="0"/>
    <n v="0"/>
    <s v="Cancelled"/>
    <n v="0"/>
  </r>
  <r>
    <s v="No"/>
    <x v="11"/>
    <x v="1"/>
    <s v="Chairs"/>
    <m/>
    <m/>
    <s v="NGN"/>
    <n v="2.4330900243309003E-3"/>
    <n v="1"/>
    <n v="3000"/>
    <s v="Yes"/>
    <n v="7.8467153284671527"/>
    <m/>
    <m/>
    <m/>
    <n v="7.8467153284671527"/>
    <n v="1"/>
    <m/>
    <m/>
    <m/>
    <m/>
    <m/>
    <m/>
    <m/>
    <m/>
    <m/>
    <m/>
    <m/>
    <m/>
    <n v="0"/>
    <n v="7.8467153284671527"/>
    <s v="0% paid"/>
    <n v="0"/>
  </r>
  <r>
    <s v="No"/>
    <x v="11"/>
    <x v="1"/>
    <s v="Desk"/>
    <m/>
    <m/>
    <s v="NGN"/>
    <n v="2.4330900243309003E-3"/>
    <n v="1"/>
    <n v="12000"/>
    <s v="Yes"/>
    <n v="31.386861313868611"/>
    <m/>
    <m/>
    <m/>
    <n v="31.386861313868611"/>
    <n v="1"/>
    <m/>
    <m/>
    <m/>
    <m/>
    <m/>
    <m/>
    <m/>
    <m/>
    <m/>
    <m/>
    <m/>
    <m/>
    <n v="0"/>
    <n v="31.386861313868611"/>
    <s v="0% paid"/>
    <n v="0"/>
  </r>
  <r>
    <s v="No"/>
    <x v="11"/>
    <x v="1"/>
    <s v="Fire extinguisher"/>
    <m/>
    <m/>
    <s v="NGN"/>
    <n v="2.4330900243309003E-3"/>
    <n v="1"/>
    <n v="40000"/>
    <s v="Yes"/>
    <n v="104.6228710462287"/>
    <m/>
    <m/>
    <m/>
    <n v="104.6228710462287"/>
    <n v="1"/>
    <m/>
    <m/>
    <m/>
    <m/>
    <m/>
    <m/>
    <m/>
    <m/>
    <m/>
    <m/>
    <m/>
    <m/>
    <n v="0"/>
    <n v="104.6228710462287"/>
    <s v="0% paid"/>
    <n v="0"/>
  </r>
  <r>
    <s v="No"/>
    <x v="11"/>
    <x v="1"/>
    <s v="First aid kit"/>
    <m/>
    <m/>
    <s v="NGN"/>
    <n v="2.4330900243309003E-3"/>
    <n v="1"/>
    <n v="30000"/>
    <s v="Yes"/>
    <n v="78.467153284671525"/>
    <m/>
    <m/>
    <m/>
    <n v="78.467153284671525"/>
    <n v="1"/>
    <m/>
    <m/>
    <m/>
    <m/>
    <m/>
    <m/>
    <m/>
    <m/>
    <m/>
    <m/>
    <m/>
    <m/>
    <n v="0"/>
    <n v="78.467153284671525"/>
    <s v="0% paid"/>
    <n v="0"/>
  </r>
  <r>
    <s v="No"/>
    <x v="11"/>
    <x v="1"/>
    <s v="Foundation"/>
    <m/>
    <m/>
    <s v="NGN"/>
    <n v="2.4330900243309003E-3"/>
    <n v="1"/>
    <n v="150000"/>
    <s v="No"/>
    <n v="364.96350364963507"/>
    <m/>
    <m/>
    <m/>
    <n v="364.96350364963507"/>
    <n v="1"/>
    <m/>
    <m/>
    <m/>
    <m/>
    <m/>
    <m/>
    <m/>
    <m/>
    <m/>
    <m/>
    <m/>
    <m/>
    <n v="0"/>
    <n v="364.96350364963507"/>
    <s v="0% paid"/>
    <n v="0"/>
  </r>
  <r>
    <s v="No"/>
    <x v="11"/>
    <x v="1"/>
    <s v="Internal lights"/>
    <m/>
    <m/>
    <s v="NGN"/>
    <n v="2.4330900243309003E-3"/>
    <n v="2"/>
    <n v="1500"/>
    <s v="Yes"/>
    <n v="7.8467153284671527"/>
    <m/>
    <m/>
    <m/>
    <n v="7.8467153284671527"/>
    <n v="1"/>
    <m/>
    <m/>
    <m/>
    <m/>
    <m/>
    <m/>
    <m/>
    <m/>
    <m/>
    <m/>
    <m/>
    <m/>
    <n v="0"/>
    <n v="7.8467153284671527"/>
    <s v="0% paid"/>
    <n v="0"/>
  </r>
  <r>
    <s v="No"/>
    <x v="11"/>
    <x v="1"/>
    <s v="Internal wiring"/>
    <m/>
    <m/>
    <s v="NGN"/>
    <n v="2.4330900243309003E-3"/>
    <n v="1"/>
    <n v="8000"/>
    <s v="Yes"/>
    <n v="20.924574209245741"/>
    <m/>
    <m/>
    <m/>
    <n v="20.924574209245741"/>
    <n v="1"/>
    <m/>
    <m/>
    <m/>
    <m/>
    <m/>
    <m/>
    <m/>
    <m/>
    <m/>
    <m/>
    <m/>
    <m/>
    <n v="0"/>
    <n v="20.924574209245741"/>
    <s v="0% paid"/>
    <n v="0"/>
  </r>
  <r>
    <s v="No"/>
    <x v="11"/>
    <x v="1"/>
    <s v="Power house"/>
    <m/>
    <m/>
    <s v="NGN"/>
    <n v="2.4330900243309003E-3"/>
    <n v="1"/>
    <n v="1200000"/>
    <s v="Yes"/>
    <n v="3138.6861313868612"/>
    <m/>
    <m/>
    <m/>
    <n v="3138.6861313868612"/>
    <n v="1"/>
    <m/>
    <m/>
    <m/>
    <m/>
    <m/>
    <m/>
    <m/>
    <m/>
    <m/>
    <m/>
    <m/>
    <m/>
    <n v="0"/>
    <n v="3138.6861313868612"/>
    <s v="0% paid"/>
    <n v="0"/>
  </r>
  <r>
    <s v="No"/>
    <x v="11"/>
    <x v="1"/>
    <s v="Roofing and paint for power house"/>
    <m/>
    <m/>
    <s v="NGN"/>
    <n v="2.4330900243309003E-3"/>
    <n v="1"/>
    <n v="200000"/>
    <s v="No"/>
    <n v="486.61800486618006"/>
    <m/>
    <m/>
    <m/>
    <n v="486.61800486618006"/>
    <n v="1"/>
    <m/>
    <m/>
    <m/>
    <m/>
    <m/>
    <m/>
    <m/>
    <m/>
    <m/>
    <m/>
    <m/>
    <m/>
    <n v="0"/>
    <n v="486.61800486618006"/>
    <s v="0% paid"/>
    <n v="0"/>
  </r>
  <r>
    <s v="No"/>
    <x v="11"/>
    <x v="1"/>
    <s v="Trash bin"/>
    <m/>
    <m/>
    <s v="NGN"/>
    <n v="2.4330900243309003E-3"/>
    <n v="1"/>
    <n v="3500"/>
    <s v="Yes"/>
    <n v="9.154501216545011"/>
    <m/>
    <m/>
    <m/>
    <n v="9.154501216545011"/>
    <n v="1"/>
    <m/>
    <m/>
    <m/>
    <m/>
    <m/>
    <m/>
    <m/>
    <m/>
    <m/>
    <m/>
    <m/>
    <m/>
    <n v="0"/>
    <n v="9.154501216545011"/>
    <s v="0% paid"/>
    <n v="0"/>
  </r>
  <r>
    <s v="No"/>
    <x v="11"/>
    <x v="1"/>
    <s v="Visitors book"/>
    <m/>
    <m/>
    <s v="NGN"/>
    <n v="2.4330900243309003E-3"/>
    <n v="1"/>
    <n v="5000"/>
    <s v="Yes"/>
    <n v="13.077858880778587"/>
    <m/>
    <m/>
    <m/>
    <n v="13.077858880778587"/>
    <n v="1"/>
    <m/>
    <m/>
    <m/>
    <m/>
    <m/>
    <m/>
    <m/>
    <m/>
    <m/>
    <m/>
    <m/>
    <m/>
    <n v="0"/>
    <n v="13.077858880778587"/>
    <s v="0% paid"/>
    <n v="0"/>
  </r>
  <r>
    <s v="Half"/>
    <x v="11"/>
    <x v="2"/>
    <s v="Power house cabinet transport by boat"/>
    <m/>
    <m/>
    <s v="NGN"/>
    <n v="2.4330900243309003E-3"/>
    <n v="0"/>
    <n v="75000"/>
    <s v="No"/>
    <n v="0"/>
    <m/>
    <m/>
    <m/>
    <n v="0"/>
    <n v="1"/>
    <m/>
    <m/>
    <m/>
    <m/>
    <m/>
    <m/>
    <m/>
    <m/>
    <m/>
    <m/>
    <m/>
    <m/>
    <n v="0"/>
    <n v="0"/>
    <s v="Cancelled"/>
    <n v="0"/>
  </r>
  <r>
    <s v="Yes"/>
    <x v="11"/>
    <x v="2"/>
    <s v="Power house transport by road"/>
    <m/>
    <m/>
    <s v="NGN"/>
    <n v="2.4330900243309003E-3"/>
    <n v="1"/>
    <n v="200000"/>
    <s v="No"/>
    <n v="486.61800486618006"/>
    <m/>
    <m/>
    <m/>
    <n v="486.61800486618006"/>
    <n v="1"/>
    <m/>
    <m/>
    <m/>
    <m/>
    <m/>
    <m/>
    <m/>
    <m/>
    <m/>
    <m/>
    <m/>
    <m/>
    <n v="0"/>
    <n v="486.61800486618006"/>
    <s v="0% paid"/>
    <n v="0"/>
  </r>
  <r>
    <s v="Yes"/>
    <x v="12"/>
    <x v="0"/>
    <s v="Clearing agent fees"/>
    <m/>
    <m/>
    <s v="NGN"/>
    <n v="2.4330900243309003E-3"/>
    <n v="1"/>
    <n v="137000"/>
    <s v="Yes"/>
    <n v="358.33333333333331"/>
    <m/>
    <m/>
    <m/>
    <n v="358.33333333333331"/>
    <n v="1"/>
    <m/>
    <m/>
    <m/>
    <m/>
    <m/>
    <m/>
    <m/>
    <m/>
    <m/>
    <m/>
    <m/>
    <m/>
    <n v="0"/>
    <n v="358.33333333333331"/>
    <s v="0% paid"/>
    <n v="0"/>
  </r>
  <r>
    <s v="Yes"/>
    <x v="12"/>
    <x v="0"/>
    <s v="Inspection Fee"/>
    <s v="SGS"/>
    <m/>
    <s v="NGN"/>
    <n v="2.4330900243309003E-3"/>
    <n v="1"/>
    <n v="102750"/>
    <s v="No"/>
    <n v="250"/>
    <m/>
    <m/>
    <m/>
    <n v="250"/>
    <n v="1"/>
    <m/>
    <m/>
    <m/>
    <m/>
    <m/>
    <m/>
    <m/>
    <m/>
    <m/>
    <m/>
    <m/>
    <m/>
    <n v="0"/>
    <n v="250"/>
    <s v="0% paid"/>
    <n v="0"/>
  </r>
  <r>
    <s v="Yes"/>
    <x v="12"/>
    <x v="0"/>
    <s v="Non-VAT Customs"/>
    <s v="NCS"/>
    <m/>
    <s v="NGN"/>
    <n v="2.4330900243309003E-3"/>
    <n v="1"/>
    <n v="303919"/>
    <s v="No"/>
    <n v="739.46228710462287"/>
    <m/>
    <m/>
    <m/>
    <n v="739.46228710462287"/>
    <n v="1"/>
    <m/>
    <m/>
    <m/>
    <m/>
    <m/>
    <m/>
    <m/>
    <m/>
    <m/>
    <m/>
    <m/>
    <m/>
    <n v="0"/>
    <n v="739.46228710462287"/>
    <s v="0% paid"/>
    <n v="0"/>
  </r>
  <r>
    <s v="Yes"/>
    <x v="12"/>
    <x v="0"/>
    <s v="Port fees"/>
    <s v="NPA"/>
    <m/>
    <s v="NGN"/>
    <n v="2.4330900243309003E-3"/>
    <n v="1"/>
    <n v="218703.375"/>
    <s v="No"/>
    <n v="532.125"/>
    <m/>
    <m/>
    <m/>
    <n v="532.125"/>
    <n v="1"/>
    <m/>
    <m/>
    <m/>
    <m/>
    <m/>
    <m/>
    <m/>
    <m/>
    <m/>
    <m/>
    <m/>
    <m/>
    <n v="0"/>
    <n v="532.125"/>
    <s v="0% paid"/>
    <n v="0"/>
  </r>
  <r>
    <s v="Yes"/>
    <x v="12"/>
    <x v="0"/>
    <s v="VAT"/>
    <s v="NPA"/>
    <m/>
    <s v="NGN"/>
    <n v="2.4330900243309003E-3"/>
    <n v="1"/>
    <n v="9639.2756250000002"/>
    <s v="Only VAT"/>
    <n v="23.453225364963505"/>
    <m/>
    <m/>
    <m/>
    <n v="23.453225364963505"/>
    <n v="1"/>
    <m/>
    <m/>
    <m/>
    <m/>
    <m/>
    <m/>
    <m/>
    <m/>
    <m/>
    <m/>
    <m/>
    <m/>
    <n v="0"/>
    <n v="23.453225364963505"/>
    <s v="0% paid"/>
    <n v="0"/>
  </r>
  <r>
    <s v="No"/>
    <x v="12"/>
    <x v="5"/>
    <s v="Loading of racking materials"/>
    <m/>
    <m/>
    <s v="NGN"/>
    <n v="2.4330900243309003E-3"/>
    <n v="1"/>
    <n v="15000"/>
    <s v="Yes"/>
    <n v="39.233576642335763"/>
    <m/>
    <m/>
    <m/>
    <n v="39.233576642335763"/>
    <n v="1"/>
    <m/>
    <m/>
    <m/>
    <m/>
    <m/>
    <m/>
    <m/>
    <m/>
    <m/>
    <m/>
    <m/>
    <m/>
    <n v="0"/>
    <n v="39.233576642335763"/>
    <s v="0% paid"/>
    <n v="0"/>
  </r>
  <r>
    <s v="No"/>
    <x v="12"/>
    <x v="5"/>
    <s v="Offloading of racking materials"/>
    <m/>
    <m/>
    <s v="NGN"/>
    <n v="2.4330900243309003E-3"/>
    <n v="1"/>
    <n v="15000"/>
    <s v="Yes"/>
    <n v="39.233576642335763"/>
    <m/>
    <m/>
    <m/>
    <n v="39.233576642335763"/>
    <n v="1"/>
    <m/>
    <m/>
    <m/>
    <m/>
    <m/>
    <m/>
    <m/>
    <m/>
    <m/>
    <m/>
    <m/>
    <m/>
    <n v="0"/>
    <n v="39.233576642335763"/>
    <s v="0% paid"/>
    <n v="0"/>
  </r>
  <r>
    <s v="Yes"/>
    <x v="12"/>
    <x v="5"/>
    <s v="Racking labour"/>
    <m/>
    <m/>
    <s v="$"/>
    <n v="1"/>
    <n v="48600"/>
    <n v="0.01"/>
    <s v="No"/>
    <n v="486"/>
    <m/>
    <m/>
    <m/>
    <n v="486"/>
    <n v="1"/>
    <m/>
    <m/>
    <m/>
    <m/>
    <m/>
    <m/>
    <m/>
    <m/>
    <m/>
    <m/>
    <m/>
    <m/>
    <n v="0"/>
    <n v="486"/>
    <s v="0% paid"/>
    <n v="0"/>
  </r>
  <r>
    <s v="Yes"/>
    <x v="12"/>
    <x v="1"/>
    <s v="Racking"/>
    <m/>
    <m/>
    <s v="$"/>
    <n v="1"/>
    <n v="48600"/>
    <n v="0.05"/>
    <s v="No"/>
    <n v="2430"/>
    <m/>
    <m/>
    <m/>
    <n v="2430"/>
    <n v="1"/>
    <m/>
    <m/>
    <m/>
    <m/>
    <m/>
    <m/>
    <m/>
    <m/>
    <m/>
    <m/>
    <m/>
    <m/>
    <n v="0"/>
    <n v="2430"/>
    <s v="0% paid"/>
    <n v="0"/>
  </r>
  <r>
    <s v="Half"/>
    <x v="12"/>
    <x v="1"/>
    <s v="Racking foundations"/>
    <m/>
    <m/>
    <s v="NGN"/>
    <n v="2.4330900243309003E-3"/>
    <n v="48600"/>
    <n v="4"/>
    <s v="No"/>
    <n v="472.99270072992704"/>
    <m/>
    <m/>
    <m/>
    <n v="472.99270072992704"/>
    <n v="1"/>
    <m/>
    <m/>
    <m/>
    <m/>
    <m/>
    <m/>
    <m/>
    <m/>
    <m/>
    <m/>
    <m/>
    <m/>
    <n v="0"/>
    <n v="472.99270072992704"/>
    <s v="0% paid"/>
    <n v="0"/>
  </r>
  <r>
    <s v="No"/>
    <x v="12"/>
    <x v="2"/>
    <s v="Racking foundations materials transport"/>
    <m/>
    <m/>
    <s v="NGN"/>
    <n v="2.4330900243309003E-3"/>
    <n v="1"/>
    <n v="175000"/>
    <s v="No"/>
    <n v="425.79075425790757"/>
    <m/>
    <m/>
    <m/>
    <n v="425.79075425790757"/>
    <n v="1"/>
    <m/>
    <m/>
    <m/>
    <m/>
    <m/>
    <m/>
    <m/>
    <m/>
    <m/>
    <m/>
    <m/>
    <m/>
    <n v="0"/>
    <n v="425.79075425790757"/>
    <s v="0% paid"/>
    <n v="0"/>
  </r>
  <r>
    <s v="No"/>
    <x v="12"/>
    <x v="2"/>
    <s v="Racking international transport"/>
    <m/>
    <m/>
    <s v="$"/>
    <n v="1"/>
    <n v="1"/>
    <n v="4000"/>
    <s v="No"/>
    <n v="4000"/>
    <m/>
    <m/>
    <m/>
    <n v="4000"/>
    <n v="1"/>
    <m/>
    <m/>
    <m/>
    <m/>
    <m/>
    <m/>
    <m/>
    <m/>
    <m/>
    <m/>
    <m/>
    <m/>
    <n v="0"/>
    <n v="4000"/>
    <s v="0% paid"/>
    <n v="0"/>
  </r>
  <r>
    <s v="Yes"/>
    <x v="12"/>
    <x v="2"/>
    <s v="Transport to site"/>
    <m/>
    <m/>
    <s v="NGN"/>
    <n v="2.4330900243309003E-3"/>
    <n v="1"/>
    <n v="100000"/>
    <s v="No"/>
    <n v="243.30900243309003"/>
    <m/>
    <m/>
    <m/>
    <n v="243.30900243309003"/>
    <n v="1"/>
    <m/>
    <m/>
    <m/>
    <m/>
    <m/>
    <m/>
    <m/>
    <m/>
    <m/>
    <m/>
    <m/>
    <m/>
    <n v="0"/>
    <n v="243.30900243309003"/>
    <s v="0% paid"/>
    <n v="0"/>
  </r>
  <r>
    <s v="No"/>
    <x v="13"/>
    <x v="6"/>
    <s v="Importing contingency"/>
    <m/>
    <s v="Every time we import solar panels, incorrect and surprise charges end up sticking to us and we're forced to pay."/>
    <s v="NGN"/>
    <n v="2.4330900243309003E-3"/>
    <n v="1"/>
    <n v="1000000"/>
    <s v="No"/>
    <n v="2433.0900243309002"/>
    <m/>
    <m/>
    <m/>
    <n v="2433.0900243309002"/>
    <n v="1"/>
    <m/>
    <m/>
    <m/>
    <m/>
    <m/>
    <m/>
    <m/>
    <m/>
    <m/>
    <m/>
    <m/>
    <m/>
    <n v="0"/>
    <n v="2433.0900243309002"/>
    <s v="0% paid"/>
    <n v="0"/>
  </r>
  <r>
    <s v="Yes"/>
    <x v="13"/>
    <x v="0"/>
    <s v="Clearing agent fees"/>
    <m/>
    <m/>
    <s v="NGN"/>
    <n v="2.4330900243309003E-3"/>
    <n v="1"/>
    <n v="137000"/>
    <s v="Yes"/>
    <n v="358.33333333333331"/>
    <m/>
    <m/>
    <m/>
    <n v="358.33333333333331"/>
    <n v="1"/>
    <m/>
    <m/>
    <m/>
    <m/>
    <m/>
    <m/>
    <m/>
    <m/>
    <m/>
    <m/>
    <m/>
    <m/>
    <n v="0"/>
    <n v="358.33333333333331"/>
    <s v="0% paid"/>
    <n v="0"/>
  </r>
  <r>
    <s v="Yes"/>
    <x v="13"/>
    <x v="0"/>
    <s v="Inspection Fee"/>
    <s v="SGS"/>
    <m/>
    <s v="NGN"/>
    <n v="2.4330900243309003E-3"/>
    <n v="1"/>
    <n v="14915.322580645163"/>
    <s v="No"/>
    <n v="36.290322580645167"/>
    <m/>
    <m/>
    <m/>
    <n v="36.290322580645167"/>
    <n v="1"/>
    <m/>
    <m/>
    <m/>
    <m/>
    <m/>
    <m/>
    <m/>
    <m/>
    <m/>
    <m/>
    <m/>
    <m/>
    <n v="0"/>
    <n v="36.290322580645167"/>
    <s v="0% paid"/>
    <n v="0"/>
  </r>
  <r>
    <s v="Yes"/>
    <x v="13"/>
    <x v="0"/>
    <s v="Non-VAT Customs"/>
    <s v="NCS"/>
    <m/>
    <s v="NGN"/>
    <n v="2.4330900243309003E-3"/>
    <n v="1"/>
    <n v="82990"/>
    <s v="No"/>
    <n v="201.92214111922141"/>
    <m/>
    <m/>
    <m/>
    <n v="201.92214111922141"/>
    <n v="1"/>
    <m/>
    <m/>
    <m/>
    <m/>
    <m/>
    <m/>
    <m/>
    <m/>
    <m/>
    <m/>
    <m/>
    <m/>
    <n v="0"/>
    <n v="201.92214111922141"/>
    <s v="0% paid"/>
    <n v="0"/>
  </r>
  <r>
    <s v="Yes"/>
    <x v="13"/>
    <x v="0"/>
    <s v="Port fees"/>
    <s v="NPA"/>
    <m/>
    <s v="NGN"/>
    <n v="2.4330900243309003E-3"/>
    <n v="1"/>
    <n v="31747.264112903227"/>
    <s v="No"/>
    <n v="77.243951612903231"/>
    <m/>
    <m/>
    <m/>
    <n v="77.243951612903231"/>
    <n v="1"/>
    <m/>
    <m/>
    <m/>
    <m/>
    <m/>
    <m/>
    <m/>
    <m/>
    <m/>
    <m/>
    <m/>
    <m/>
    <n v="0"/>
    <n v="77.243951612903231"/>
    <s v="0% paid"/>
    <n v="0"/>
  </r>
  <r>
    <s v="Yes"/>
    <x v="13"/>
    <x v="0"/>
    <s v="VAT"/>
    <s v="NCS"/>
    <m/>
    <s v="NGN"/>
    <n v="2.4330900243309003E-3"/>
    <n v="1"/>
    <n v="0"/>
    <s v="Only VAT"/>
    <n v="0"/>
    <m/>
    <m/>
    <m/>
    <n v="0"/>
    <n v="1"/>
    <m/>
    <m/>
    <m/>
    <m/>
    <m/>
    <m/>
    <m/>
    <m/>
    <m/>
    <m/>
    <m/>
    <m/>
    <n v="0"/>
    <n v="0"/>
    <s v="Cancelled"/>
    <n v="0"/>
  </r>
  <r>
    <s v="No"/>
    <x v="13"/>
    <x v="5"/>
    <s v="Loading of solar panels"/>
    <m/>
    <m/>
    <s v="NGN"/>
    <n v="2.4330900243309003E-3"/>
    <n v="1"/>
    <n v="15000"/>
    <s v="No"/>
    <n v="36.496350364963504"/>
    <m/>
    <m/>
    <m/>
    <n v="36.496350364963504"/>
    <n v="1"/>
    <m/>
    <m/>
    <m/>
    <m/>
    <m/>
    <m/>
    <m/>
    <m/>
    <m/>
    <m/>
    <m/>
    <m/>
    <n v="0"/>
    <n v="36.496350364963504"/>
    <s v="0% paid"/>
    <n v="0"/>
  </r>
  <r>
    <s v="No"/>
    <x v="13"/>
    <x v="5"/>
    <s v="Offloading of solar panels"/>
    <m/>
    <m/>
    <s v="NGN"/>
    <n v="2.4330900243309003E-3"/>
    <n v="1"/>
    <n v="15000"/>
    <s v="No"/>
    <n v="36.496350364963504"/>
    <m/>
    <m/>
    <m/>
    <n v="36.496350364963504"/>
    <n v="1"/>
    <m/>
    <m/>
    <m/>
    <m/>
    <m/>
    <m/>
    <m/>
    <m/>
    <m/>
    <m/>
    <m/>
    <m/>
    <n v="0"/>
    <n v="36.496350364963504"/>
    <s v="0% paid"/>
    <n v="0"/>
  </r>
  <r>
    <s v="Yes"/>
    <x v="13"/>
    <x v="1"/>
    <s v="Solar panels"/>
    <s v="Jinko"/>
    <m/>
    <s v="$"/>
    <n v="1"/>
    <n v="90"/>
    <n v="147.42000000000002"/>
    <s v="No"/>
    <n v="13267.800000000001"/>
    <m/>
    <m/>
    <m/>
    <n v="13267.800000000001"/>
    <n v="1"/>
    <m/>
    <m/>
    <m/>
    <m/>
    <m/>
    <m/>
    <m/>
    <m/>
    <m/>
    <m/>
    <m/>
    <m/>
    <n v="0"/>
    <n v="13267.800000000001"/>
    <s v="0% paid"/>
    <n v="0"/>
  </r>
  <r>
    <s v="Yes"/>
    <x v="13"/>
    <x v="2"/>
    <s v="International transport"/>
    <s v="Jinko"/>
    <m/>
    <s v="$"/>
    <n v="1"/>
    <n v="90"/>
    <n v="6.4516129032258061"/>
    <s v="No"/>
    <n v="580.64516129032256"/>
    <m/>
    <m/>
    <m/>
    <n v="580.64516129032256"/>
    <n v="1"/>
    <m/>
    <m/>
    <m/>
    <m/>
    <m/>
    <m/>
    <m/>
    <m/>
    <m/>
    <m/>
    <m/>
    <m/>
    <n v="0"/>
    <n v="580.64516129032256"/>
    <s v="0% paid"/>
    <n v="0"/>
  </r>
  <r>
    <s v="Yes"/>
    <x v="13"/>
    <x v="2"/>
    <s v="Transport to site"/>
    <m/>
    <m/>
    <s v="NGN"/>
    <n v="2.4330900243309003E-3"/>
    <n v="1"/>
    <n v="200000"/>
    <s v="No"/>
    <n v="486.61800486618006"/>
    <m/>
    <m/>
    <m/>
    <n v="486.61800486618006"/>
    <n v="1"/>
    <m/>
    <m/>
    <m/>
    <m/>
    <m/>
    <m/>
    <m/>
    <m/>
    <m/>
    <m/>
    <m/>
    <m/>
    <n v="0"/>
    <n v="486.61800486618006"/>
    <s v="0% paid"/>
    <n v="0"/>
  </r>
  <r>
    <s v="No"/>
    <x v="14"/>
    <x v="6"/>
    <s v="Boat rental contingency (for materials transport)"/>
    <m/>
    <m/>
    <s v="NGN"/>
    <n v="2.4330900243309003E-3"/>
    <n v="0"/>
    <n v="50000"/>
    <s v="No"/>
    <n v="0"/>
    <m/>
    <m/>
    <m/>
    <n v="0"/>
    <n v="1"/>
    <m/>
    <m/>
    <m/>
    <m/>
    <m/>
    <m/>
    <m/>
    <m/>
    <m/>
    <m/>
    <m/>
    <m/>
    <n v="0"/>
    <n v="0"/>
    <s v="Cancelled"/>
    <n v="0"/>
  </r>
  <r>
    <s v="No"/>
    <x v="14"/>
    <x v="4"/>
    <s v="Storage space rental"/>
    <m/>
    <m/>
    <s v="NGN"/>
    <n v="2.4330900243309003E-3"/>
    <n v="1"/>
    <n v="50000"/>
    <s v="No"/>
    <n v="121.65450121654501"/>
    <m/>
    <m/>
    <m/>
    <n v="121.65450121654501"/>
    <n v="1"/>
    <m/>
    <m/>
    <m/>
    <m/>
    <m/>
    <m/>
    <m/>
    <m/>
    <m/>
    <m/>
    <m/>
    <m/>
    <n v="0"/>
    <n v="121.65450121654501"/>
    <s v="0% paid"/>
    <n v="0"/>
  </r>
  <r>
    <s v="No"/>
    <x v="15"/>
    <x v="6"/>
    <s v="Transmission contingency"/>
    <m/>
    <m/>
    <s v="NGN"/>
    <n v="2.4330900243309003E-3"/>
    <n v="0"/>
    <n v="0"/>
    <s v="No"/>
    <n v="0"/>
    <m/>
    <m/>
    <m/>
    <n v="0"/>
    <n v="1"/>
    <m/>
    <m/>
    <m/>
    <m/>
    <m/>
    <m/>
    <m/>
    <m/>
    <m/>
    <m/>
    <m/>
    <m/>
    <n v="0"/>
    <n v="0"/>
    <s v="Cancelled"/>
    <n v="0"/>
  </r>
  <r>
    <s v="No"/>
    <x v="15"/>
    <x v="5"/>
    <s v="Pole offloading"/>
    <m/>
    <m/>
    <s v="NGN"/>
    <n v="2.4330900243309003E-3"/>
    <n v="0"/>
    <n v="0"/>
    <s v="No"/>
    <n v="0"/>
    <m/>
    <m/>
    <m/>
    <n v="0"/>
    <n v="1"/>
    <m/>
    <m/>
    <m/>
    <m/>
    <m/>
    <m/>
    <m/>
    <m/>
    <m/>
    <m/>
    <m/>
    <m/>
    <n v="0"/>
    <n v="0"/>
    <s v="Cancelled"/>
    <n v="0"/>
  </r>
  <r>
    <s v="No"/>
    <x v="15"/>
    <x v="5"/>
    <s v="Step-down transformer(s) earthing labor"/>
    <m/>
    <m/>
    <s v="NGN"/>
    <n v="2.4330900243309003E-3"/>
    <n v="0"/>
    <n v="0"/>
    <s v="No"/>
    <n v="0"/>
    <m/>
    <m/>
    <m/>
    <n v="0"/>
    <n v="1"/>
    <m/>
    <m/>
    <m/>
    <m/>
    <m/>
    <m/>
    <m/>
    <m/>
    <m/>
    <m/>
    <m/>
    <m/>
    <n v="0"/>
    <n v="0"/>
    <s v="Cancelled"/>
    <n v="0"/>
  </r>
  <r>
    <s v="No"/>
    <x v="15"/>
    <x v="5"/>
    <s v="Step-up transformer base labor"/>
    <m/>
    <m/>
    <s v="NGN"/>
    <n v="2.4330900243309003E-3"/>
    <n v="0"/>
    <n v="0"/>
    <s v="No"/>
    <n v="0"/>
    <m/>
    <m/>
    <m/>
    <n v="0"/>
    <n v="1"/>
    <m/>
    <m/>
    <m/>
    <m/>
    <m/>
    <m/>
    <m/>
    <m/>
    <m/>
    <m/>
    <m/>
    <m/>
    <n v="0"/>
    <n v="0"/>
    <s v="Cancelled"/>
    <n v="0"/>
  </r>
  <r>
    <s v="No"/>
    <x v="15"/>
    <x v="5"/>
    <s v="Step-up transformer earthing labor"/>
    <m/>
    <m/>
    <s v="NGN"/>
    <n v="2.4330900243309003E-3"/>
    <n v="0"/>
    <n v="0"/>
    <s v="No"/>
    <n v="0"/>
    <m/>
    <m/>
    <m/>
    <n v="0"/>
    <n v="1"/>
    <m/>
    <m/>
    <m/>
    <m/>
    <m/>
    <m/>
    <m/>
    <m/>
    <m/>
    <m/>
    <m/>
    <m/>
    <n v="0"/>
    <n v="0"/>
    <s v="Cancelled"/>
    <n v="0"/>
  </r>
  <r>
    <s v="No"/>
    <x v="15"/>
    <x v="5"/>
    <s v="Transmission labor"/>
    <m/>
    <m/>
    <s v="NGN"/>
    <n v="2.4330900243309003E-3"/>
    <n v="0"/>
    <n v="0"/>
    <s v="No"/>
    <n v="0"/>
    <m/>
    <m/>
    <m/>
    <n v="0"/>
    <n v="1"/>
    <m/>
    <m/>
    <m/>
    <m/>
    <m/>
    <m/>
    <m/>
    <m/>
    <m/>
    <m/>
    <m/>
    <m/>
    <n v="0"/>
    <n v="0"/>
    <s v="Cancelled"/>
    <n v="0"/>
  </r>
  <r>
    <s v="No"/>
    <x v="15"/>
    <x v="1"/>
    <s v="Step-down transformer(s)"/>
    <m/>
    <m/>
    <s v="NGN"/>
    <n v="2.4330900243309003E-3"/>
    <n v="0"/>
    <n v="0"/>
    <s v="Yes"/>
    <n v="0"/>
    <m/>
    <m/>
    <m/>
    <n v="0"/>
    <n v="1"/>
    <m/>
    <m/>
    <m/>
    <m/>
    <m/>
    <m/>
    <m/>
    <m/>
    <m/>
    <m/>
    <m/>
    <m/>
    <n v="0"/>
    <n v="0"/>
    <s v="Cancelled"/>
    <n v="0"/>
  </r>
  <r>
    <s v="No"/>
    <x v="15"/>
    <x v="1"/>
    <s v="Step-down transformer(s) earthing"/>
    <m/>
    <m/>
    <s v="NGN"/>
    <n v="2.4330900243309003E-3"/>
    <n v="0"/>
    <n v="0"/>
    <s v="No"/>
    <n v="0"/>
    <m/>
    <m/>
    <m/>
    <n v="0"/>
    <n v="1"/>
    <m/>
    <m/>
    <m/>
    <m/>
    <m/>
    <m/>
    <m/>
    <m/>
    <m/>
    <m/>
    <m/>
    <m/>
    <n v="0"/>
    <n v="0"/>
    <s v="Cancelled"/>
    <n v="0"/>
  </r>
  <r>
    <s v="No"/>
    <x v="15"/>
    <x v="1"/>
    <s v="Step-down transformer(s) mounting"/>
    <m/>
    <m/>
    <s v="NGN"/>
    <n v="2.4330900243309003E-3"/>
    <n v="0"/>
    <n v="0"/>
    <s v="No"/>
    <n v="0"/>
    <m/>
    <m/>
    <m/>
    <n v="0"/>
    <n v="1"/>
    <m/>
    <m/>
    <m/>
    <m/>
    <m/>
    <m/>
    <m/>
    <m/>
    <m/>
    <m/>
    <m/>
    <m/>
    <n v="0"/>
    <n v="0"/>
    <s v="Cancelled"/>
    <n v="0"/>
  </r>
  <r>
    <s v="No"/>
    <x v="15"/>
    <x v="1"/>
    <s v="Step-up transformer"/>
    <m/>
    <m/>
    <s v="NGN"/>
    <n v="2.4330900243309003E-3"/>
    <n v="0"/>
    <n v="0"/>
    <s v="Yes"/>
    <n v="0"/>
    <m/>
    <m/>
    <m/>
    <n v="0"/>
    <n v="1"/>
    <m/>
    <m/>
    <m/>
    <m/>
    <m/>
    <m/>
    <m/>
    <m/>
    <m/>
    <m/>
    <m/>
    <m/>
    <n v="0"/>
    <n v="0"/>
    <s v="Cancelled"/>
    <n v="0"/>
  </r>
  <r>
    <s v="No"/>
    <x v="15"/>
    <x v="1"/>
    <s v="Step-up transformer base"/>
    <m/>
    <m/>
    <s v="NGN"/>
    <n v="2.4330900243309003E-3"/>
    <n v="0"/>
    <n v="0"/>
    <s v="No"/>
    <n v="0"/>
    <m/>
    <m/>
    <m/>
    <n v="0"/>
    <n v="1"/>
    <m/>
    <m/>
    <m/>
    <m/>
    <m/>
    <m/>
    <m/>
    <m/>
    <m/>
    <m/>
    <m/>
    <m/>
    <n v="0"/>
    <n v="0"/>
    <s v="Cancelled"/>
    <n v="0"/>
  </r>
  <r>
    <s v="No"/>
    <x v="15"/>
    <x v="1"/>
    <s v="Step-up transformer earthing"/>
    <m/>
    <m/>
    <s v="NGN"/>
    <n v="2.4330900243309003E-3"/>
    <n v="0"/>
    <n v="0"/>
    <s v="No"/>
    <n v="0"/>
    <m/>
    <m/>
    <m/>
    <n v="0"/>
    <n v="1"/>
    <m/>
    <m/>
    <m/>
    <m/>
    <m/>
    <m/>
    <m/>
    <m/>
    <m/>
    <m/>
    <m/>
    <m/>
    <n v="0"/>
    <n v="0"/>
    <s v="Cancelled"/>
    <n v="0"/>
  </r>
  <r>
    <s v="No"/>
    <x v="15"/>
    <x v="1"/>
    <s v="Transmission materials"/>
    <m/>
    <m/>
    <s v="NGN"/>
    <n v="2.4330900243309003E-3"/>
    <n v="0"/>
    <n v="0"/>
    <s v="Yes"/>
    <n v="0"/>
    <m/>
    <m/>
    <m/>
    <n v="0"/>
    <n v="1"/>
    <m/>
    <m/>
    <m/>
    <m/>
    <m/>
    <m/>
    <m/>
    <m/>
    <m/>
    <m/>
    <m/>
    <m/>
    <n v="0"/>
    <n v="0"/>
    <s v="Cancelled"/>
    <n v="0"/>
  </r>
  <r>
    <s v="No"/>
    <x v="15"/>
    <x v="2"/>
    <s v="Balance of transmission transport"/>
    <m/>
    <m/>
    <s v="NGN"/>
    <n v="2.4330900243309003E-3"/>
    <n v="0"/>
    <n v="0"/>
    <s v="No"/>
    <n v="0"/>
    <m/>
    <m/>
    <m/>
    <n v="0"/>
    <n v="1"/>
    <m/>
    <m/>
    <m/>
    <m/>
    <m/>
    <m/>
    <m/>
    <m/>
    <m/>
    <m/>
    <m/>
    <m/>
    <n v="0"/>
    <n v="0"/>
    <s v="Cancelled"/>
    <n v="0"/>
  </r>
  <r>
    <s v="No"/>
    <x v="15"/>
    <x v="2"/>
    <s v="Conductor transport"/>
    <m/>
    <m/>
    <s v="NGN"/>
    <n v="2.4330900243309003E-3"/>
    <n v="0"/>
    <n v="0"/>
    <s v="No"/>
    <n v="0"/>
    <m/>
    <m/>
    <m/>
    <n v="0"/>
    <n v="1"/>
    <m/>
    <m/>
    <m/>
    <m/>
    <m/>
    <m/>
    <m/>
    <m/>
    <m/>
    <m/>
    <m/>
    <m/>
    <n v="0"/>
    <n v="0"/>
    <s v="Cancelled"/>
    <n v="0"/>
  </r>
  <r>
    <s v="No"/>
    <x v="15"/>
    <x v="2"/>
    <s v="Poles transport"/>
    <m/>
    <m/>
    <s v="NGN"/>
    <n v="2.4330900243309003E-3"/>
    <n v="0"/>
    <n v="0"/>
    <s v="No"/>
    <n v="0"/>
    <m/>
    <m/>
    <m/>
    <n v="0"/>
    <n v="1"/>
    <m/>
    <m/>
    <m/>
    <m/>
    <m/>
    <m/>
    <m/>
    <m/>
    <m/>
    <m/>
    <m/>
    <m/>
    <n v="0"/>
    <n v="0"/>
    <s v="Cancelled"/>
    <n v="0"/>
  </r>
  <r>
    <s v="No"/>
    <x v="15"/>
    <x v="2"/>
    <s v="Transformer transport"/>
    <m/>
    <m/>
    <s v="NGN"/>
    <n v="2.4330900243309003E-3"/>
    <n v="0"/>
    <n v="0"/>
    <s v="No"/>
    <n v="0"/>
    <m/>
    <m/>
    <m/>
    <n v="0"/>
    <n v="1"/>
    <m/>
    <m/>
    <m/>
    <m/>
    <m/>
    <m/>
    <m/>
    <m/>
    <m/>
    <m/>
    <m/>
    <m/>
    <n v="0"/>
    <n v="0"/>
    <s v="Cancelled"/>
    <n v="0"/>
  </r>
  <r>
    <s v="No"/>
    <x v="16"/>
    <x v="7"/>
    <s v="Fuel for rentals"/>
    <m/>
    <s v="Based on: 1 motorcycle, filled up weekly, 1200 per fill-up, plus 20% margin "/>
    <s v="NGN"/>
    <n v="2.4330900243309003E-3"/>
    <n v="3"/>
    <n v="6000"/>
    <s v="No"/>
    <n v="43.795620437956202"/>
    <m/>
    <m/>
    <m/>
    <n v="43.795620437956202"/>
    <n v="1"/>
    <m/>
    <m/>
    <m/>
    <m/>
    <m/>
    <m/>
    <m/>
    <m/>
    <m/>
    <m/>
    <m/>
    <m/>
    <n v="0"/>
    <n v="43.795620437956202"/>
    <s v="0% paid"/>
    <n v="0"/>
  </r>
  <r>
    <s v="No"/>
    <x v="16"/>
    <x v="3"/>
    <s v="Lodging"/>
    <m/>
    <s v="Assumes 3 staff for 21 days"/>
    <s v="NGN"/>
    <n v="2.4330900243309003E-3"/>
    <n v="63"/>
    <n v="12000"/>
    <s v="Yes"/>
    <n v="1977.3722627737225"/>
    <m/>
    <m/>
    <m/>
    <n v="1977.3722627737225"/>
    <n v="1"/>
    <m/>
    <m/>
    <m/>
    <m/>
    <m/>
    <m/>
    <m/>
    <m/>
    <m/>
    <m/>
    <m/>
    <m/>
    <n v="0"/>
    <n v="1977.3722627737225"/>
    <s v="0% paid"/>
    <n v="0"/>
  </r>
  <r>
    <s v="No"/>
    <x v="16"/>
    <x v="3"/>
    <s v="Per diem"/>
    <m/>
    <s v="Assumes 3 staff for 21 days"/>
    <s v="NGN"/>
    <n v="2.4330900243309003E-3"/>
    <n v="63"/>
    <n v="4000"/>
    <s v="No"/>
    <n v="613.13868613138686"/>
    <m/>
    <m/>
    <m/>
    <n v="613.13868613138686"/>
    <n v="1"/>
    <m/>
    <m/>
    <m/>
    <m/>
    <m/>
    <m/>
    <m/>
    <m/>
    <m/>
    <m/>
    <m/>
    <m/>
    <n v="0"/>
    <n v="613.13868613138686"/>
    <s v="0% paid"/>
    <n v="0"/>
  </r>
  <r>
    <s v="No"/>
    <x v="16"/>
    <x v="3"/>
    <s v="Staff flights from home cities"/>
    <m/>
    <s v="3 staff, round trip each"/>
    <s v="NGN"/>
    <n v="2.4330900243309003E-3"/>
    <n v="3"/>
    <n v="40000"/>
    <s v="Yes"/>
    <n v="313.86861313868616"/>
    <m/>
    <m/>
    <m/>
    <n v="313.86861313868616"/>
    <n v="1"/>
    <m/>
    <m/>
    <m/>
    <m/>
    <m/>
    <m/>
    <m/>
    <m/>
    <m/>
    <m/>
    <m/>
    <m/>
    <n v="0"/>
    <n v="313.86861313868616"/>
    <s v="0% paid"/>
    <n v="0"/>
  </r>
  <r>
    <s v="No"/>
    <x v="16"/>
    <x v="4"/>
    <s v="Rental motorcycles/cars"/>
    <m/>
    <s v="1 driver, 1000 a day, 21 days"/>
    <s v="NGN"/>
    <n v="2.4330900243309003E-3"/>
    <n v="21"/>
    <n v="10000"/>
    <s v="No"/>
    <n v="510.94890510948903"/>
    <m/>
    <m/>
    <m/>
    <n v="510.94890510948903"/>
    <n v="1"/>
    <m/>
    <m/>
    <m/>
    <m/>
    <m/>
    <m/>
    <m/>
    <m/>
    <m/>
    <m/>
    <m/>
    <m/>
    <n v="0"/>
    <n v="510.94890510948903"/>
    <s v="0% paid"/>
    <n v="0"/>
  </r>
  <r>
    <s v="No"/>
    <x v="16"/>
    <x v="4"/>
    <s v="Rental pickup truck"/>
    <m/>
    <m/>
    <s v="NGN"/>
    <n v="2.4330900243309003E-3"/>
    <n v="0"/>
    <n v="0"/>
    <s v="No"/>
    <n v="0"/>
    <m/>
    <m/>
    <m/>
    <n v="0"/>
    <n v="1"/>
    <m/>
    <m/>
    <m/>
    <m/>
    <m/>
    <m/>
    <m/>
    <m/>
    <m/>
    <m/>
    <m/>
    <m/>
    <n v="0"/>
    <n v="0"/>
    <s v="Cancelled"/>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77866E-2D3F-A943-A640-18646AC926A2}" name="PivotTable4" cacheId="2"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location ref="E51:N70"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numFmtId="43"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Cash Out" fld="29" baseField="0" baseItem="0"/>
  </dataFields>
  <formats count="10">
    <format dxfId="19">
      <pivotArea type="all" dataOnly="0" outline="0"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type="topRight" dataOnly="0" labelOnly="1" outline="0"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fieldPosition="0">
        <references count="1">
          <reference field="2" count="0"/>
        </references>
      </pivotArea>
    </format>
    <format dxfId="11">
      <pivotArea dataOnly="0" labelOnly="1" grandCol="1" outline="0" fieldPosition="0"/>
    </format>
    <format dxfId="10">
      <pivotArea type="origin" dataOnly="0" labelOnly="1" outline="0" fieldPosition="0"/>
    </format>
  </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3675D-C8A9-E947-A56C-4B0A83972A6B}" name="PivotTable1" cacheId="2"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chartFormat="1">
  <location ref="E28:N47"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numFmtId="43" showAll="0"/>
    <pivotField showAll="0"/>
    <pivotField showAll="0"/>
    <pivotField showAll="0"/>
    <pivotField dataField="1"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Running Budget" fld="15" baseField="0" baseItem="0"/>
  </dataFields>
  <formats count="11">
    <format dxfId="30">
      <pivotArea type="all" dataOnly="0"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type="topRight" dataOnly="0" labelOnly="1" outline="0" fieldPosition="0"/>
    </format>
    <format dxfId="25">
      <pivotArea dataOnly="0" labelOnly="1" fieldPosition="0">
        <references count="1">
          <reference field="1" count="0"/>
        </references>
      </pivotArea>
    </format>
    <format dxfId="24">
      <pivotArea dataOnly="0" labelOnly="1" grandRow="1" outline="0" fieldPosition="0"/>
    </format>
    <format dxfId="23">
      <pivotArea dataOnly="0" labelOnly="1" fieldPosition="0">
        <references count="1">
          <reference field="2" count="0"/>
        </references>
      </pivotArea>
    </format>
    <format dxfId="22">
      <pivotArea dataOnly="0" labelOnly="1" grandCol="1" outline="0" fieldPosition="0"/>
    </format>
    <format dxfId="21">
      <pivotArea type="origin" dataOnly="0" labelOnly="1" outline="0" fieldPosition="0"/>
    </format>
    <format dxfId="20">
      <pivotArea type="origin" dataOnly="0" labelOnly="1" outline="0" fieldPosition="0"/>
    </format>
  </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64049E-B3B3-FF41-A013-2135C9813961}" name="PivotTable5" cacheId="2" applyNumberFormats="0" applyBorderFormats="0" applyFontFormats="0" applyPatternFormats="0" applyAlignmentFormats="0" applyWidthHeightFormats="1" dataCaption="Values" updatedVersion="8" minRefreshableVersion="3" showDrill="0" useAutoFormatting="1" itemPrintTitles="1" createdVersion="6" indent="0" showHeaders="0" outline="1" outlineData="1" multipleFieldFilters="0" chartFormat="1">
  <location ref="E5:N24"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dataField="1" numFmtId="43"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Original Budget" fld="11" baseField="0" baseItem="0"/>
  </dataFields>
  <formats count="11">
    <format dxfId="41">
      <pivotArea type="all" dataOnly="0" outline="0" fieldPosition="0"/>
    </format>
    <format dxfId="40">
      <pivotArea type="all" dataOnly="0" outline="0" fieldPosition="0"/>
    </format>
    <format dxfId="39">
      <pivotArea outline="0" collapsedLevelsAreSubtotals="1" fieldPosition="0"/>
    </format>
    <format dxfId="38">
      <pivotArea type="origin" dataOnly="0" labelOnly="1" outline="0" fieldPosition="0"/>
    </format>
    <format dxfId="37">
      <pivotArea type="topRight" dataOnly="0" labelOnly="1" outline="0"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fieldPosition="0">
        <references count="1">
          <reference field="2" count="0"/>
        </references>
      </pivotArea>
    </format>
    <format dxfId="33">
      <pivotArea dataOnly="0" labelOnly="1" grandCol="1" outline="0" fieldPosition="0"/>
    </format>
    <format dxfId="32">
      <pivotArea type="origin" dataOnly="0" labelOnly="1" outline="0" fieldPosition="0"/>
    </format>
    <format dxfId="31">
      <pivotArea outline="0" collapsedLevelsAreSubtotals="1" fieldPosition="0"/>
    </format>
  </formats>
  <pivotTableStyleInfo name="PivotStyleDark15"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75A7E1-EF76-E249-9554-958FC73B481B}" name="List" displayName="List" ref="A1:AG178" totalsRowShown="0" headerRowDxfId="76" dataDxfId="75">
  <autoFilter ref="A1:AG178" xr:uid="{998613C9-5835-8741-A5F1-EE0F8C484F64}"/>
  <sortState xmlns:xlrd2="http://schemas.microsoft.com/office/spreadsheetml/2017/richdata2" ref="A2:AG178">
    <sortCondition ref="B1:B178"/>
  </sortState>
  <tableColumns count="33">
    <tableColumn id="26" xr3:uid="{29DBE76F-B9E2-1E42-A7B9-5B882562C39B}" name="Auto-Budgeted?" dataDxfId="74"/>
    <tableColumn id="1" xr3:uid="{D33856D5-9220-444D-B7FC-CA3D65D77ACC}" name="Category" dataDxfId="73"/>
    <tableColumn id="2" xr3:uid="{318BF0C0-9387-BF4F-B4A1-A0CCC190D1AF}" name="Type" dataDxfId="72"/>
    <tableColumn id="3" xr3:uid="{9D99D580-F114-394C-996C-E207A9B94A00}" name="Item" dataDxfId="71"/>
    <tableColumn id="4" xr3:uid="{84F6A555-EFDE-4442-B9A1-06DCDEBE3E25}" name="Vendor" dataDxfId="70"/>
    <tableColumn id="23" xr3:uid="{4E69AC73-7118-0542-B41B-B1B9F80FF475}" name="Notes" dataDxfId="69"/>
    <tableColumn id="22" xr3:uid="{341C86B8-0938-4547-B735-231BD0848065}" name="Currency" dataDxfId="68"/>
    <tableColumn id="47" xr3:uid="{9173EA5B-75D5-6146-AE77-2E09249F27C0}" name="Exchange Rate" dataDxfId="67">
      <calculatedColumnFormula>DisplayToUSD/(_xlfn.IFNA(INDEX('Quick Inputs- Constants'!$B$15:$C$18,MATCH(List[[#This Row],[Currency]],'Quick Inputs- Constants'!B$15:B$18,0),2),1))</calculatedColumnFormula>
    </tableColumn>
    <tableColumn id="5" xr3:uid="{7317118D-CDE8-C040-AEFA-E307DE37EA06}" name="Budget Quantity" dataDxfId="66"/>
    <tableColumn id="6" xr3:uid="{3E406F1B-B3C0-494C-A4FB-C46B403CD9EB}" name="Budget Price" dataDxfId="65" dataCellStyle="Comma"/>
    <tableColumn id="7" xr3:uid="{8B44DF92-B1F7-0045-B946-157B1F63E31A}" name="Budget VAT" dataDxfId="64"/>
    <tableColumn id="46" xr3:uid="{26738BB7-2562-3C40-ACD4-73DE885ACF14}" name="Budget Total" dataDxfId="63">
      <calculatedColumnFormula>List[[#This Row],[Exchange Rate]]*(1+IF(List[[#This Row],[Budget VAT]]="Yes",VATRate,0))*List[[#This Row],[Budget Quantity]]*List[[#This Row],[Budget Price]]</calculatedColumnFormula>
    </tableColumn>
    <tableColumn id="33" xr3:uid="{19191840-864D-FC47-A8D8-58ED70EEA61E}" name="Updated Quantity" dataDxfId="62"/>
    <tableColumn id="32" xr3:uid="{678B7761-3EB5-934B-9A48-6ADF6A9952F5}" name="Updated Price" dataDxfId="61"/>
    <tableColumn id="31" xr3:uid="{C864B361-5E35-3948-8A19-E73A34913E2D}" name="Updated VAT" dataDxfId="60"/>
    <tableColumn id="48" xr3:uid="{22314CFC-AB15-234B-A570-DD2BAEEB1696}" name="Running Budget Total" dataDxfId="59">
      <calculatedColumnFormula>IF(AND(ISBLANK(List[[#This Row],[Updated Quantity]]),ISBLANK(List[[#This Row],[Updated Price]]),ISBLANK(List[[#This Row],[Updated VAT]])),List[[#This Row],[Budget Total]],
List[[#This Row],[Exchange Rate]]*(1+IF(List[[#This Row],[Updated VAT]]="Yes",VATRate,0))*List[[#This Row],[Updated Quantity]]*List[[#This Row],[Updated Price]])</calculatedColumnFormula>
    </tableColumn>
    <tableColumn id="50" xr3:uid="{6FE2AE3B-571D-DE49-B918-8DDC7748E0D9}" name="Project Allocation % For Cash Outs" dataDxfId="58" dataCellStyle="Percent">
      <calculatedColumnFormula>100%</calculatedColumnFormula>
    </tableColumn>
    <tableColumn id="36" xr3:uid="{B995323F-4763-AB4F-A812-F2F4C8148E07}" name="Cash Out 1 Quantity" dataDxfId="57"/>
    <tableColumn id="35" xr3:uid="{F454C811-D1B0-384B-919A-B07734C19B1F}" name="Cash Out 1 Price" dataDxfId="56"/>
    <tableColumn id="34" xr3:uid="{EC0515FF-9EF7-2D40-A485-29E6D79FFC03}" name="Cash Out 1 VAT" dataDxfId="55"/>
    <tableColumn id="19" xr3:uid="{972396AA-5CDA-D940-87DB-280AE6C61667}" name="Cash Out 1 Date" dataDxfId="54"/>
    <tableColumn id="44" xr3:uid="{9A41519A-EB7B-334F-8409-EEBCED31B542}" name="Cash Out 2 Quantity" dataDxfId="53"/>
    <tableColumn id="43" xr3:uid="{D2C92F6B-792C-1C49-9BF2-79C144749FC0}" name="Cash Out 2 Price" dataDxfId="52"/>
    <tableColumn id="42" xr3:uid="{FFC62B52-A88C-414B-B951-CDAD5081A1AD}" name="Cash Out 2 VAT" dataDxfId="51"/>
    <tableColumn id="41" xr3:uid="{C7F7F498-DA6B-584F-8A35-FA0244868693}" name="Cash Out 2 Date" dataDxfId="50"/>
    <tableColumn id="40" xr3:uid="{907A1CF2-17C5-7E47-AB67-0D99A911CA7F}" name="Cash Out 3 Quantity" dataDxfId="49"/>
    <tableColumn id="39" xr3:uid="{4BED761C-2878-A246-8ADB-04E62C2A0E25}" name="Cash Out 3 Price" dataDxfId="48"/>
    <tableColumn id="38" xr3:uid="{3013201E-9ACF-C441-96A7-2BDBC051A512}" name="Cash Out 3 VAT" dataDxfId="47"/>
    <tableColumn id="45" xr3:uid="{7988A496-7C14-C541-9D32-595A1C64BE6A}" name="Cash Out 3 Date" dataDxfId="46"/>
    <tableColumn id="49" xr3:uid="{655FF7FD-5BC0-E04F-8783-3A00EE92E077}" name="Cash Out Total" dataDxfId="45">
      <calculatedColumnFormula>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calculatedColumnFormula>
    </tableColumn>
    <tableColumn id="51" xr3:uid="{DE38FC72-F10B-4D4D-B0E4-95C705ABE9DC}" name="Remaining" dataDxfId="44">
      <calculatedColumnFormula>List[[#This Row],[Running Budget Total]]-List[[#This Row],[Cash Out Total]]</calculatedColumnFormula>
    </tableColumn>
    <tableColumn id="24" xr3:uid="{CB494493-67A3-2243-B206-7770E50205D6}" name="Status" dataDxfId="43">
      <calculatedColumnFormula>IF(AND(List[[#This Row],[Remaining]]=0,NOT(List[[#This Row],[Running Budget Total]]=0)),Status1,
IF(AND(List[[#This Row],[Remaining]]&lt;0,NOT(List[[#This Row],[Running Budget Total]]=0)),Status2,
IF(AND(List[[#This Row],[Remaining]]=0),Status3,
List[[#This Row],[Spent %]] &amp; Status4)))</calculatedColumnFormula>
    </tableColumn>
    <tableColumn id="11" xr3:uid="{DFDE8586-8EFE-F34D-946D-C4AE1EFC0EC4}" name="Spent %" dataDxfId="42" dataCellStyle="Percent">
      <calculatedColumnFormula>IFERROR(ROUND(100*List[[#This Row],[Cash Out Total]]/List[[#This Row],[Running Budget Total]],0),0)</calculatedColumnFormula>
    </tableColumn>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70ECE56-C629-0946-B9D2-D2D869E2B018}" name="CategoriesTable" displayName="CategoriesTable" ref="B1:H20" totalsRowShown="0" headerRowDxfId="9" dataDxfId="7" headerRowBorderDxfId="8" dataCellStyle="Percent">
  <autoFilter ref="B1:H20" xr:uid="{47CB2306-F6B3-004C-8433-499FA72FCF18}"/>
  <sortState xmlns:xlrd2="http://schemas.microsoft.com/office/spreadsheetml/2017/richdata2" ref="B2:H20">
    <sortCondition ref="B1:B20"/>
  </sortState>
  <tableColumns count="7">
    <tableColumn id="1" xr3:uid="{3E67A983-57E5-B041-B82F-1B3AE4C0F59F}" name="Expense Categories" dataDxfId="6"/>
    <tableColumn id="2" xr3:uid="{DC913EDF-319C-774C-B8D9-4F03E4C36FED}" name="Scales By" dataDxfId="5"/>
    <tableColumn id="3" xr3:uid="{8CC95B88-D706-E048-89BA-11285A37FE6A}" name="Running Budget Totals" dataDxfId="4" dataCellStyle="Percent">
      <calculatedColumnFormula>IFERROR(GETPIVOTDATA("Running Budget Total",Summary!$E$28,"Category",B2),0)/GETPIVOTDATA("Running Budget Total",Summary!$E$28)</calculatedColumnFormula>
    </tableColumn>
    <tableColumn id="4" xr3:uid="{467CE269-D402-B040-838B-BD337373F71F}" name="Smart Pie Chart" dataDxfId="3" dataCellStyle="Percent">
      <calculatedColumnFormula>IF(D2&lt;#REF!,NA(),D2)</calculatedColumnFormula>
    </tableColumn>
    <tableColumn id="7" xr3:uid="{D5EBCDBD-232D-2543-B7E1-C55942F58368}" name="Original Budget" dataDxfId="2" dataCellStyle="Percent">
      <calculatedColumnFormula>IFERROR(GETPIVOTDATA("Budget Total",Summary!$E$5,"Category",CategoriesTable[[#This Row],[Expense Categories]]),0)</calculatedColumnFormula>
    </tableColumn>
    <tableColumn id="8" xr3:uid="{73352D85-1BFF-CE4A-BC05-59E38CDAEFFB}" name="Running Budget" dataDxfId="1" dataCellStyle="Percent">
      <calculatedColumnFormula>IFERROR(GETPIVOTDATA("Running Budget Total",Summary!$E$28,"Category",B2),0)</calculatedColumnFormula>
    </tableColumn>
    <tableColumn id="9" xr3:uid="{3E3EAC17-8327-0646-9DDD-EAD954C330F5}" name="Difference" dataDxfId="0" dataCellStyle="Percent">
      <calculatedColumnFormula>G2-F2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7F86E-6E97-1F47-98BD-55626ED2666C}">
  <sheetPr>
    <tabColor theme="4" tint="0.79998168889431442"/>
  </sheetPr>
  <dimension ref="A1:M206"/>
  <sheetViews>
    <sheetView showGridLines="0" tabSelected="1" topLeftCell="A39" zoomScale="75" zoomScaleNormal="80" workbookViewId="0">
      <selection activeCell="C33" sqref="C33"/>
    </sheetView>
  </sheetViews>
  <sheetFormatPr baseColWidth="10" defaultColWidth="0" defaultRowHeight="16" zeroHeight="1" x14ac:dyDescent="0.2"/>
  <cols>
    <col min="1" max="1" width="10.83203125" customWidth="1"/>
    <col min="2" max="2" width="81.33203125" customWidth="1"/>
    <col min="3" max="3" width="33.1640625" customWidth="1"/>
    <col min="4" max="4" width="9.83203125" bestFit="1" customWidth="1"/>
    <col min="5" max="5" width="36.1640625" customWidth="1"/>
    <col min="6" max="6" width="63" bestFit="1" customWidth="1"/>
    <col min="7" max="7" width="10.83203125" customWidth="1"/>
    <col min="8" max="13" width="0" hidden="1" customWidth="1"/>
    <col min="14" max="16384" width="10.83203125" hidden="1"/>
  </cols>
  <sheetData>
    <row r="1" spans="1:6" ht="20" customHeight="1" x14ac:dyDescent="0.2"/>
    <row r="2" spans="1:6" ht="40" customHeight="1" x14ac:dyDescent="0.2">
      <c r="B2" s="46" t="s">
        <v>264</v>
      </c>
    </row>
    <row r="3" spans="1:6" ht="20" customHeight="1" x14ac:dyDescent="0.2">
      <c r="B3" s="28" t="s">
        <v>414</v>
      </c>
    </row>
    <row r="4" spans="1:6" ht="20" customHeight="1" x14ac:dyDescent="0.2"/>
    <row r="5" spans="1:6" ht="20" customHeight="1" x14ac:dyDescent="0.25">
      <c r="B5" s="48" t="s">
        <v>205</v>
      </c>
      <c r="C5" s="34"/>
      <c r="D5" s="34"/>
      <c r="E5" s="34"/>
      <c r="F5" s="47"/>
    </row>
    <row r="6" spans="1:6" ht="20" customHeight="1" x14ac:dyDescent="0.2">
      <c r="B6" s="20"/>
      <c r="C6" s="47"/>
    </row>
    <row r="7" spans="1:6" ht="20" customHeight="1" x14ac:dyDescent="0.2">
      <c r="B7" s="42" t="s">
        <v>206</v>
      </c>
    </row>
    <row r="8" spans="1:6" ht="20" customHeight="1" x14ac:dyDescent="0.2">
      <c r="B8" s="43" t="s">
        <v>387</v>
      </c>
    </row>
    <row r="9" spans="1:6" ht="20" customHeight="1" x14ac:dyDescent="0.2">
      <c r="B9" s="33" t="s">
        <v>207</v>
      </c>
    </row>
    <row r="10" spans="1:6" ht="20" customHeight="1" x14ac:dyDescent="0.2"/>
    <row r="11" spans="1:6" ht="20" customHeight="1" x14ac:dyDescent="0.2"/>
    <row r="12" spans="1:6" ht="20" customHeight="1" x14ac:dyDescent="0.25">
      <c r="B12" s="48" t="s">
        <v>261</v>
      </c>
      <c r="C12" s="48" t="s">
        <v>115</v>
      </c>
      <c r="D12" s="48" t="s">
        <v>397</v>
      </c>
      <c r="E12" s="48" t="s">
        <v>116</v>
      </c>
      <c r="F12" s="48" t="s">
        <v>427</v>
      </c>
    </row>
    <row r="13" spans="1:6" ht="20" customHeight="1" x14ac:dyDescent="0.2"/>
    <row r="14" spans="1:6" s="7" customFormat="1" ht="20" customHeight="1" x14ac:dyDescent="0.2">
      <c r="A14" s="10"/>
      <c r="B14" s="23" t="s">
        <v>262</v>
      </c>
      <c r="C14" s="39"/>
      <c r="D14" s="10"/>
    </row>
    <row r="15" spans="1:6" s="7" customFormat="1" ht="20" customHeight="1" x14ac:dyDescent="0.2">
      <c r="A15" s="10"/>
      <c r="B15" s="11" t="s">
        <v>108</v>
      </c>
      <c r="C15" s="103" t="s">
        <v>502</v>
      </c>
      <c r="D15" s="10"/>
    </row>
    <row r="16" spans="1:6" s="7" customFormat="1" ht="20" customHeight="1" x14ac:dyDescent="0.2">
      <c r="A16" s="10"/>
      <c r="B16" s="11" t="s">
        <v>470</v>
      </c>
      <c r="C16" s="101">
        <f>PVSiteWattage/1000</f>
        <v>48.6</v>
      </c>
      <c r="D16" s="53" t="s">
        <v>468</v>
      </c>
    </row>
    <row r="17" spans="1:5" s="7" customFormat="1" ht="20" customHeight="1" x14ac:dyDescent="0.2">
      <c r="A17" s="10"/>
      <c r="B17" s="11" t="s">
        <v>471</v>
      </c>
      <c r="C17" s="101">
        <f>BatterykWhAtSite</f>
        <v>74</v>
      </c>
      <c r="D17" s="53" t="s">
        <v>43</v>
      </c>
    </row>
    <row r="18" spans="1:5" s="7" customFormat="1" ht="20" customHeight="1" x14ac:dyDescent="0.2">
      <c r="A18" s="10"/>
      <c r="B18" s="11" t="s">
        <v>472</v>
      </c>
      <c r="C18" s="101">
        <f>DistributionKm</f>
        <v>5</v>
      </c>
      <c r="D18" s="53" t="s">
        <v>469</v>
      </c>
    </row>
    <row r="19" spans="1:5" s="7" customFormat="1" ht="20" customHeight="1" x14ac:dyDescent="0.2">
      <c r="A19" s="10"/>
      <c r="B19" s="40" t="s">
        <v>473</v>
      </c>
      <c r="C19" s="102">
        <v>1</v>
      </c>
      <c r="D19" s="53" t="s">
        <v>469</v>
      </c>
    </row>
    <row r="20" spans="1:5" s="7" customFormat="1" ht="20" customHeight="1" x14ac:dyDescent="0.2">
      <c r="A20" s="10"/>
      <c r="B20" s="40" t="s">
        <v>42</v>
      </c>
      <c r="C20" s="101">
        <f>NewConnections</f>
        <v>400</v>
      </c>
      <c r="D20" s="53"/>
    </row>
    <row r="21" spans="1:5" s="7" customFormat="1" ht="20" customHeight="1" x14ac:dyDescent="0.2">
      <c r="A21" s="10"/>
      <c r="B21" s="13"/>
      <c r="C21" s="10"/>
      <c r="D21" s="10"/>
    </row>
    <row r="22" spans="1:5" ht="20" customHeight="1" x14ac:dyDescent="0.2">
      <c r="B22" s="23" t="s">
        <v>11</v>
      </c>
    </row>
    <row r="23" spans="1:5" ht="20" customHeight="1" x14ac:dyDescent="0.2">
      <c r="B23" s="106" t="s">
        <v>107</v>
      </c>
    </row>
    <row r="24" spans="1:5" ht="20" customHeight="1" x14ac:dyDescent="0.2">
      <c r="B24" s="126" t="s">
        <v>556</v>
      </c>
      <c r="C24" s="127">
        <v>10</v>
      </c>
      <c r="D24" s="115"/>
      <c r="E24" t="s">
        <v>175</v>
      </c>
    </row>
    <row r="25" spans="1:5" ht="20" customHeight="1" x14ac:dyDescent="0.2">
      <c r="B25" s="33" t="s">
        <v>120</v>
      </c>
      <c r="C25" s="24">
        <v>7.4</v>
      </c>
      <c r="D25" s="115"/>
      <c r="E25" t="s">
        <v>138</v>
      </c>
    </row>
    <row r="26" spans="1:5" ht="20" customHeight="1" x14ac:dyDescent="0.2">
      <c r="B26" s="126" t="s">
        <v>121</v>
      </c>
      <c r="C26" s="127">
        <v>2200</v>
      </c>
      <c r="D26" s="128" t="s">
        <v>18</v>
      </c>
      <c r="E26" t="s">
        <v>139</v>
      </c>
    </row>
    <row r="27" spans="1:5" ht="20" customHeight="1" x14ac:dyDescent="0.2">
      <c r="B27" s="33" t="s">
        <v>132</v>
      </c>
      <c r="C27" s="24">
        <v>4</v>
      </c>
      <c r="D27" s="115"/>
      <c r="E27" t="s">
        <v>140</v>
      </c>
    </row>
    <row r="28" spans="1:5" ht="20" customHeight="1" x14ac:dyDescent="0.2">
      <c r="B28" s="33" t="s">
        <v>119</v>
      </c>
      <c r="C28">
        <f>C24*C25</f>
        <v>74</v>
      </c>
      <c r="D28" s="115"/>
      <c r="E28" t="s">
        <v>137</v>
      </c>
    </row>
    <row r="29" spans="1:5" ht="20" customHeight="1" x14ac:dyDescent="0.2">
      <c r="B29" s="129" t="s">
        <v>555</v>
      </c>
      <c r="C29" s="130">
        <f>BatteryCount*BatteryPricePerUnit</f>
        <v>22000</v>
      </c>
      <c r="D29" s="131" t="s">
        <v>18</v>
      </c>
      <c r="E29" s="129" t="s">
        <v>552</v>
      </c>
    </row>
    <row r="30" spans="1:5" ht="20" customHeight="1" x14ac:dyDescent="0.2">
      <c r="B30" s="33"/>
      <c r="C30" s="24"/>
      <c r="D30" s="115"/>
    </row>
    <row r="31" spans="1:5" ht="20" customHeight="1" x14ac:dyDescent="0.2">
      <c r="B31" s="106" t="s">
        <v>395</v>
      </c>
      <c r="C31" s="24"/>
      <c r="D31" s="115"/>
    </row>
    <row r="32" spans="1:5" ht="20" customHeight="1" x14ac:dyDescent="0.2">
      <c r="B32" s="33" t="s">
        <v>113</v>
      </c>
      <c r="C32" s="24">
        <v>5</v>
      </c>
      <c r="D32" s="115"/>
      <c r="E32" t="s">
        <v>136</v>
      </c>
    </row>
    <row r="33" spans="2:5" ht="20" customHeight="1" x14ac:dyDescent="0.2">
      <c r="B33" s="33" t="s">
        <v>167</v>
      </c>
      <c r="C33" s="24">
        <v>6</v>
      </c>
      <c r="D33" s="115" t="s">
        <v>18</v>
      </c>
      <c r="E33" t="s">
        <v>168</v>
      </c>
    </row>
    <row r="34" spans="2:5" ht="20" customHeight="1" x14ac:dyDescent="0.2">
      <c r="B34" s="33" t="s">
        <v>554</v>
      </c>
      <c r="C34" s="107">
        <f>BatteryShippingPerkWh*BatterykWhAtSite</f>
        <v>444</v>
      </c>
      <c r="D34" s="115" t="s">
        <v>18</v>
      </c>
      <c r="E34" t="s">
        <v>553</v>
      </c>
    </row>
    <row r="35" spans="2:5" ht="20" customHeight="1" x14ac:dyDescent="0.2">
      <c r="B35" s="33" t="s">
        <v>406</v>
      </c>
      <c r="C35" s="91" t="s">
        <v>388</v>
      </c>
      <c r="D35" s="115"/>
    </row>
    <row r="36" spans="2:5" ht="20" customHeight="1" x14ac:dyDescent="0.2">
      <c r="B36" s="120" t="s">
        <v>495</v>
      </c>
      <c r="C36" s="121" t="b">
        <v>0</v>
      </c>
      <c r="D36" s="115"/>
      <c r="E36" t="s">
        <v>180</v>
      </c>
    </row>
    <row r="37" spans="2:5" ht="20" customHeight="1" x14ac:dyDescent="0.2">
      <c r="B37" s="33"/>
      <c r="C37" s="24"/>
      <c r="D37" s="115"/>
    </row>
    <row r="38" spans="2:5" ht="20" customHeight="1" x14ac:dyDescent="0.2">
      <c r="B38" s="106" t="s">
        <v>415</v>
      </c>
      <c r="C38" s="24"/>
      <c r="D38" s="115"/>
    </row>
    <row r="39" spans="2:5" ht="20" customHeight="1" x14ac:dyDescent="0.2">
      <c r="B39" s="44" t="s">
        <v>431</v>
      </c>
      <c r="C39" s="107">
        <f>InspectionFees*ExchangeRateNGNUSD/(BatterySitesCount*(IF(CombinedShippingInvertersBatteries,2,1)))</f>
        <v>20550</v>
      </c>
      <c r="D39" s="115" t="s">
        <v>47</v>
      </c>
      <c r="E39" t="s">
        <v>434</v>
      </c>
    </row>
    <row r="40" spans="2:5" ht="20" customHeight="1" x14ac:dyDescent="0.2">
      <c r="B40" s="33" t="s">
        <v>402</v>
      </c>
      <c r="C40" s="4">
        <f>IF(C35="40' Container",PortFeesFortyFoot,PortFeesTwentyFoot)/(BatterySitesCount*(IF(CombinedShippingInvertersBatteries,2,1)))</f>
        <v>43740.675000000003</v>
      </c>
      <c r="D40" s="115" t="s">
        <v>47</v>
      </c>
      <c r="E40" t="s">
        <v>404</v>
      </c>
    </row>
    <row r="41" spans="2:5" ht="20" customHeight="1" x14ac:dyDescent="0.2">
      <c r="B41" s="33" t="s">
        <v>403</v>
      </c>
      <c r="C41">
        <f>ClearingAgentFees/(BatterySitesCount*(IF(CombinedShippingInvertersBatteries,2,1)))</f>
        <v>27400</v>
      </c>
      <c r="D41" s="115" t="s">
        <v>47</v>
      </c>
      <c r="E41" t="s">
        <v>405</v>
      </c>
    </row>
    <row r="42" spans="2:5" ht="20" customHeight="1" x14ac:dyDescent="0.2">
      <c r="B42" s="33"/>
      <c r="C42" s="113"/>
      <c r="D42" s="115"/>
    </row>
    <row r="43" spans="2:5" ht="20" customHeight="1" x14ac:dyDescent="0.2">
      <c r="B43" s="33" t="s">
        <v>511</v>
      </c>
      <c r="C43" s="122">
        <f>VATRate</f>
        <v>7.4999999999999997E-2</v>
      </c>
      <c r="D43" s="115"/>
      <c r="E43" t="s">
        <v>542</v>
      </c>
    </row>
    <row r="44" spans="2:5" ht="20" customHeight="1" x14ac:dyDescent="0.2">
      <c r="B44" s="33" t="s">
        <v>512</v>
      </c>
      <c r="C44" s="99">
        <v>0.2</v>
      </c>
      <c r="D44" s="115"/>
      <c r="E44" t="s">
        <v>543</v>
      </c>
    </row>
    <row r="45" spans="2:5" ht="20" customHeight="1" x14ac:dyDescent="0.2">
      <c r="B45" s="33" t="s">
        <v>513</v>
      </c>
      <c r="C45" s="99">
        <v>0</v>
      </c>
      <c r="D45" s="115"/>
      <c r="E45" t="s">
        <v>544</v>
      </c>
    </row>
    <row r="46" spans="2:5" ht="20" customHeight="1" x14ac:dyDescent="0.2">
      <c r="B46" s="33"/>
      <c r="C46" s="113"/>
      <c r="D46" s="115"/>
    </row>
    <row r="47" spans="2:5" ht="20" customHeight="1" x14ac:dyDescent="0.2">
      <c r="B47" s="33" t="s">
        <v>408</v>
      </c>
      <c r="C47" s="4">
        <f>VATRate*VATonBatteries*(BatteryNonVAT+ExchangeRateNGNUSD*(BatteryCost+BatteryCostShipping))</f>
        <v>63759.751874999994</v>
      </c>
      <c r="D47" s="115" t="s">
        <v>47</v>
      </c>
      <c r="E47" t="s">
        <v>432</v>
      </c>
    </row>
    <row r="48" spans="2:5" ht="20" customHeight="1" x14ac:dyDescent="0.2">
      <c r="B48" s="33" t="s">
        <v>409</v>
      </c>
      <c r="C48" s="4">
        <f>(
_xlfn.CEILING.MATH(ExchangeRateNGNUSD*((BatteryCost+BatteryCostShipping)*DutyOnBatteries))
+_xlfn.CEILING.MATH(ExchangeRateNGNUSD*((BatteryCost+BatteryCostShipping)*LevyOnBatteries))
+_xlfn.CEILING.MATH(ExchangeRateNGNUSD*(ImportCharge*BatteryCost))
+_xlfn.CEILING.MATH(ExchangeRateNGNUSD*(PortSurcharge*(BatteryCost+BatteryCostShipping)*DutyOnBatteries))
+_xlfn.CEILING.MATH(ExchangeRateNGNUSD*(ETLLevy*(BatteryCost+BatteryCostShipping)))
)</f>
        <v>2110583</v>
      </c>
      <c r="D48" s="115" t="s">
        <v>47</v>
      </c>
      <c r="E48" t="s">
        <v>433</v>
      </c>
    </row>
    <row r="49" spans="2:5" ht="20" customHeight="1" x14ac:dyDescent="0.2">
      <c r="D49" s="115"/>
    </row>
    <row r="50" spans="2:5" ht="20" customHeight="1" x14ac:dyDescent="0.2">
      <c r="B50" s="23" t="s">
        <v>122</v>
      </c>
      <c r="D50" s="115"/>
    </row>
    <row r="51" spans="2:5" ht="20" customHeight="1" x14ac:dyDescent="0.2">
      <c r="B51" s="106" t="s">
        <v>107</v>
      </c>
      <c r="D51" s="115"/>
    </row>
    <row r="52" spans="2:5" ht="20" customHeight="1" x14ac:dyDescent="0.2">
      <c r="B52" s="33" t="s">
        <v>173</v>
      </c>
      <c r="C52" s="49">
        <v>1</v>
      </c>
      <c r="D52" s="115"/>
      <c r="E52" t="s">
        <v>174</v>
      </c>
    </row>
    <row r="53" spans="2:5" ht="20" customHeight="1" x14ac:dyDescent="0.2">
      <c r="B53" s="33" t="s">
        <v>129</v>
      </c>
      <c r="C53" s="49">
        <v>2600</v>
      </c>
      <c r="D53" s="115" t="s">
        <v>18</v>
      </c>
      <c r="E53" t="s">
        <v>142</v>
      </c>
    </row>
    <row r="54" spans="2:5" ht="20" customHeight="1" x14ac:dyDescent="0.2">
      <c r="B54" s="33" t="s">
        <v>475</v>
      </c>
      <c r="C54" s="49">
        <v>15</v>
      </c>
      <c r="D54" s="115" t="s">
        <v>468</v>
      </c>
      <c r="E54" t="s">
        <v>144</v>
      </c>
    </row>
    <row r="55" spans="2:5" ht="20" customHeight="1" x14ac:dyDescent="0.2">
      <c r="B55" s="33" t="s">
        <v>557</v>
      </c>
      <c r="C55" s="113">
        <f>BatteryInverterCount*BatteryInverterPricePerUnit</f>
        <v>2600</v>
      </c>
      <c r="D55" s="115" t="s">
        <v>18</v>
      </c>
      <c r="E55" t="s">
        <v>560</v>
      </c>
    </row>
    <row r="56" spans="2:5" ht="20" customHeight="1" x14ac:dyDescent="0.2">
      <c r="B56" s="33"/>
      <c r="C56" s="49"/>
      <c r="D56" s="115"/>
    </row>
    <row r="57" spans="2:5" ht="20" customHeight="1" x14ac:dyDescent="0.2">
      <c r="B57" s="106" t="s">
        <v>395</v>
      </c>
      <c r="C57" s="49"/>
      <c r="D57" s="115"/>
    </row>
    <row r="58" spans="2:5" ht="20" customHeight="1" x14ac:dyDescent="0.2">
      <c r="B58" s="33" t="s">
        <v>476</v>
      </c>
      <c r="C58" s="49">
        <v>1</v>
      </c>
      <c r="D58" s="115"/>
      <c r="E58" t="s">
        <v>141</v>
      </c>
    </row>
    <row r="59" spans="2:5" ht="20" customHeight="1" x14ac:dyDescent="0.2">
      <c r="B59" s="33" t="s">
        <v>130</v>
      </c>
      <c r="C59" s="49">
        <v>36</v>
      </c>
      <c r="D59" s="115" t="s">
        <v>18</v>
      </c>
      <c r="E59" t="s">
        <v>143</v>
      </c>
    </row>
    <row r="60" spans="2:5" ht="20" customHeight="1" x14ac:dyDescent="0.2">
      <c r="B60" s="33" t="s">
        <v>558</v>
      </c>
      <c r="C60" s="113">
        <f>BatteryInverterShippingPricePerkW*BatteryInverterCount*BatteryInverterkWPerUnit</f>
        <v>540</v>
      </c>
      <c r="D60" s="115" t="s">
        <v>18</v>
      </c>
      <c r="E60" t="s">
        <v>559</v>
      </c>
    </row>
    <row r="61" spans="2:5" ht="20" customHeight="1" x14ac:dyDescent="0.2">
      <c r="B61" s="33" t="s">
        <v>416</v>
      </c>
      <c r="C61" s="91" t="s">
        <v>388</v>
      </c>
      <c r="D61" s="115"/>
    </row>
    <row r="62" spans="2:5" ht="20" customHeight="1" x14ac:dyDescent="0.2">
      <c r="B62" s="33"/>
      <c r="C62" s="49"/>
      <c r="D62" s="115"/>
    </row>
    <row r="63" spans="2:5" ht="20" customHeight="1" x14ac:dyDescent="0.2">
      <c r="B63" s="106" t="s">
        <v>415</v>
      </c>
      <c r="C63" s="49"/>
      <c r="D63" s="115"/>
    </row>
    <row r="64" spans="2:5" ht="20" customHeight="1" x14ac:dyDescent="0.2">
      <c r="B64" s="44" t="s">
        <v>435</v>
      </c>
      <c r="C64" s="113">
        <f>InspectionFees*ExchangeRateNGNUSD/(BatteryInverterSitesCount*(IF(CombinedShippingInvertersBatteries,2,1)))</f>
        <v>102750</v>
      </c>
      <c r="D64" s="115" t="s">
        <v>47</v>
      </c>
      <c r="E64" t="s">
        <v>436</v>
      </c>
    </row>
    <row r="65" spans="2:6" ht="20" customHeight="1" x14ac:dyDescent="0.2">
      <c r="B65" s="33" t="s">
        <v>422</v>
      </c>
      <c r="C65" s="4">
        <f>IF(C61="40' Container",PortFeesFortyFoot,PortFeesTwentyFoot)/(BatteryInverterSitesCount*(IF(CombinedShippingInvertersBatteries,2,1)))</f>
        <v>218703.375</v>
      </c>
      <c r="D65" s="115" t="s">
        <v>47</v>
      </c>
      <c r="E65" t="s">
        <v>437</v>
      </c>
    </row>
    <row r="66" spans="2:6" ht="20" customHeight="1" x14ac:dyDescent="0.2">
      <c r="B66" s="33" t="s">
        <v>423</v>
      </c>
      <c r="C66" s="113">
        <f>ClearingAgentFees/(BatteryInverterSitesCount*(IF(CombinedShippingInvertersBatteries,2,1)))</f>
        <v>137000</v>
      </c>
      <c r="D66" s="115" t="s">
        <v>47</v>
      </c>
      <c r="E66" t="s">
        <v>438</v>
      </c>
    </row>
    <row r="67" spans="2:6" ht="20" customHeight="1" x14ac:dyDescent="0.2">
      <c r="B67" s="33"/>
      <c r="C67" s="113"/>
      <c r="D67" s="115"/>
    </row>
    <row r="68" spans="2:6" ht="20" customHeight="1" x14ac:dyDescent="0.2">
      <c r="B68" s="33" t="s">
        <v>510</v>
      </c>
      <c r="C68" s="99">
        <v>0</v>
      </c>
      <c r="D68" s="115"/>
      <c r="E68" t="s">
        <v>539</v>
      </c>
    </row>
    <row r="69" spans="2:6" ht="20" customHeight="1" x14ac:dyDescent="0.2">
      <c r="B69" s="33" t="s">
        <v>509</v>
      </c>
      <c r="C69" s="99">
        <v>0.05</v>
      </c>
      <c r="D69" s="115"/>
      <c r="E69" t="s">
        <v>540</v>
      </c>
    </row>
    <row r="70" spans="2:6" ht="20" customHeight="1" x14ac:dyDescent="0.2">
      <c r="B70" s="33" t="s">
        <v>508</v>
      </c>
      <c r="C70" s="99">
        <v>0</v>
      </c>
      <c r="D70" s="115"/>
      <c r="E70" t="s">
        <v>541</v>
      </c>
    </row>
    <row r="71" spans="2:6" ht="20" customHeight="1" x14ac:dyDescent="0.2">
      <c r="B71" s="33"/>
      <c r="C71" s="113"/>
      <c r="D71" s="115"/>
    </row>
    <row r="72" spans="2:6" ht="20" customHeight="1" x14ac:dyDescent="0.2">
      <c r="B72" s="33" t="s">
        <v>424</v>
      </c>
      <c r="C72" s="114">
        <f>VATRate*VATonBatteryInverters*(BatteryInverterNonVAT+ExchangeRateNGNUSD*(BatteryInverterCost+BatteryInverterCostShipping))</f>
        <v>0</v>
      </c>
      <c r="D72" s="115" t="s">
        <v>47</v>
      </c>
      <c r="E72" t="s">
        <v>439</v>
      </c>
    </row>
    <row r="73" spans="2:6" ht="20" customHeight="1" x14ac:dyDescent="0.2">
      <c r="B73" s="33" t="s">
        <v>425</v>
      </c>
      <c r="C73" s="114">
        <f>(
_xlfn.CEILING.MATH(ExchangeRateNGNUSD*((BatteryInverterCost+BatteryInverterCostShipping)*DutyOnBatteryInverters))
+_xlfn.CEILING.MATH(ExchangeRateNGNUSD*((BatteryInverterCost+BatteryInverterCostShipping)*LevyOnBatteryInverters))
+_xlfn.CEILING.MATH(ExchangeRateNGNUSD*(ImportCharge*BatteryInverterCost))
+_xlfn.CEILING.MATH(ExchangeRateNGNUSD*(PortSurcharge*(BatteryInverterCost+BatteryInverterCostShipping)*DutyOnBatteryInverters))
+_xlfn.CEILING.MATH(ExchangeRateNGNUSD*(ETLLevy*(BatteryInverterCost+BatteryInverterCostShipping)))
)</f>
        <v>86183</v>
      </c>
      <c r="D73" s="115" t="s">
        <v>47</v>
      </c>
      <c r="E73" t="s">
        <v>440</v>
      </c>
    </row>
    <row r="74" spans="2:6" ht="20" customHeight="1" x14ac:dyDescent="0.2">
      <c r="B74" s="33"/>
      <c r="C74" s="49"/>
      <c r="D74" s="115"/>
    </row>
    <row r="75" spans="2:6" ht="20" customHeight="1" x14ac:dyDescent="0.2">
      <c r="D75" s="115"/>
    </row>
    <row r="76" spans="2:6" ht="20" customHeight="1" x14ac:dyDescent="0.2">
      <c r="B76" s="23" t="s">
        <v>396</v>
      </c>
      <c r="D76" s="115"/>
    </row>
    <row r="77" spans="2:6" ht="20" customHeight="1" x14ac:dyDescent="0.2">
      <c r="B77" s="33" t="s">
        <v>361</v>
      </c>
      <c r="C77" s="91" t="b">
        <v>1</v>
      </c>
      <c r="D77" s="115"/>
      <c r="E77" t="s">
        <v>369</v>
      </c>
    </row>
    <row r="78" spans="2:6" ht="20" customHeight="1" x14ac:dyDescent="0.2">
      <c r="B78" s="33" t="s">
        <v>506</v>
      </c>
      <c r="C78" s="91">
        <v>120000</v>
      </c>
      <c r="D78" s="115" t="s">
        <v>47</v>
      </c>
      <c r="E78" t="s">
        <v>507</v>
      </c>
    </row>
    <row r="79" spans="2:6" ht="20" customHeight="1" x14ac:dyDescent="0.2">
      <c r="B79" s="33" t="s">
        <v>363</v>
      </c>
      <c r="C79" s="24">
        <v>5</v>
      </c>
      <c r="D79" s="115" t="s">
        <v>370</v>
      </c>
      <c r="E79" t="s">
        <v>368</v>
      </c>
    </row>
    <row r="80" spans="2:6" ht="20" customHeight="1" x14ac:dyDescent="0.2">
      <c r="B80" s="33" t="s">
        <v>364</v>
      </c>
      <c r="C80" s="24">
        <v>4200000</v>
      </c>
      <c r="D80" s="115" t="s">
        <v>47</v>
      </c>
      <c r="E80" t="s">
        <v>365</v>
      </c>
      <c r="F80" t="s">
        <v>503</v>
      </c>
    </row>
    <row r="81" spans="2:6" ht="20" customHeight="1" x14ac:dyDescent="0.2">
      <c r="B81" s="33" t="s">
        <v>367</v>
      </c>
      <c r="C81" s="24">
        <v>1180552</v>
      </c>
      <c r="D81" s="115" t="s">
        <v>47</v>
      </c>
      <c r="E81" t="s">
        <v>366</v>
      </c>
      <c r="F81" t="s">
        <v>504</v>
      </c>
    </row>
    <row r="82" spans="2:6" ht="20" customHeight="1" x14ac:dyDescent="0.2">
      <c r="B82" s="33" t="s">
        <v>372</v>
      </c>
      <c r="C82" s="24">
        <v>60000</v>
      </c>
      <c r="D82" s="115" t="s">
        <v>47</v>
      </c>
      <c r="E82" t="s">
        <v>371</v>
      </c>
      <c r="F82" t="s">
        <v>592</v>
      </c>
    </row>
    <row r="83" spans="2:6" ht="20" customHeight="1" x14ac:dyDescent="0.2">
      <c r="B83" s="33" t="s">
        <v>21</v>
      </c>
      <c r="C83" s="25">
        <v>0.1</v>
      </c>
      <c r="D83" s="115"/>
      <c r="E83" t="s">
        <v>505</v>
      </c>
    </row>
    <row r="84" spans="2:6" ht="20" customHeight="1" x14ac:dyDescent="0.2">
      <c r="D84" s="115"/>
    </row>
    <row r="85" spans="2:6" ht="20" customHeight="1" x14ac:dyDescent="0.2">
      <c r="B85" s="23" t="s">
        <v>22</v>
      </c>
      <c r="C85" s="105"/>
      <c r="D85" s="115"/>
    </row>
    <row r="86" spans="2:6" ht="20" customHeight="1" x14ac:dyDescent="0.2">
      <c r="B86" s="33" t="s">
        <v>429</v>
      </c>
      <c r="C86" s="24">
        <v>200</v>
      </c>
      <c r="D86" s="115" t="s">
        <v>428</v>
      </c>
      <c r="E86" t="s">
        <v>176</v>
      </c>
    </row>
    <row r="87" spans="2:6" ht="20" customHeight="1" x14ac:dyDescent="0.2">
      <c r="B87" s="33" t="s">
        <v>479</v>
      </c>
      <c r="C87" s="24">
        <v>875</v>
      </c>
      <c r="D87" s="115" t="s">
        <v>47</v>
      </c>
      <c r="E87" t="s">
        <v>177</v>
      </c>
      <c r="F87" t="s">
        <v>477</v>
      </c>
    </row>
    <row r="88" spans="2:6" ht="20" customHeight="1" x14ac:dyDescent="0.2">
      <c r="B88" s="33" t="s">
        <v>480</v>
      </c>
      <c r="C88" s="24">
        <v>3500</v>
      </c>
      <c r="D88" s="115" t="s">
        <v>47</v>
      </c>
      <c r="E88" t="s">
        <v>178</v>
      </c>
      <c r="F88" t="s">
        <v>477</v>
      </c>
    </row>
    <row r="89" spans="2:6" ht="20" customHeight="1" x14ac:dyDescent="0.2">
      <c r="B89" s="33" t="s">
        <v>481</v>
      </c>
      <c r="C89" s="24">
        <v>350</v>
      </c>
      <c r="D89" s="115" t="s">
        <v>47</v>
      </c>
      <c r="E89" t="s">
        <v>179</v>
      </c>
      <c r="F89" t="s">
        <v>478</v>
      </c>
    </row>
    <row r="90" spans="2:6" ht="20" customHeight="1" x14ac:dyDescent="0.2">
      <c r="D90" s="115"/>
    </row>
    <row r="91" spans="2:6" ht="20" customHeight="1" x14ac:dyDescent="0.2">
      <c r="B91" s="23" t="s">
        <v>123</v>
      </c>
      <c r="D91" s="115"/>
    </row>
    <row r="92" spans="2:6" ht="20" customHeight="1" x14ac:dyDescent="0.2">
      <c r="B92" s="106" t="s">
        <v>107</v>
      </c>
      <c r="D92" s="115"/>
    </row>
    <row r="93" spans="2:6" ht="20" customHeight="1" x14ac:dyDescent="0.2">
      <c r="B93" s="44" t="s">
        <v>222</v>
      </c>
      <c r="C93" s="49">
        <v>400</v>
      </c>
      <c r="D93" s="115"/>
      <c r="E93" t="s">
        <v>223</v>
      </c>
    </row>
    <row r="94" spans="2:6" ht="20" customHeight="1" x14ac:dyDescent="0.2">
      <c r="B94" s="33" t="s">
        <v>124</v>
      </c>
      <c r="C94" s="49">
        <v>1</v>
      </c>
      <c r="D94" s="115"/>
      <c r="E94" t="s">
        <v>148</v>
      </c>
    </row>
    <row r="95" spans="2:6" ht="20" customHeight="1" x14ac:dyDescent="0.2">
      <c r="B95" s="33" t="s">
        <v>336</v>
      </c>
      <c r="C95" s="113">
        <f>_xlfn.CEILING.MATH(NewConnections/36)*36</f>
        <v>432</v>
      </c>
      <c r="D95" s="115"/>
      <c r="E95" t="s">
        <v>344</v>
      </c>
    </row>
    <row r="96" spans="2:6" ht="20" customHeight="1" x14ac:dyDescent="0.2">
      <c r="B96" s="33" t="s">
        <v>337</v>
      </c>
      <c r="C96" s="49">
        <v>0</v>
      </c>
      <c r="D96" s="115"/>
      <c r="E96" t="s">
        <v>345</v>
      </c>
    </row>
    <row r="97" spans="2:6" ht="20" customHeight="1" x14ac:dyDescent="0.2">
      <c r="B97" s="33" t="s">
        <v>169</v>
      </c>
      <c r="C97" s="105">
        <f>MeterCountSMRSD+MeterCountSMRPI</f>
        <v>432</v>
      </c>
      <c r="D97" s="115"/>
      <c r="E97" t="s">
        <v>170</v>
      </c>
    </row>
    <row r="98" spans="2:6" ht="20" customHeight="1" x14ac:dyDescent="0.2">
      <c r="B98" s="33" t="s">
        <v>125</v>
      </c>
      <c r="C98" s="49">
        <v>1</v>
      </c>
      <c r="D98" s="115"/>
      <c r="E98" t="s">
        <v>149</v>
      </c>
    </row>
    <row r="99" spans="2:6" ht="20" customHeight="1" x14ac:dyDescent="0.2">
      <c r="B99" s="33" t="s">
        <v>340</v>
      </c>
      <c r="C99" s="49">
        <v>40</v>
      </c>
      <c r="D99" s="115" t="s">
        <v>18</v>
      </c>
      <c r="E99" t="s">
        <v>342</v>
      </c>
    </row>
    <row r="100" spans="2:6" ht="20" customHeight="1" x14ac:dyDescent="0.2">
      <c r="B100" s="33" t="s">
        <v>341</v>
      </c>
      <c r="C100" s="24">
        <v>100</v>
      </c>
      <c r="D100" s="115" t="s">
        <v>18</v>
      </c>
      <c r="E100" t="s">
        <v>343</v>
      </c>
    </row>
    <row r="101" spans="2:6" ht="20" customHeight="1" x14ac:dyDescent="0.2">
      <c r="B101" s="33" t="s">
        <v>126</v>
      </c>
      <c r="C101" s="24">
        <v>150</v>
      </c>
      <c r="D101" s="115" t="s">
        <v>18</v>
      </c>
      <c r="E101" t="s">
        <v>150</v>
      </c>
    </row>
    <row r="102" spans="2:6" ht="20" customHeight="1" x14ac:dyDescent="0.2">
      <c r="B102" s="33" t="s">
        <v>181</v>
      </c>
      <c r="C102" s="24">
        <v>1</v>
      </c>
      <c r="D102" s="115"/>
      <c r="E102" t="s">
        <v>182</v>
      </c>
    </row>
    <row r="103" spans="2:6" ht="20" customHeight="1" x14ac:dyDescent="0.2">
      <c r="B103" s="33" t="s">
        <v>183</v>
      </c>
      <c r="C103" s="24">
        <v>1</v>
      </c>
      <c r="D103" s="115"/>
      <c r="E103" t="s">
        <v>184</v>
      </c>
    </row>
    <row r="104" spans="2:6" ht="20" customHeight="1" x14ac:dyDescent="0.2">
      <c r="B104" s="33" t="s">
        <v>127</v>
      </c>
      <c r="C104" s="24">
        <v>1050</v>
      </c>
      <c r="D104" s="115" t="s">
        <v>18</v>
      </c>
      <c r="E104" t="s">
        <v>151</v>
      </c>
    </row>
    <row r="105" spans="2:6" ht="20" customHeight="1" x14ac:dyDescent="0.2">
      <c r="B105" s="33" t="s">
        <v>561</v>
      </c>
      <c r="C105" s="107">
        <f>MeterCountSMRSD*MeterPriceSMRSD+MeterCountSMRPI*MeterPriceSMRPI+MeterCountSM200E*MeterPriceSM200E+MeterCountBaseStation*MeterPriceBaseStation</f>
        <v>18480</v>
      </c>
      <c r="D105" s="115" t="s">
        <v>18</v>
      </c>
      <c r="E105" t="s">
        <v>562</v>
      </c>
    </row>
    <row r="106" spans="2:6" ht="20" customHeight="1" x14ac:dyDescent="0.2">
      <c r="B106" s="33"/>
      <c r="C106" s="24"/>
      <c r="D106" s="115"/>
    </row>
    <row r="107" spans="2:6" ht="20" customHeight="1" x14ac:dyDescent="0.2">
      <c r="B107" s="106" t="s">
        <v>395</v>
      </c>
      <c r="C107" s="24"/>
      <c r="D107" s="115"/>
    </row>
    <row r="108" spans="2:6" ht="20" customHeight="1" x14ac:dyDescent="0.2">
      <c r="B108" s="33" t="s">
        <v>482</v>
      </c>
      <c r="C108" s="24">
        <v>5.48</v>
      </c>
      <c r="D108" s="115" t="s">
        <v>18</v>
      </c>
      <c r="F108" t="s">
        <v>483</v>
      </c>
    </row>
    <row r="109" spans="2:6" ht="20" customHeight="1" x14ac:dyDescent="0.2">
      <c r="B109" s="33" t="s">
        <v>484</v>
      </c>
      <c r="C109" s="107">
        <f>C108*MeterTotalCount</f>
        <v>2367.36</v>
      </c>
      <c r="D109" s="115" t="s">
        <v>18</v>
      </c>
      <c r="E109" t="s">
        <v>485</v>
      </c>
    </row>
    <row r="110" spans="2:6" ht="20" customHeight="1" x14ac:dyDescent="0.2">
      <c r="B110" s="33"/>
      <c r="C110" s="24"/>
      <c r="D110" s="115"/>
    </row>
    <row r="111" spans="2:6" ht="20" customHeight="1" x14ac:dyDescent="0.2">
      <c r="B111" s="33"/>
      <c r="C111" s="24"/>
      <c r="D111" s="115"/>
    </row>
    <row r="112" spans="2:6" ht="20" customHeight="1" x14ac:dyDescent="0.2">
      <c r="B112" s="106" t="s">
        <v>415</v>
      </c>
      <c r="C112" s="24"/>
      <c r="D112" s="115"/>
    </row>
    <row r="113" spans="2:6" ht="20" customHeight="1" x14ac:dyDescent="0.2">
      <c r="B113" s="44" t="s">
        <v>463</v>
      </c>
      <c r="C113" s="107">
        <f>InspectionFees*ExchangeRateNGNUSD/MeterSitesCount</f>
        <v>102750</v>
      </c>
      <c r="D113" s="115" t="s">
        <v>47</v>
      </c>
      <c r="E113" t="s">
        <v>441</v>
      </c>
    </row>
    <row r="114" spans="2:6" ht="20" customHeight="1" x14ac:dyDescent="0.2">
      <c r="B114" s="33" t="s">
        <v>464</v>
      </c>
      <c r="C114" s="24">
        <f>100000/MeterSitesCount</f>
        <v>100000</v>
      </c>
      <c r="D114" s="115" t="s">
        <v>47</v>
      </c>
      <c r="E114" t="s">
        <v>442</v>
      </c>
      <c r="F114" t="s">
        <v>486</v>
      </c>
    </row>
    <row r="115" spans="2:6" ht="20" customHeight="1" x14ac:dyDescent="0.2">
      <c r="B115" s="33" t="s">
        <v>465</v>
      </c>
      <c r="C115" s="107">
        <f>ClearingAgentFees/MeterSitesCount</f>
        <v>137000</v>
      </c>
      <c r="D115" s="115" t="s">
        <v>47</v>
      </c>
      <c r="E115" t="s">
        <v>443</v>
      </c>
    </row>
    <row r="116" spans="2:6" ht="20" customHeight="1" x14ac:dyDescent="0.2">
      <c r="B116" s="33"/>
      <c r="C116" s="113"/>
      <c r="D116" s="115"/>
    </row>
    <row r="117" spans="2:6" ht="20" customHeight="1" x14ac:dyDescent="0.2">
      <c r="B117" s="33" t="s">
        <v>514</v>
      </c>
      <c r="C117" s="99">
        <v>0</v>
      </c>
      <c r="D117" s="115"/>
      <c r="E117" t="s">
        <v>536</v>
      </c>
    </row>
    <row r="118" spans="2:6" ht="20" customHeight="1" x14ac:dyDescent="0.2">
      <c r="B118" s="33" t="s">
        <v>515</v>
      </c>
      <c r="C118" s="99">
        <v>0.1</v>
      </c>
      <c r="D118" s="115"/>
      <c r="E118" t="s">
        <v>537</v>
      </c>
    </row>
    <row r="119" spans="2:6" ht="20" customHeight="1" x14ac:dyDescent="0.2">
      <c r="B119" s="33" t="s">
        <v>516</v>
      </c>
      <c r="C119" s="99">
        <v>0.35</v>
      </c>
      <c r="D119" s="115"/>
      <c r="E119" t="s">
        <v>538</v>
      </c>
    </row>
    <row r="120" spans="2:6" ht="20" customHeight="1" x14ac:dyDescent="0.2">
      <c r="B120" s="33"/>
      <c r="C120" s="113"/>
      <c r="D120" s="115"/>
    </row>
    <row r="121" spans="2:6" ht="20" customHeight="1" x14ac:dyDescent="0.2">
      <c r="B121" s="33" t="s">
        <v>466</v>
      </c>
      <c r="C121" s="117" cm="1">
        <f t="array" ref="C121">VATRate*VATonMeters*(MeterNonVAT+ExchangeRateNGNUSD*(MeterCost+MeterShippingCost))</f>
        <v>0</v>
      </c>
      <c r="D121" s="115" t="s">
        <v>47</v>
      </c>
      <c r="E121" t="s">
        <v>444</v>
      </c>
    </row>
    <row r="122" spans="2:6" ht="20" customHeight="1" x14ac:dyDescent="0.2">
      <c r="B122" s="33" t="s">
        <v>467</v>
      </c>
      <c r="C122" s="117">
        <f>(
_xlfn.CEILING.MATH(ExchangeRateNGNUSD*((MeterCost+MeterShippingCost)*DutyOnMeters))
+_xlfn.CEILING.MATH(ExchangeRateNGNUSD*((MeterCost+MeterShippingCost)*LevyOnMeters))
+_xlfn.CEILING.MATH(ExchangeRateNGNUSD*(ImportCharge*MeterCost))
+_xlfn.CEILING.MATH(ExchangeRateNGNUSD*(PortSurcharge*(MeterCost+MeterShippingCost)*DutyOnMeters))
+_xlfn.CEILING.MATH(ExchangeRateNGNUSD*(ETLLevy*(MeterCost+MeterShippingCost)))
)</f>
        <v>4034493</v>
      </c>
      <c r="D122" s="115" t="s">
        <v>47</v>
      </c>
      <c r="E122" t="s">
        <v>445</v>
      </c>
    </row>
    <row r="123" spans="2:6" ht="20" customHeight="1" x14ac:dyDescent="0.2">
      <c r="D123" s="115"/>
    </row>
    <row r="124" spans="2:6" ht="20" customHeight="1" x14ac:dyDescent="0.2">
      <c r="B124" s="23" t="s">
        <v>110</v>
      </c>
      <c r="D124" s="115"/>
    </row>
    <row r="125" spans="2:6" ht="20" customHeight="1" x14ac:dyDescent="0.2">
      <c r="B125" s="106" t="s">
        <v>107</v>
      </c>
      <c r="D125" s="115"/>
    </row>
    <row r="126" spans="2:6" ht="20" customHeight="1" x14ac:dyDescent="0.2">
      <c r="B126" s="33" t="s">
        <v>488</v>
      </c>
      <c r="C126" s="24">
        <v>540</v>
      </c>
      <c r="D126" s="115" t="s">
        <v>41</v>
      </c>
      <c r="E126" t="s">
        <v>159</v>
      </c>
    </row>
    <row r="127" spans="2:6" ht="20" customHeight="1" x14ac:dyDescent="0.2">
      <c r="B127" s="33" t="s">
        <v>133</v>
      </c>
      <c r="C127" s="49">
        <v>30</v>
      </c>
      <c r="D127" s="115"/>
      <c r="E127" t="s">
        <v>154</v>
      </c>
    </row>
    <row r="128" spans="2:6" ht="20" customHeight="1" x14ac:dyDescent="0.2">
      <c r="B128" s="33" t="s">
        <v>157</v>
      </c>
      <c r="C128" s="24">
        <v>3</v>
      </c>
      <c r="D128" s="115"/>
      <c r="E128" t="s">
        <v>156</v>
      </c>
    </row>
    <row r="129" spans="2:5" ht="20" customHeight="1" x14ac:dyDescent="0.2">
      <c r="B129" s="33" t="s">
        <v>566</v>
      </c>
      <c r="C129">
        <f>C128*C127</f>
        <v>90</v>
      </c>
      <c r="D129" s="115"/>
      <c r="E129" t="s">
        <v>155</v>
      </c>
    </row>
    <row r="130" spans="2:5" ht="20" customHeight="1" x14ac:dyDescent="0.2">
      <c r="B130" s="33" t="s">
        <v>564</v>
      </c>
      <c r="C130">
        <f>C126*C129</f>
        <v>48600</v>
      </c>
      <c r="D130" s="115" t="s">
        <v>41</v>
      </c>
      <c r="E130" t="s">
        <v>158</v>
      </c>
    </row>
    <row r="131" spans="2:5" ht="20" customHeight="1" x14ac:dyDescent="0.2">
      <c r="B131" s="33" t="s">
        <v>111</v>
      </c>
      <c r="C131" s="26">
        <v>0.27300000000000002</v>
      </c>
      <c r="D131" s="115" t="s">
        <v>18</v>
      </c>
      <c r="E131" t="s">
        <v>152</v>
      </c>
    </row>
    <row r="132" spans="2:5" ht="20" customHeight="1" x14ac:dyDescent="0.2">
      <c r="B132" s="33" t="s">
        <v>112</v>
      </c>
      <c r="C132">
        <f>C131*C126</f>
        <v>147.42000000000002</v>
      </c>
      <c r="D132" s="115" t="s">
        <v>18</v>
      </c>
      <c r="E132" t="s">
        <v>153</v>
      </c>
    </row>
    <row r="133" spans="2:5" ht="20" customHeight="1" x14ac:dyDescent="0.2">
      <c r="B133" s="33" t="s">
        <v>563</v>
      </c>
      <c r="C133" s="4">
        <f>PVPanelCount*PVPricePerPanel</f>
        <v>13267.800000000001</v>
      </c>
      <c r="D133" s="115" t="s">
        <v>18</v>
      </c>
      <c r="E133" t="s">
        <v>565</v>
      </c>
    </row>
    <row r="134" spans="2:5" ht="20" customHeight="1" x14ac:dyDescent="0.2">
      <c r="B134" s="33"/>
      <c r="C134" s="24"/>
      <c r="D134" s="115"/>
    </row>
    <row r="135" spans="2:5" ht="20" customHeight="1" x14ac:dyDescent="0.2">
      <c r="B135" s="106" t="s">
        <v>395</v>
      </c>
      <c r="C135" s="24"/>
      <c r="D135" s="115"/>
    </row>
    <row r="136" spans="2:5" ht="20" customHeight="1" x14ac:dyDescent="0.2">
      <c r="B136" s="33" t="s">
        <v>400</v>
      </c>
      <c r="C136" s="24">
        <v>620</v>
      </c>
      <c r="D136" s="115"/>
      <c r="E136" t="s">
        <v>160</v>
      </c>
    </row>
    <row r="137" spans="2:5" ht="20" customHeight="1" x14ac:dyDescent="0.2">
      <c r="B137" s="33" t="s">
        <v>489</v>
      </c>
      <c r="C137">
        <f>C136*C126/1000</f>
        <v>334.8</v>
      </c>
      <c r="D137" s="115" t="s">
        <v>468</v>
      </c>
      <c r="E137" t="s">
        <v>161</v>
      </c>
    </row>
    <row r="138" spans="2:5" ht="20" customHeight="1" x14ac:dyDescent="0.2">
      <c r="B138" s="33" t="s">
        <v>494</v>
      </c>
      <c r="C138" s="118">
        <f>PVSiteWattage/(PVkWInShipment*1000)</f>
        <v>0.14516129032258066</v>
      </c>
      <c r="D138" s="115"/>
    </row>
    <row r="139" spans="2:5" ht="20" customHeight="1" x14ac:dyDescent="0.2">
      <c r="B139" s="33" t="s">
        <v>134</v>
      </c>
      <c r="C139" s="24">
        <v>4000</v>
      </c>
      <c r="D139" s="115" t="s">
        <v>18</v>
      </c>
      <c r="E139" t="s">
        <v>162</v>
      </c>
    </row>
    <row r="140" spans="2:5" ht="20" customHeight="1" x14ac:dyDescent="0.2">
      <c r="B140" s="33" t="s">
        <v>135</v>
      </c>
      <c r="C140" s="29">
        <f>C139/C136</f>
        <v>6.4516129032258061</v>
      </c>
      <c r="D140" s="115" t="s">
        <v>18</v>
      </c>
      <c r="E140" t="s">
        <v>163</v>
      </c>
    </row>
    <row r="141" spans="2:5" ht="20" customHeight="1" x14ac:dyDescent="0.2">
      <c r="B141" s="33" t="s">
        <v>567</v>
      </c>
      <c r="C141" s="4">
        <f>PVTransportPerPanel*PVPanelCount</f>
        <v>580.64516129032256</v>
      </c>
      <c r="D141" s="115"/>
      <c r="E141" t="s">
        <v>568</v>
      </c>
    </row>
    <row r="142" spans="2:5" ht="20" customHeight="1" x14ac:dyDescent="0.2">
      <c r="B142" s="33" t="s">
        <v>407</v>
      </c>
      <c r="C142" s="91" t="s">
        <v>388</v>
      </c>
      <c r="D142" s="115"/>
    </row>
    <row r="143" spans="2:5" ht="20" customHeight="1" x14ac:dyDescent="0.2">
      <c r="B143" s="33"/>
      <c r="C143" s="91"/>
      <c r="D143" s="115"/>
    </row>
    <row r="144" spans="2:5" ht="20" customHeight="1" x14ac:dyDescent="0.2">
      <c r="B144" s="106" t="s">
        <v>415</v>
      </c>
      <c r="C144" s="91"/>
      <c r="D144" s="115"/>
    </row>
    <row r="145" spans="2:5" ht="20" customHeight="1" x14ac:dyDescent="0.2">
      <c r="B145" s="44" t="s">
        <v>446</v>
      </c>
      <c r="C145" s="119">
        <f>InspectionFees*ExchangeRateNGNUSD*C138</f>
        <v>14915.322580645163</v>
      </c>
      <c r="D145" s="115" t="s">
        <v>47</v>
      </c>
      <c r="E145" t="s">
        <v>447</v>
      </c>
    </row>
    <row r="146" spans="2:5" ht="20" customHeight="1" x14ac:dyDescent="0.2">
      <c r="B146" s="33" t="s">
        <v>410</v>
      </c>
      <c r="C146" s="4">
        <f>IF(C142="40' Container",PortFeesFortyFoot,PortFeesTwentyFoot)*C138</f>
        <v>31747.264112903227</v>
      </c>
      <c r="D146" s="115" t="s">
        <v>47</v>
      </c>
      <c r="E146" t="s">
        <v>448</v>
      </c>
    </row>
    <row r="147" spans="2:5" ht="20" customHeight="1" x14ac:dyDescent="0.2">
      <c r="B147" s="33" t="s">
        <v>411</v>
      </c>
      <c r="C147" s="4">
        <f>ClearingAgentFees*C138</f>
        <v>19887.096774193549</v>
      </c>
      <c r="D147" s="115" t="s">
        <v>47</v>
      </c>
      <c r="E147" t="s">
        <v>449</v>
      </c>
    </row>
    <row r="148" spans="2:5" ht="20" customHeight="1" x14ac:dyDescent="0.2">
      <c r="B148" s="33"/>
      <c r="C148" s="113"/>
      <c r="D148" s="115"/>
    </row>
    <row r="149" spans="2:5" ht="20" customHeight="1" x14ac:dyDescent="0.2">
      <c r="B149" s="33" t="s">
        <v>517</v>
      </c>
      <c r="C149" s="99">
        <v>0</v>
      </c>
      <c r="D149" s="115"/>
      <c r="E149" t="s">
        <v>533</v>
      </c>
    </row>
    <row r="150" spans="2:5" ht="20" customHeight="1" x14ac:dyDescent="0.2">
      <c r="B150" s="33" t="s">
        <v>518</v>
      </c>
      <c r="C150" s="99">
        <v>0</v>
      </c>
      <c r="D150" s="115"/>
      <c r="E150" t="s">
        <v>534</v>
      </c>
    </row>
    <row r="151" spans="2:5" ht="20" customHeight="1" x14ac:dyDescent="0.2">
      <c r="B151" s="33" t="s">
        <v>519</v>
      </c>
      <c r="C151" s="99">
        <v>0</v>
      </c>
      <c r="D151" s="115"/>
      <c r="E151" t="s">
        <v>535</v>
      </c>
    </row>
    <row r="152" spans="2:5" ht="20" customHeight="1" x14ac:dyDescent="0.2">
      <c r="B152" s="45" t="s">
        <v>520</v>
      </c>
      <c r="C152" s="99"/>
      <c r="D152" s="115"/>
    </row>
    <row r="153" spans="2:5" ht="20" customHeight="1" x14ac:dyDescent="0.2">
      <c r="B153" s="33"/>
      <c r="C153" s="113"/>
      <c r="D153" s="115"/>
    </row>
    <row r="154" spans="2:5" ht="20" customHeight="1" x14ac:dyDescent="0.2">
      <c r="B154" s="33" t="s">
        <v>412</v>
      </c>
      <c r="C154" cm="1">
        <f t="array" ref="C154">VATRate*VATonPV*(PVNonVAT+ExchangeRateNGNUSD*(PVCost+PVCostShipping))</f>
        <v>0</v>
      </c>
      <c r="D154" s="115" t="s">
        <v>47</v>
      </c>
      <c r="E154" t="s">
        <v>450</v>
      </c>
    </row>
    <row r="155" spans="2:5" ht="20" customHeight="1" x14ac:dyDescent="0.2">
      <c r="B155" s="33" t="s">
        <v>413</v>
      </c>
      <c r="C155" s="4">
        <f>(
_xlfn.CEILING.MATH(ExchangeRateNGNUSD*((PVCost+PVCostShipping)*DutyOnPV))
+_xlfn.CEILING.MATH(ExchangeRateNGNUSD*((PVCost+PVCostShipping)*LevyOnPV))
+_xlfn.CEILING.MATH(ExchangeRateNGNUSD*(ImportCharge*PVCost))
+_xlfn.CEILING.MATH(ExchangeRateNGNUSD*(PortSurcharge*(PVCost+PVCostShipping)*DutyOnPV))
+_xlfn.CEILING.MATH(ExchangeRateNGNUSD*(ETLLevy*(PVCost+PVCostShipping)))
)</f>
        <v>82990</v>
      </c>
      <c r="D155" s="115" t="s">
        <v>47</v>
      </c>
      <c r="E155" t="s">
        <v>451</v>
      </c>
    </row>
    <row r="156" spans="2:5" ht="20" customHeight="1" x14ac:dyDescent="0.2">
      <c r="B156" s="33"/>
      <c r="C156" s="91"/>
      <c r="D156" s="115"/>
    </row>
    <row r="157" spans="2:5" ht="20" customHeight="1" x14ac:dyDescent="0.2">
      <c r="B157" s="23" t="s">
        <v>171</v>
      </c>
      <c r="D157" s="115"/>
    </row>
    <row r="158" spans="2:5" ht="20" customHeight="1" x14ac:dyDescent="0.2">
      <c r="B158" s="33" t="s">
        <v>128</v>
      </c>
      <c r="C158" s="24">
        <v>1</v>
      </c>
      <c r="D158" s="115"/>
      <c r="E158" t="s">
        <v>164</v>
      </c>
    </row>
    <row r="159" spans="2:5" ht="20" customHeight="1" x14ac:dyDescent="0.2">
      <c r="B159" s="33" t="s">
        <v>131</v>
      </c>
      <c r="C159" s="49">
        <v>588.88</v>
      </c>
      <c r="D159" s="115" t="s">
        <v>18</v>
      </c>
      <c r="E159" t="s">
        <v>165</v>
      </c>
    </row>
    <row r="160" spans="2:5" ht="20" customHeight="1" x14ac:dyDescent="0.2">
      <c r="B160" s="33" t="s">
        <v>571</v>
      </c>
      <c r="C160" s="49">
        <v>10</v>
      </c>
      <c r="D160" s="115"/>
      <c r="E160" t="s">
        <v>172</v>
      </c>
    </row>
    <row r="161" spans="2:6" ht="20" customHeight="1" x14ac:dyDescent="0.2">
      <c r="B161" s="33" t="s">
        <v>569</v>
      </c>
      <c r="C161" s="113">
        <f>PVCCCount*PVCCPricePerUnit</f>
        <v>5888.8</v>
      </c>
      <c r="D161" s="115" t="s">
        <v>18</v>
      </c>
      <c r="E161" t="s">
        <v>570</v>
      </c>
    </row>
    <row r="162" spans="2:6" ht="20" customHeight="1" x14ac:dyDescent="0.2">
      <c r="B162" s="33" t="s">
        <v>426</v>
      </c>
      <c r="C162" s="49">
        <v>0</v>
      </c>
      <c r="D162" s="115" t="s">
        <v>18</v>
      </c>
      <c r="E162" t="s">
        <v>572</v>
      </c>
      <c r="F162" t="s">
        <v>490</v>
      </c>
    </row>
    <row r="163" spans="2:6" ht="20" customHeight="1" x14ac:dyDescent="0.2">
      <c r="B163" s="33"/>
      <c r="C163" s="49"/>
      <c r="D163" s="115"/>
    </row>
    <row r="164" spans="2:6" ht="20" customHeight="1" x14ac:dyDescent="0.2">
      <c r="B164" s="106" t="s">
        <v>415</v>
      </c>
      <c r="C164" s="49"/>
      <c r="D164" s="115"/>
    </row>
    <row r="165" spans="2:6" ht="20" customHeight="1" x14ac:dyDescent="0.2">
      <c r="B165" s="33" t="s">
        <v>521</v>
      </c>
      <c r="C165" s="99">
        <v>0</v>
      </c>
      <c r="D165" s="115"/>
      <c r="E165" t="s">
        <v>530</v>
      </c>
    </row>
    <row r="166" spans="2:6" ht="20" customHeight="1" x14ac:dyDescent="0.2">
      <c r="B166" s="33" t="s">
        <v>522</v>
      </c>
      <c r="C166" s="99">
        <v>0.05</v>
      </c>
      <c r="D166" s="115"/>
      <c r="E166" t="s">
        <v>531</v>
      </c>
    </row>
    <row r="167" spans="2:6" ht="20" customHeight="1" x14ac:dyDescent="0.2">
      <c r="B167" s="33" t="s">
        <v>523</v>
      </c>
      <c r="C167" s="99">
        <v>0</v>
      </c>
      <c r="D167" s="115"/>
      <c r="E167" t="s">
        <v>532</v>
      </c>
    </row>
    <row r="168" spans="2:6" ht="20" customHeight="1" x14ac:dyDescent="0.2">
      <c r="B168" s="33"/>
      <c r="C168" s="113"/>
      <c r="D168" s="115"/>
    </row>
    <row r="169" spans="2:6" ht="20" customHeight="1" x14ac:dyDescent="0.2">
      <c r="B169" s="33" t="s">
        <v>412</v>
      </c>
      <c r="C169" s="114" cm="1">
        <f t="array" ref="C169">VATRate*VATonPVInverters*(PVCCNonVAT+ExchangeRateNGNUSD*(PVCCCost+PVCCCostShipping))</f>
        <v>0</v>
      </c>
      <c r="D169" s="115" t="s">
        <v>47</v>
      </c>
      <c r="E169" t="s">
        <v>491</v>
      </c>
    </row>
    <row r="170" spans="2:6" ht="20" customHeight="1" x14ac:dyDescent="0.2">
      <c r="B170" s="33" t="s">
        <v>413</v>
      </c>
      <c r="C170" s="114">
        <f>(
_xlfn.CEILING.MATH(ExchangeRateNGNUSD*((PVCCCost+PVCCCostShipping)*DutyOnPVInverters))
+_xlfn.CEILING.MATH(ExchangeRateNGNUSD*((PVCCCost+PVCCCostShipping)*LevyOnPVInverters))
+_xlfn.CEILING.MATH(ExchangeRateNGNUSD*(ImportCharge*PVCCCost))
+_xlfn.CEILING.MATH(ExchangeRateNGNUSD*(PortSurcharge*(PVCCCost+PVCCCostShipping)*DutyOnPVInverters))
+_xlfn.CEILING.MATH(ExchangeRateNGNUSD*(ETLLevy*(PVCCCost+PVCCCostShipping)))
)</f>
        <v>165792</v>
      </c>
      <c r="D170" s="115" t="s">
        <v>47</v>
      </c>
      <c r="E170" t="s">
        <v>492</v>
      </c>
    </row>
    <row r="171" spans="2:6" ht="20" customHeight="1" x14ac:dyDescent="0.2">
      <c r="B171" s="33"/>
      <c r="C171" s="49"/>
      <c r="D171" s="115"/>
    </row>
    <row r="172" spans="2:6" ht="20" customHeight="1" x14ac:dyDescent="0.2">
      <c r="B172" s="23" t="s">
        <v>185</v>
      </c>
      <c r="D172" s="115"/>
    </row>
    <row r="173" spans="2:6" ht="20" customHeight="1" x14ac:dyDescent="0.2">
      <c r="B173" s="106" t="s">
        <v>417</v>
      </c>
      <c r="D173" s="115"/>
    </row>
    <row r="174" spans="2:6" ht="20" customHeight="1" x14ac:dyDescent="0.2">
      <c r="B174" s="33" t="s">
        <v>201</v>
      </c>
      <c r="C174" s="24">
        <v>0.05</v>
      </c>
      <c r="D174" s="115" t="s">
        <v>18</v>
      </c>
      <c r="E174" t="s">
        <v>203</v>
      </c>
    </row>
    <row r="175" spans="2:6" ht="20" customHeight="1" x14ac:dyDescent="0.2">
      <c r="B175" s="33" t="s">
        <v>202</v>
      </c>
      <c r="C175" s="24">
        <v>0.01</v>
      </c>
      <c r="D175" s="115" t="s">
        <v>18</v>
      </c>
      <c r="E175" t="s">
        <v>204</v>
      </c>
    </row>
    <row r="176" spans="2:6" ht="20" customHeight="1" x14ac:dyDescent="0.2">
      <c r="B176" s="33" t="s">
        <v>573</v>
      </c>
      <c r="C176" s="107">
        <f>RackingPricePerW*PVSiteWattage</f>
        <v>2430</v>
      </c>
      <c r="D176" s="115" t="s">
        <v>18</v>
      </c>
      <c r="E176" t="s">
        <v>574</v>
      </c>
    </row>
    <row r="177" spans="2:5" ht="20" customHeight="1" x14ac:dyDescent="0.2">
      <c r="D177" s="115"/>
    </row>
    <row r="178" spans="2:5" ht="20" customHeight="1" x14ac:dyDescent="0.2">
      <c r="B178" s="106" t="s">
        <v>395</v>
      </c>
      <c r="D178" s="115"/>
    </row>
    <row r="179" spans="2:5" ht="20" customHeight="1" x14ac:dyDescent="0.2">
      <c r="B179" s="44" t="s">
        <v>420</v>
      </c>
      <c r="C179" s="24">
        <v>1000</v>
      </c>
      <c r="D179" s="115" t="s">
        <v>18</v>
      </c>
    </row>
    <row r="180" spans="2:5" ht="20" customHeight="1" x14ac:dyDescent="0.2">
      <c r="B180" s="44" t="s">
        <v>419</v>
      </c>
      <c r="C180" s="24">
        <v>1</v>
      </c>
      <c r="D180" s="115"/>
      <c r="E180" t="s">
        <v>462</v>
      </c>
    </row>
    <row r="181" spans="2:5" ht="20" customHeight="1" x14ac:dyDescent="0.2">
      <c r="B181" s="44" t="s">
        <v>496</v>
      </c>
      <c r="C181" s="107">
        <f>C179/RackingSitesCount</f>
        <v>1000</v>
      </c>
      <c r="D181" s="115" t="s">
        <v>18</v>
      </c>
      <c r="E181" t="s">
        <v>497</v>
      </c>
    </row>
    <row r="182" spans="2:5" ht="20" customHeight="1" x14ac:dyDescent="0.2">
      <c r="B182" s="111" t="s">
        <v>418</v>
      </c>
      <c r="C182" s="91" t="s">
        <v>388</v>
      </c>
      <c r="D182" s="115"/>
    </row>
    <row r="183" spans="2:5" ht="20" customHeight="1" x14ac:dyDescent="0.2">
      <c r="B183" s="111"/>
      <c r="D183" s="115"/>
    </row>
    <row r="184" spans="2:5" ht="20" customHeight="1" x14ac:dyDescent="0.2">
      <c r="B184" s="112" t="s">
        <v>474</v>
      </c>
      <c r="D184" s="115"/>
    </row>
    <row r="185" spans="2:5" ht="20" customHeight="1" x14ac:dyDescent="0.2">
      <c r="B185" s="33" t="s">
        <v>452</v>
      </c>
      <c r="C185">
        <f>InspectionFees*ExchangeRateNGNUSD/RackingSitesCount</f>
        <v>102750</v>
      </c>
      <c r="D185" s="116" t="s">
        <v>47</v>
      </c>
      <c r="E185" t="s">
        <v>453</v>
      </c>
    </row>
    <row r="186" spans="2:5" ht="20" customHeight="1" x14ac:dyDescent="0.2">
      <c r="B186" s="111" t="s">
        <v>454</v>
      </c>
      <c r="C186" s="4">
        <f>IF(C182="40' Container",PortFeesFortyFoot,PortFeesTwentyFoot)/RackingSitesCount</f>
        <v>218703.375</v>
      </c>
      <c r="D186" s="116" t="s">
        <v>47</v>
      </c>
      <c r="E186" t="s">
        <v>455</v>
      </c>
    </row>
    <row r="187" spans="2:5" ht="20" customHeight="1" x14ac:dyDescent="0.2">
      <c r="B187" s="111" t="s">
        <v>456</v>
      </c>
      <c r="C187">
        <f>ClearingAgentFees/RackingSitesCount</f>
        <v>137000</v>
      </c>
      <c r="D187" s="115" t="s">
        <v>47</v>
      </c>
      <c r="E187" t="s">
        <v>457</v>
      </c>
    </row>
    <row r="188" spans="2:5" ht="20" customHeight="1" x14ac:dyDescent="0.2">
      <c r="B188" s="33"/>
      <c r="C188" s="113"/>
      <c r="D188" s="115"/>
    </row>
    <row r="189" spans="2:5" ht="20" customHeight="1" x14ac:dyDescent="0.2">
      <c r="B189" s="33" t="s">
        <v>524</v>
      </c>
      <c r="C189" s="122">
        <f>VATRate</f>
        <v>7.4999999999999997E-2</v>
      </c>
      <c r="D189" s="115"/>
      <c r="E189" t="s">
        <v>529</v>
      </c>
    </row>
    <row r="190" spans="2:5" ht="20" customHeight="1" x14ac:dyDescent="0.2">
      <c r="B190" s="33" t="s">
        <v>525</v>
      </c>
      <c r="C190" s="99">
        <v>0.05</v>
      </c>
      <c r="D190" s="115"/>
      <c r="E190" t="s">
        <v>528</v>
      </c>
    </row>
    <row r="191" spans="2:5" ht="20" customHeight="1" x14ac:dyDescent="0.2">
      <c r="B191" s="33" t="s">
        <v>526</v>
      </c>
      <c r="C191" s="99">
        <v>0.15</v>
      </c>
      <c r="D191" s="115"/>
      <c r="E191" t="s">
        <v>527</v>
      </c>
    </row>
    <row r="192" spans="2:5" ht="20" customHeight="1" x14ac:dyDescent="0.2">
      <c r="B192" s="33"/>
      <c r="C192" s="113"/>
      <c r="D192" s="115"/>
    </row>
    <row r="193" spans="2:5" ht="20" customHeight="1" x14ac:dyDescent="0.2">
      <c r="B193" s="111" t="s">
        <v>458</v>
      </c>
      <c r="C193" s="4">
        <f>VATRate*VATonRacking*(RackingNonVAT+ExchangeRateNGNUSD*(RackingCost+RackingShippingCost))</f>
        <v>9639.2756250000002</v>
      </c>
      <c r="D193" s="115" t="s">
        <v>47</v>
      </c>
      <c r="E193" t="s">
        <v>459</v>
      </c>
    </row>
    <row r="194" spans="2:5" ht="20" customHeight="1" x14ac:dyDescent="0.2">
      <c r="B194" s="111" t="s">
        <v>460</v>
      </c>
      <c r="C194" s="4">
        <f>(
_xlfn.CEILING.MATH(ExchangeRateNGNUSD*((RackingCost+RackingShippingCost)*DutyOnRacking))
+_xlfn.CEILING.MATH(ExchangeRateNGNUSD*((RackingCost+RackingShippingCost)*LevyOnRacking))
+_xlfn.CEILING.MATH(ExchangeRateNGNUSD*(ImportCharge*RackingCost))
+_xlfn.CEILING.MATH(ExchangeRateNGNUSD*(PortSurcharge*(RackingCost+RackingShippingCost)*DutyOnRacking))
+_xlfn.CEILING.MATH(ExchangeRateNGNUSD*(ETLLevy*(RackingCost+RackingShippingCost)))
)</f>
        <v>303919</v>
      </c>
      <c r="D194" s="115" t="s">
        <v>47</v>
      </c>
      <c r="E194" t="s">
        <v>461</v>
      </c>
    </row>
    <row r="195" spans="2:5" ht="20" customHeight="1" x14ac:dyDescent="0.2">
      <c r="B195" s="111"/>
      <c r="C195" s="4"/>
      <c r="D195" s="115"/>
    </row>
    <row r="196" spans="2:5" ht="20" customHeight="1" x14ac:dyDescent="0.2"/>
    <row r="197" spans="2:5" ht="20" customHeight="1" x14ac:dyDescent="0.2"/>
    <row r="198" spans="2:5" ht="20" customHeight="1" x14ac:dyDescent="0.2"/>
    <row r="199" spans="2:5" ht="20" customHeight="1" x14ac:dyDescent="0.2"/>
    <row r="200" spans="2:5" ht="20" customHeight="1" x14ac:dyDescent="0.2"/>
    <row r="201" spans="2:5" ht="20" hidden="1" customHeight="1" x14ac:dyDescent="0.2"/>
    <row r="202" spans="2:5" ht="20" hidden="1" customHeight="1" x14ac:dyDescent="0.2"/>
    <row r="203" spans="2:5" ht="20" hidden="1" customHeight="1" x14ac:dyDescent="0.2"/>
    <row r="204" spans="2:5" ht="20" hidden="1" customHeight="1" x14ac:dyDescent="0.2"/>
    <row r="205" spans="2:5" ht="20" hidden="1" customHeight="1" x14ac:dyDescent="0.2"/>
    <row r="206" spans="2:5" ht="20" hidden="1" customHeight="1" x14ac:dyDescent="0.2"/>
  </sheetData>
  <dataValidations count="3">
    <dataValidation type="list" allowBlank="1" showInputMessage="1" showErrorMessage="1" sqref="C182 C35 C61 C142" xr:uid="{C2475237-1BFB-7B4D-BA07-CC9ABE8F0494}">
      <formula1>"LCL, 20' Container, 40' Container"</formula1>
    </dataValidation>
    <dataValidation type="list" allowBlank="1" showInputMessage="1" showErrorMessage="1" sqref="C77" xr:uid="{141766F4-E265-DD41-AF75-366F051BB828}">
      <formula1>"TRUE, FALSE"</formula1>
    </dataValidation>
    <dataValidation type="list" allowBlank="1" showInputMessage="1" showErrorMessage="1" sqref="C36" xr:uid="{72DE72A7-0F6C-5343-860F-100DC551AD7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07E7-6E4D-1549-B886-0B503D32DF75}">
  <sheetPr codeName="Sheet1">
    <tabColor theme="4" tint="0.79998168889431442"/>
  </sheetPr>
  <dimension ref="A1:L79"/>
  <sheetViews>
    <sheetView showGridLines="0" topLeftCell="B2" zoomScale="80" zoomScaleNormal="80" workbookViewId="0">
      <selection activeCell="C25" sqref="C25"/>
    </sheetView>
  </sheetViews>
  <sheetFormatPr baseColWidth="10" defaultColWidth="0" defaultRowHeight="16" zeroHeight="1" x14ac:dyDescent="0.2"/>
  <cols>
    <col min="1" max="1" width="10.83203125" customWidth="1"/>
    <col min="2" max="2" width="93.1640625" customWidth="1"/>
    <col min="3" max="3" width="33.1640625" customWidth="1"/>
    <col min="4" max="4" width="13.1640625" customWidth="1"/>
    <col min="5" max="5" width="36.1640625" bestFit="1" customWidth="1"/>
    <col min="6" max="6" width="21.33203125" customWidth="1"/>
    <col min="7" max="16384" width="10.83203125" hidden="1"/>
  </cols>
  <sheetData>
    <row r="1" spans="1:12" ht="20" customHeight="1" x14ac:dyDescent="0.2"/>
    <row r="2" spans="1:12" ht="40" customHeight="1" x14ac:dyDescent="0.2">
      <c r="B2" s="46" t="s">
        <v>264</v>
      </c>
    </row>
    <row r="3" spans="1:12" ht="20" customHeight="1" x14ac:dyDescent="0.2">
      <c r="B3" s="28" t="s">
        <v>430</v>
      </c>
    </row>
    <row r="4" spans="1:12" ht="20" customHeight="1" x14ac:dyDescent="0.2"/>
    <row r="5" spans="1:12" ht="20" customHeight="1" x14ac:dyDescent="0.25">
      <c r="B5" s="48" t="s">
        <v>205</v>
      </c>
      <c r="C5" s="34"/>
      <c r="D5" s="34"/>
      <c r="E5" s="34"/>
    </row>
    <row r="6" spans="1:12" ht="20" customHeight="1" x14ac:dyDescent="0.2">
      <c r="B6" s="20"/>
      <c r="C6" s="47"/>
    </row>
    <row r="7" spans="1:12" ht="20" customHeight="1" x14ac:dyDescent="0.2">
      <c r="B7" s="42" t="s">
        <v>206</v>
      </c>
    </row>
    <row r="8" spans="1:12" ht="20" customHeight="1" x14ac:dyDescent="0.2">
      <c r="B8" s="43" t="s">
        <v>387</v>
      </c>
    </row>
    <row r="9" spans="1:12" ht="20" customHeight="1" x14ac:dyDescent="0.2">
      <c r="B9" s="33" t="s">
        <v>207</v>
      </c>
    </row>
    <row r="10" spans="1:12" ht="20" customHeight="1" x14ac:dyDescent="0.2"/>
    <row r="11" spans="1:12" ht="20" customHeight="1" x14ac:dyDescent="0.2"/>
    <row r="12" spans="1:12" ht="20" customHeight="1" x14ac:dyDescent="0.25">
      <c r="B12" s="48" t="s">
        <v>261</v>
      </c>
      <c r="C12" s="48" t="s">
        <v>115</v>
      </c>
      <c r="D12" s="48" t="s">
        <v>397</v>
      </c>
      <c r="E12" s="48" t="s">
        <v>116</v>
      </c>
    </row>
    <row r="13" spans="1:12" ht="20" customHeight="1" x14ac:dyDescent="0.2">
      <c r="D13" s="115"/>
    </row>
    <row r="14" spans="1:12" s="7" customFormat="1" ht="20" customHeight="1" x14ac:dyDescent="0.2">
      <c r="A14" s="10"/>
      <c r="B14" s="23" t="s">
        <v>40</v>
      </c>
      <c r="C14" s="39"/>
      <c r="D14" s="53"/>
    </row>
    <row r="15" spans="1:12" s="7" customFormat="1" ht="20" customHeight="1" x14ac:dyDescent="0.2">
      <c r="A15" s="10"/>
      <c r="B15" s="11" t="s">
        <v>18</v>
      </c>
      <c r="C15" s="50">
        <v>1</v>
      </c>
      <c r="D15" s="53"/>
      <c r="L15" s="8"/>
    </row>
    <row r="16" spans="1:12" s="7" customFormat="1" ht="20" customHeight="1" x14ac:dyDescent="0.2">
      <c r="A16" s="10"/>
      <c r="B16" s="11" t="s">
        <v>44</v>
      </c>
      <c r="C16" s="102">
        <v>0.95</v>
      </c>
      <c r="D16" s="53"/>
      <c r="L16" s="8"/>
    </row>
    <row r="17" spans="1:12" s="7" customFormat="1" ht="20" customHeight="1" x14ac:dyDescent="0.2">
      <c r="A17" s="10"/>
      <c r="B17" s="11" t="s">
        <v>13</v>
      </c>
      <c r="C17" s="102">
        <v>117</v>
      </c>
      <c r="D17" s="53"/>
      <c r="E17" s="7" t="s">
        <v>145</v>
      </c>
      <c r="L17" s="8"/>
    </row>
    <row r="18" spans="1:12" s="7" customFormat="1" ht="20" customHeight="1" x14ac:dyDescent="0.2">
      <c r="A18" s="10"/>
      <c r="B18" s="11" t="s">
        <v>47</v>
      </c>
      <c r="C18" s="102">
        <v>411</v>
      </c>
      <c r="D18" s="53"/>
      <c r="E18" s="7" t="s">
        <v>551</v>
      </c>
      <c r="L18" s="8"/>
    </row>
    <row r="19" spans="1:12" s="7" customFormat="1" ht="20" customHeight="1" x14ac:dyDescent="0.2">
      <c r="A19" s="10"/>
      <c r="B19" s="10"/>
      <c r="C19" s="104"/>
      <c r="D19" s="53"/>
      <c r="L19" s="8"/>
    </row>
    <row r="20" spans="1:12" ht="20" customHeight="1" x14ac:dyDescent="0.2">
      <c r="B20" s="23" t="s">
        <v>263</v>
      </c>
      <c r="D20" s="115"/>
    </row>
    <row r="21" spans="1:12" ht="20" customHeight="1" x14ac:dyDescent="0.2">
      <c r="B21" s="90" t="s">
        <v>575</v>
      </c>
      <c r="D21" s="115"/>
    </row>
    <row r="22" spans="1:12" ht="20" customHeight="1" x14ac:dyDescent="0.2">
      <c r="B22" s="120" t="s">
        <v>576</v>
      </c>
      <c r="C22" s="24">
        <v>250</v>
      </c>
      <c r="D22" s="115" t="s">
        <v>18</v>
      </c>
      <c r="E22" t="s">
        <v>147</v>
      </c>
    </row>
    <row r="23" spans="1:12" ht="20" customHeight="1" x14ac:dyDescent="0.2">
      <c r="B23" s="33"/>
      <c r="C23" s="24"/>
      <c r="D23" s="115"/>
    </row>
    <row r="24" spans="1:12" ht="20" customHeight="1" x14ac:dyDescent="0.2">
      <c r="B24" s="100" t="s">
        <v>395</v>
      </c>
      <c r="C24" s="24"/>
      <c r="D24" s="115"/>
    </row>
    <row r="25" spans="1:12" ht="20" customHeight="1" x14ac:dyDescent="0.2">
      <c r="B25" s="33" t="s">
        <v>118</v>
      </c>
      <c r="C25" s="27">
        <v>5.0000000000000001E-3</v>
      </c>
      <c r="D25" s="115"/>
      <c r="E25" t="s">
        <v>166</v>
      </c>
    </row>
    <row r="26" spans="1:12" x14ac:dyDescent="0.2">
      <c r="D26" s="115"/>
    </row>
    <row r="27" spans="1:12" ht="20" customHeight="1" x14ac:dyDescent="0.2">
      <c r="B27" s="90" t="s">
        <v>357</v>
      </c>
      <c r="D27" s="115"/>
    </row>
    <row r="28" spans="1:12" ht="20" customHeight="1" x14ac:dyDescent="0.2">
      <c r="B28" s="33" t="s">
        <v>114</v>
      </c>
      <c r="C28" s="24">
        <v>137000</v>
      </c>
      <c r="D28" s="115" t="s">
        <v>47</v>
      </c>
      <c r="E28" t="s">
        <v>146</v>
      </c>
    </row>
    <row r="29" spans="1:12" ht="20" customHeight="1" x14ac:dyDescent="0.2">
      <c r="B29" s="33"/>
      <c r="C29" s="24"/>
      <c r="D29" s="115"/>
    </row>
    <row r="30" spans="1:12" ht="20" customHeight="1" x14ac:dyDescent="0.2">
      <c r="B30" s="100" t="s">
        <v>358</v>
      </c>
      <c r="C30" s="24"/>
      <c r="D30" s="115"/>
    </row>
    <row r="31" spans="1:12" ht="20" customHeight="1" x14ac:dyDescent="0.2">
      <c r="B31" s="33" t="s">
        <v>359</v>
      </c>
      <c r="C31" s="24">
        <v>70</v>
      </c>
      <c r="D31" s="115" t="s">
        <v>18</v>
      </c>
    </row>
    <row r="32" spans="1:12" ht="20" customHeight="1" x14ac:dyDescent="0.2">
      <c r="B32" s="33"/>
      <c r="C32" s="24"/>
      <c r="D32" s="115"/>
    </row>
    <row r="33" spans="2:5" ht="20" customHeight="1" x14ac:dyDescent="0.2">
      <c r="B33" s="106" t="s">
        <v>388</v>
      </c>
      <c r="C33" s="24"/>
      <c r="D33" s="115"/>
    </row>
    <row r="34" spans="2:5" ht="20" customHeight="1" x14ac:dyDescent="0.2">
      <c r="B34" s="33" t="s">
        <v>390</v>
      </c>
      <c r="C34" s="24">
        <v>170</v>
      </c>
      <c r="D34" s="115" t="s">
        <v>18</v>
      </c>
    </row>
    <row r="35" spans="2:5" ht="20" customHeight="1" x14ac:dyDescent="0.2">
      <c r="B35" s="33" t="s">
        <v>391</v>
      </c>
      <c r="C35" s="24">
        <v>105</v>
      </c>
      <c r="D35" s="115" t="s">
        <v>18</v>
      </c>
    </row>
    <row r="36" spans="2:5" ht="20" customHeight="1" x14ac:dyDescent="0.2">
      <c r="B36" s="33" t="s">
        <v>392</v>
      </c>
      <c r="C36" s="24">
        <v>70</v>
      </c>
      <c r="D36" s="115" t="s">
        <v>18</v>
      </c>
    </row>
    <row r="37" spans="2:5" ht="20" customHeight="1" x14ac:dyDescent="0.2">
      <c r="B37" s="108" t="s">
        <v>577</v>
      </c>
      <c r="C37" s="109">
        <v>80</v>
      </c>
      <c r="D37" s="124" t="s">
        <v>18</v>
      </c>
      <c r="E37" s="110"/>
    </row>
    <row r="38" spans="2:5" ht="20" customHeight="1" x14ac:dyDescent="0.2">
      <c r="B38" s="33" t="s">
        <v>393</v>
      </c>
      <c r="C38" s="117">
        <f>(ExchangeRateNGNUSD*(C31+C34+C35+C36+C37))*(1+VATRate)</f>
        <v>218703.375</v>
      </c>
      <c r="D38" s="115" t="s">
        <v>47</v>
      </c>
      <c r="E38" t="s">
        <v>398</v>
      </c>
    </row>
    <row r="39" spans="2:5" ht="20" customHeight="1" x14ac:dyDescent="0.2">
      <c r="B39" s="33"/>
      <c r="C39" s="24"/>
      <c r="D39" s="115"/>
    </row>
    <row r="40" spans="2:5" ht="20" customHeight="1" x14ac:dyDescent="0.2">
      <c r="B40" s="106" t="s">
        <v>389</v>
      </c>
      <c r="C40" s="24"/>
      <c r="D40" s="115"/>
    </row>
    <row r="41" spans="2:5" ht="20" customHeight="1" x14ac:dyDescent="0.2">
      <c r="B41" s="33" t="s">
        <v>390</v>
      </c>
      <c r="C41" s="24">
        <v>230</v>
      </c>
      <c r="D41" s="115" t="s">
        <v>18</v>
      </c>
    </row>
    <row r="42" spans="2:5" ht="20" customHeight="1" x14ac:dyDescent="0.2">
      <c r="B42" s="33" t="s">
        <v>391</v>
      </c>
      <c r="C42" s="24">
        <v>160</v>
      </c>
      <c r="D42" s="115" t="s">
        <v>18</v>
      </c>
    </row>
    <row r="43" spans="2:5" ht="20" customHeight="1" x14ac:dyDescent="0.2">
      <c r="B43" s="33" t="s">
        <v>392</v>
      </c>
      <c r="C43" s="24">
        <v>105</v>
      </c>
      <c r="D43" s="115" t="s">
        <v>18</v>
      </c>
    </row>
    <row r="44" spans="2:5" ht="20" customHeight="1" x14ac:dyDescent="0.2">
      <c r="B44" s="108" t="s">
        <v>577</v>
      </c>
      <c r="C44" s="109">
        <v>120</v>
      </c>
      <c r="D44" s="124" t="s">
        <v>18</v>
      </c>
      <c r="E44" s="110"/>
    </row>
    <row r="45" spans="2:5" ht="20" customHeight="1" x14ac:dyDescent="0.2">
      <c r="B45" s="33" t="s">
        <v>394</v>
      </c>
      <c r="C45" s="117">
        <f>(ExchangeRateNGNUSD*(C31+C41+C42+C43+C44))*(1+VATRate)</f>
        <v>302650.125</v>
      </c>
      <c r="D45" s="115" t="s">
        <v>47</v>
      </c>
      <c r="E45" t="s">
        <v>399</v>
      </c>
    </row>
    <row r="46" spans="2:5" ht="20" customHeight="1" x14ac:dyDescent="0.2">
      <c r="B46" s="33"/>
      <c r="C46" s="24"/>
      <c r="D46" s="115"/>
    </row>
    <row r="47" spans="2:5" ht="20" customHeight="1" x14ac:dyDescent="0.2">
      <c r="B47" s="45" t="s">
        <v>401</v>
      </c>
      <c r="C47" s="24"/>
      <c r="D47" s="115"/>
    </row>
    <row r="48" spans="2:5" ht="20" customHeight="1" x14ac:dyDescent="0.2">
      <c r="B48" s="33"/>
      <c r="C48" s="24"/>
      <c r="D48" s="115"/>
    </row>
    <row r="49" spans="2:5" ht="20" customHeight="1" x14ac:dyDescent="0.2">
      <c r="B49" s="23" t="s">
        <v>117</v>
      </c>
      <c r="D49" s="115"/>
    </row>
    <row r="50" spans="2:5" ht="20" customHeight="1" x14ac:dyDescent="0.2">
      <c r="B50" s="33" t="s">
        <v>37</v>
      </c>
      <c r="C50" s="123">
        <v>7.4999999999999997E-2</v>
      </c>
      <c r="D50" s="115"/>
      <c r="E50" t="s">
        <v>265</v>
      </c>
    </row>
    <row r="51" spans="2:5" ht="20" customHeight="1" x14ac:dyDescent="0.2">
      <c r="B51" s="33" t="s">
        <v>545</v>
      </c>
      <c r="C51" s="25">
        <v>0.01</v>
      </c>
      <c r="D51" s="115"/>
      <c r="E51" t="s">
        <v>548</v>
      </c>
    </row>
    <row r="52" spans="2:5" ht="20" customHeight="1" x14ac:dyDescent="0.2">
      <c r="B52" s="33" t="s">
        <v>546</v>
      </c>
      <c r="C52" s="25">
        <v>7.0000000000000007E-2</v>
      </c>
      <c r="D52" s="115"/>
      <c r="E52" t="s">
        <v>549</v>
      </c>
    </row>
    <row r="53" spans="2:5" ht="20" customHeight="1" x14ac:dyDescent="0.2">
      <c r="B53" s="33" t="s">
        <v>547</v>
      </c>
      <c r="C53" s="27">
        <v>5.0000000000000001E-3</v>
      </c>
      <c r="D53" s="115"/>
      <c r="E53" t="s">
        <v>550</v>
      </c>
    </row>
    <row r="54" spans="2:5" ht="20" customHeight="1" x14ac:dyDescent="0.2">
      <c r="B54" s="33"/>
      <c r="C54" s="25"/>
      <c r="D54" s="115"/>
    </row>
    <row r="55" spans="2:5" ht="20" customHeight="1" x14ac:dyDescent="0.2">
      <c r="D55" s="115"/>
    </row>
    <row r="56" spans="2:5" ht="20" customHeight="1" x14ac:dyDescent="0.2">
      <c r="B56" s="23" t="s">
        <v>421</v>
      </c>
      <c r="D56" s="115"/>
    </row>
    <row r="57" spans="2:5" ht="20" customHeight="1" x14ac:dyDescent="0.2">
      <c r="B57" s="33" t="s">
        <v>187</v>
      </c>
      <c r="C57" s="30">
        <v>200000</v>
      </c>
      <c r="D57" s="115" t="s">
        <v>47</v>
      </c>
      <c r="E57" t="s">
        <v>188</v>
      </c>
    </row>
    <row r="58" spans="2:5" ht="20" customHeight="1" x14ac:dyDescent="0.2">
      <c r="B58" s="33" t="s">
        <v>189</v>
      </c>
      <c r="C58" s="24">
        <v>2</v>
      </c>
      <c r="D58" s="115"/>
      <c r="E58" t="s">
        <v>193</v>
      </c>
    </row>
    <row r="59" spans="2:5" ht="20" customHeight="1" x14ac:dyDescent="0.2">
      <c r="B59" s="33" t="s">
        <v>190</v>
      </c>
      <c r="C59" s="24">
        <v>1</v>
      </c>
      <c r="D59" s="115"/>
      <c r="E59" t="s">
        <v>221</v>
      </c>
    </row>
    <row r="60" spans="2:5" ht="20" customHeight="1" x14ac:dyDescent="0.2">
      <c r="B60" s="33" t="s">
        <v>191</v>
      </c>
      <c r="C60" s="24">
        <v>1</v>
      </c>
      <c r="D60" s="115"/>
      <c r="E60" t="s">
        <v>194</v>
      </c>
    </row>
    <row r="61" spans="2:5" ht="20" customHeight="1" x14ac:dyDescent="0.2">
      <c r="B61" s="33" t="s">
        <v>192</v>
      </c>
      <c r="C61" s="24">
        <v>2</v>
      </c>
      <c r="D61" s="115"/>
      <c r="E61" t="s">
        <v>195</v>
      </c>
    </row>
    <row r="62" spans="2:5" ht="20" customHeight="1" x14ac:dyDescent="0.2">
      <c r="B62" s="45" t="s">
        <v>196</v>
      </c>
      <c r="D62" s="115"/>
    </row>
    <row r="63" spans="2:5" ht="20" customHeight="1" x14ac:dyDescent="0.2">
      <c r="D63" s="115"/>
    </row>
    <row r="64" spans="2:5" ht="20" customHeight="1" x14ac:dyDescent="0.2">
      <c r="B64" s="33" t="s">
        <v>197</v>
      </c>
      <c r="C64" s="24">
        <v>75000</v>
      </c>
      <c r="D64" s="115" t="s">
        <v>47</v>
      </c>
      <c r="E64" t="s">
        <v>199</v>
      </c>
    </row>
    <row r="65" spans="2:5" ht="20" customHeight="1" x14ac:dyDescent="0.2">
      <c r="B65" s="33" t="s">
        <v>198</v>
      </c>
      <c r="C65" s="24">
        <v>150000</v>
      </c>
      <c r="D65" s="115" t="s">
        <v>47</v>
      </c>
      <c r="E65" t="s">
        <v>200</v>
      </c>
    </row>
    <row r="66" spans="2:5" ht="20" customHeight="1" x14ac:dyDescent="0.2"/>
    <row r="67" spans="2:5" ht="20" customHeight="1" x14ac:dyDescent="0.2"/>
    <row r="68" spans="2:5" ht="20" customHeight="1" x14ac:dyDescent="0.2"/>
    <row r="69" spans="2:5" x14ac:dyDescent="0.2"/>
    <row r="70" spans="2:5" x14ac:dyDescent="0.2"/>
    <row r="71" spans="2:5" x14ac:dyDescent="0.2"/>
    <row r="72" spans="2:5" x14ac:dyDescent="0.2"/>
    <row r="73" spans="2:5" x14ac:dyDescent="0.2"/>
    <row r="74" spans="2:5" x14ac:dyDescent="0.2"/>
    <row r="75" spans="2:5" x14ac:dyDescent="0.2"/>
    <row r="76" spans="2:5" x14ac:dyDescent="0.2"/>
    <row r="77" spans="2:5" x14ac:dyDescent="0.2"/>
    <row r="78" spans="2:5" x14ac:dyDescent="0.2"/>
    <row r="79" spans="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B2DC-A45E-9E46-B083-DD672BE4D8BC}">
  <sheetPr codeName="Sheet2">
    <tabColor theme="4" tint="0.79998168889431442"/>
  </sheetPr>
  <dimension ref="A1:BK225"/>
  <sheetViews>
    <sheetView showGridLines="0" topLeftCell="C44" zoomScale="64" zoomScaleNormal="29" workbookViewId="0">
      <selection activeCell="A46" sqref="A46"/>
    </sheetView>
  </sheetViews>
  <sheetFormatPr baseColWidth="10" defaultColWidth="0" defaultRowHeight="40" customHeight="1" zeroHeight="1" x14ac:dyDescent="0.2"/>
  <cols>
    <col min="1" max="1" width="14" bestFit="1" customWidth="1"/>
    <col min="2" max="2" width="30.83203125" customWidth="1"/>
    <col min="3" max="3" width="24.5" bestFit="1" customWidth="1"/>
    <col min="4" max="4" width="46.83203125" customWidth="1"/>
    <col min="5" max="5" width="15" customWidth="1"/>
    <col min="6" max="6" width="72.6640625" customWidth="1"/>
    <col min="7" max="7" width="10.83203125" style="31" bestFit="1" customWidth="1"/>
    <col min="8" max="8" width="13" hidden="1" customWidth="1"/>
    <col min="9" max="9" width="12.33203125" bestFit="1" customWidth="1"/>
    <col min="10" max="10" width="17.33203125" bestFit="1" customWidth="1"/>
    <col min="11" max="11" width="16.33203125" bestFit="1" customWidth="1"/>
    <col min="12" max="12" width="17.1640625" bestFit="1" customWidth="1"/>
    <col min="13" max="13" width="13.83203125" bestFit="1" customWidth="1"/>
    <col min="14" max="14" width="18.1640625" bestFit="1" customWidth="1"/>
    <col min="15" max="15" width="17.5" bestFit="1" customWidth="1"/>
    <col min="16" max="16" width="19.83203125" bestFit="1" customWidth="1"/>
    <col min="17" max="17" width="25" bestFit="1" customWidth="1"/>
    <col min="18" max="18" width="23.33203125" bestFit="1" customWidth="1"/>
    <col min="19" max="19" width="20.1640625" bestFit="1" customWidth="1"/>
    <col min="20" max="20" width="19.5" bestFit="1" customWidth="1"/>
    <col min="21" max="21" width="18.5" bestFit="1" customWidth="1"/>
    <col min="22" max="22" width="15.5" bestFit="1" customWidth="1"/>
    <col min="23" max="23" width="20.1640625" bestFit="1" customWidth="1"/>
    <col min="24" max="24" width="19.5" bestFit="1" customWidth="1"/>
    <col min="25" max="25" width="18.5" bestFit="1" customWidth="1"/>
    <col min="26" max="26" width="15.5" bestFit="1" customWidth="1"/>
    <col min="27" max="27" width="20.1640625" bestFit="1" customWidth="1"/>
    <col min="28" max="28" width="19.5" bestFit="1" customWidth="1"/>
    <col min="29" max="29" width="20.1640625" bestFit="1" customWidth="1"/>
    <col min="30" max="30" width="18.83203125" bestFit="1" customWidth="1"/>
    <col min="31" max="31" width="15.5" bestFit="1" customWidth="1"/>
    <col min="32" max="32" width="12" bestFit="1" customWidth="1"/>
    <col min="33" max="34" width="11.83203125" bestFit="1" customWidth="1"/>
    <col min="35" max="35" width="26" customWidth="1"/>
    <col min="36" max="36" width="12.83203125" customWidth="1"/>
    <col min="37" max="37" width="16.6640625" customWidth="1"/>
    <col min="38" max="38" width="13.33203125" customWidth="1"/>
    <col min="39" max="39" width="26.33203125" customWidth="1"/>
    <col min="40" max="40" width="66.83203125" hidden="1" customWidth="1"/>
    <col min="41" max="41" width="11.83203125" hidden="1" customWidth="1"/>
    <col min="42" max="43" width="10.83203125" hidden="1" customWidth="1"/>
    <col min="44" max="45" width="27.83203125" hidden="1" customWidth="1"/>
    <col min="46" max="46" width="24.33203125" hidden="1" customWidth="1"/>
    <col min="47" max="47" width="29" hidden="1" customWidth="1"/>
    <col min="48" max="48" width="25" hidden="1" customWidth="1"/>
    <col min="49" max="49" width="26" hidden="1" customWidth="1"/>
    <col min="50" max="50" width="12.83203125" hidden="1" customWidth="1"/>
    <col min="51" max="51" width="16.6640625" hidden="1" customWidth="1"/>
    <col min="52" max="52" width="13.33203125" hidden="1" customWidth="1"/>
    <col min="53" max="53" width="0" hidden="1" customWidth="1"/>
    <col min="54" max="54" width="66.83203125" hidden="1" customWidth="1"/>
    <col min="55" max="55" width="11.83203125" hidden="1" customWidth="1"/>
    <col min="56" max="57" width="10.83203125" hidden="1" customWidth="1"/>
    <col min="58" max="63" width="27.83203125" hidden="1" customWidth="1"/>
    <col min="64" max="16384" width="10.83203125" hidden="1"/>
  </cols>
  <sheetData>
    <row r="1" spans="1:33" s="7" customFormat="1" ht="40" customHeight="1" x14ac:dyDescent="0.2">
      <c r="A1" s="22" t="s">
        <v>208</v>
      </c>
      <c r="B1" s="22" t="s">
        <v>0</v>
      </c>
      <c r="C1" s="22" t="s">
        <v>1</v>
      </c>
      <c r="D1" s="22" t="s">
        <v>2</v>
      </c>
      <c r="E1" s="22" t="s">
        <v>3</v>
      </c>
      <c r="F1" s="22" t="s">
        <v>6</v>
      </c>
      <c r="G1" s="59" t="s">
        <v>4</v>
      </c>
      <c r="H1" s="22" t="s">
        <v>258</v>
      </c>
      <c r="I1" s="22" t="s">
        <v>239</v>
      </c>
      <c r="J1" s="22" t="s">
        <v>240</v>
      </c>
      <c r="K1" s="60" t="s">
        <v>244</v>
      </c>
      <c r="L1" s="60" t="s">
        <v>257</v>
      </c>
      <c r="M1" s="60" t="s">
        <v>241</v>
      </c>
      <c r="N1" s="60" t="s">
        <v>242</v>
      </c>
      <c r="O1" s="60" t="s">
        <v>243</v>
      </c>
      <c r="P1" s="60" t="s">
        <v>7</v>
      </c>
      <c r="Q1" s="22" t="s">
        <v>266</v>
      </c>
      <c r="R1" s="60" t="s">
        <v>245</v>
      </c>
      <c r="S1" s="60" t="s">
        <v>246</v>
      </c>
      <c r="T1" s="60" t="s">
        <v>247</v>
      </c>
      <c r="U1" s="22" t="s">
        <v>248</v>
      </c>
      <c r="V1" s="60" t="s">
        <v>252</v>
      </c>
      <c r="W1" s="60" t="s">
        <v>249</v>
      </c>
      <c r="X1" s="60" t="s">
        <v>250</v>
      </c>
      <c r="Y1" s="22" t="s">
        <v>251</v>
      </c>
      <c r="Z1" s="60" t="s">
        <v>253</v>
      </c>
      <c r="AA1" s="60" t="s">
        <v>254</v>
      </c>
      <c r="AB1" s="60" t="s">
        <v>255</v>
      </c>
      <c r="AC1" s="60" t="s">
        <v>256</v>
      </c>
      <c r="AD1" s="60" t="s">
        <v>259</v>
      </c>
      <c r="AE1" s="60" t="s">
        <v>9</v>
      </c>
      <c r="AF1" s="22" t="s">
        <v>5</v>
      </c>
      <c r="AG1" s="22" t="s">
        <v>10</v>
      </c>
    </row>
    <row r="2" spans="1:33" s="150" customFormat="1" ht="40" customHeight="1" x14ac:dyDescent="0.2">
      <c r="A2" s="132" t="s">
        <v>99</v>
      </c>
      <c r="B2" s="133" t="s">
        <v>11</v>
      </c>
      <c r="C2" s="132" t="s">
        <v>12</v>
      </c>
      <c r="D2" s="133" t="s">
        <v>282</v>
      </c>
      <c r="E2" s="133" t="s">
        <v>283</v>
      </c>
      <c r="F2" s="134"/>
      <c r="G2" s="135" t="s">
        <v>47</v>
      </c>
      <c r="H2" s="136">
        <f>DisplayToUSD/(_xlfn.IFNA(INDEX('Quick Inputs- Constants'!$B$15:$C$18,MATCH(List[[#This Row],[Currency]],'Quick Inputs- Constants'!B$15:B$18,0),2),1))</f>
        <v>2.4330900243309003E-3</v>
      </c>
      <c r="I2" s="137">
        <v>1</v>
      </c>
      <c r="J2" s="138">
        <f>BatteryClearingAgentFees</f>
        <v>27400</v>
      </c>
      <c r="K2" s="139" t="s">
        <v>99</v>
      </c>
      <c r="L2" s="140">
        <f>List[[#This Row],[Exchange Rate]]*(1+IF(List[[#This Row],[Budget VAT]]="Yes",VATRate,0))*List[[#This Row],[Budget Quantity]]*List[[#This Row],[Budget Price]]</f>
        <v>71.666666666666657</v>
      </c>
      <c r="M2" s="141"/>
      <c r="N2" s="139"/>
      <c r="O2" s="139"/>
      <c r="P2" s="142">
        <f>IF(AND(ISBLANK(List[[#This Row],[Updated Quantity]]),ISBLANK(List[[#This Row],[Updated Price]]),ISBLANK(List[[#This Row],[Updated VAT]])),List[[#This Row],[Budget Total]],
List[[#This Row],[Exchange Rate]]*(1+IF(List[[#This Row],[Updated VAT]]="Yes",VATRate,0))*List[[#This Row],[Updated Quantity]]*List[[#This Row],[Updated Price]])</f>
        <v>71.666666666666657</v>
      </c>
      <c r="Q2" s="143">
        <f>100%</f>
        <v>1</v>
      </c>
      <c r="R2" s="144"/>
      <c r="S2" s="142"/>
      <c r="T2" s="139"/>
      <c r="U2" s="145"/>
      <c r="V2" s="146"/>
      <c r="W2" s="142"/>
      <c r="X2" s="145"/>
      <c r="Y2" s="145"/>
      <c r="Z2" s="146"/>
      <c r="AA2" s="142"/>
      <c r="AB2" s="145"/>
      <c r="AC2" s="145"/>
      <c r="AD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 s="142">
        <f>List[[#This Row],[Running Budget Total]]-List[[#This Row],[Cash Out Total]]</f>
        <v>71.666666666666657</v>
      </c>
      <c r="AF2" s="148" t="str">
        <f>IF(AND(List[[#This Row],[Remaining]]=0,NOT(List[[#This Row],[Running Budget Total]]=0)),Status1,
IF(AND(List[[#This Row],[Remaining]]&lt;0,NOT(List[[#This Row],[Running Budget Total]]=0)),Status2,
IF(AND(List[[#This Row],[Remaining]]=0),Status3,
List[[#This Row],[Spent %]] &amp; Status4)))</f>
        <v>0% paid</v>
      </c>
      <c r="AG2" s="149">
        <f>IFERROR(ROUND(100*List[[#This Row],[Cash Out Total]]/List[[#This Row],[Running Budget Total]],0),0)</f>
        <v>0</v>
      </c>
    </row>
    <row r="3" spans="1:33" s="150" customFormat="1" ht="40" customHeight="1" x14ac:dyDescent="0.2">
      <c r="A3" s="151" t="s">
        <v>99</v>
      </c>
      <c r="B3" s="152" t="s">
        <v>11</v>
      </c>
      <c r="C3" s="151" t="s">
        <v>12</v>
      </c>
      <c r="D3" s="152" t="s">
        <v>498</v>
      </c>
      <c r="E3" s="152" t="s">
        <v>595</v>
      </c>
      <c r="F3" s="153"/>
      <c r="G3" s="154" t="s">
        <v>47</v>
      </c>
      <c r="H3" s="155">
        <f>DisplayToUSD/(_xlfn.IFNA(INDEX('Quick Inputs- Constants'!$B$15:$C$18,MATCH(List[[#This Row],[Currency]],'Quick Inputs- Constants'!B$15:B$18,0),2),1))</f>
        <v>2.4330900243309003E-3</v>
      </c>
      <c r="I3" s="137">
        <v>1</v>
      </c>
      <c r="J3" s="156">
        <f>BatteryInspection</f>
        <v>20550</v>
      </c>
      <c r="K3" s="157" t="s">
        <v>14</v>
      </c>
      <c r="L3" s="158">
        <f>List[[#This Row],[Exchange Rate]]*(1+IF(List[[#This Row],[Budget VAT]]="Yes",VATRate,0))*List[[#This Row],[Budget Quantity]]*List[[#This Row],[Budget Price]]</f>
        <v>50</v>
      </c>
      <c r="M3" s="141"/>
      <c r="N3" s="157"/>
      <c r="O3" s="157"/>
      <c r="P3" s="159">
        <f>IF(AND(ISBLANK(List[[#This Row],[Updated Quantity]]),ISBLANK(List[[#This Row],[Updated Price]]),ISBLANK(List[[#This Row],[Updated VAT]])),List[[#This Row],[Budget Total]],
List[[#This Row],[Exchange Rate]]*(1+IF(List[[#This Row],[Updated VAT]]="Yes",VATRate,0))*List[[#This Row],[Updated Quantity]]*List[[#This Row],[Updated Price]])</f>
        <v>50</v>
      </c>
      <c r="Q3" s="143">
        <f>100%</f>
        <v>1</v>
      </c>
      <c r="R3" s="160"/>
      <c r="S3" s="159"/>
      <c r="T3" s="157"/>
      <c r="U3" s="161"/>
      <c r="V3" s="146"/>
      <c r="W3" s="159"/>
      <c r="X3" s="161"/>
      <c r="Y3" s="161"/>
      <c r="Z3" s="146"/>
      <c r="AA3" s="159"/>
      <c r="AB3" s="161"/>
      <c r="AC3" s="161"/>
      <c r="AD3"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 s="159">
        <f>List[[#This Row],[Running Budget Total]]-List[[#This Row],[Cash Out Total]]</f>
        <v>50</v>
      </c>
      <c r="AF3" s="162" t="str">
        <f>IF(AND(List[[#This Row],[Remaining]]=0,NOT(List[[#This Row],[Running Budget Total]]=0)),Status1,
IF(AND(List[[#This Row],[Remaining]]&lt;0,NOT(List[[#This Row],[Running Budget Total]]=0)),Status2,
IF(AND(List[[#This Row],[Remaining]]=0),Status3,
List[[#This Row],[Spent %]] &amp; Status4)))</f>
        <v>0% paid</v>
      </c>
      <c r="AG3" s="163">
        <f>IFERROR(ROUND(100*List[[#This Row],[Cash Out Total]]/List[[#This Row],[Running Budget Total]],0),0)</f>
        <v>0</v>
      </c>
    </row>
    <row r="4" spans="1:33" s="150" customFormat="1" ht="40" customHeight="1" x14ac:dyDescent="0.2">
      <c r="A4" s="151" t="s">
        <v>99</v>
      </c>
      <c r="B4" s="152" t="s">
        <v>11</v>
      </c>
      <c r="C4" s="151" t="s">
        <v>12</v>
      </c>
      <c r="D4" s="152" t="s">
        <v>71</v>
      </c>
      <c r="E4" s="152" t="s">
        <v>590</v>
      </c>
      <c r="F4" s="153"/>
      <c r="G4" s="154" t="s">
        <v>47</v>
      </c>
      <c r="H4" s="155">
        <f>DisplayToUSD/(_xlfn.IFNA(INDEX('Quick Inputs- Constants'!$B$15:$C$18,MATCH(List[[#This Row],[Currency]],'Quick Inputs- Constants'!B$15:B$18,0),2),1))</f>
        <v>2.4330900243309003E-3</v>
      </c>
      <c r="I4" s="137">
        <v>1</v>
      </c>
      <c r="J4" s="156">
        <f>BatteryNonVAT</f>
        <v>2110583</v>
      </c>
      <c r="K4" s="157" t="s">
        <v>14</v>
      </c>
      <c r="L4" s="158">
        <f>List[[#This Row],[Exchange Rate]]*(1+IF(List[[#This Row],[Budget VAT]]="Yes",VATRate,0))*List[[#This Row],[Budget Quantity]]*List[[#This Row],[Budget Price]]</f>
        <v>5135.238442822385</v>
      </c>
      <c r="M4" s="141"/>
      <c r="N4" s="157"/>
      <c r="O4" s="157"/>
      <c r="P4" s="159">
        <f>IF(AND(ISBLANK(List[[#This Row],[Updated Quantity]]),ISBLANK(List[[#This Row],[Updated Price]]),ISBLANK(List[[#This Row],[Updated VAT]])),List[[#This Row],[Budget Total]],
List[[#This Row],[Exchange Rate]]*(1+IF(List[[#This Row],[Updated VAT]]="Yes",VATRate,0))*List[[#This Row],[Updated Quantity]]*List[[#This Row],[Updated Price]])</f>
        <v>5135.238442822385</v>
      </c>
      <c r="Q4" s="143">
        <f>100%</f>
        <v>1</v>
      </c>
      <c r="R4" s="160"/>
      <c r="S4" s="159"/>
      <c r="T4" s="157"/>
      <c r="U4" s="161"/>
      <c r="V4" s="146"/>
      <c r="W4" s="159"/>
      <c r="X4" s="161"/>
      <c r="Y4" s="161"/>
      <c r="Z4" s="146"/>
      <c r="AA4" s="159"/>
      <c r="AB4" s="161"/>
      <c r="AC4" s="161"/>
      <c r="AD4"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 s="159">
        <f>List[[#This Row],[Running Budget Total]]-List[[#This Row],[Cash Out Total]]</f>
        <v>5135.238442822385</v>
      </c>
      <c r="AF4" s="162" t="str">
        <f>IF(AND(List[[#This Row],[Remaining]]=0,NOT(List[[#This Row],[Running Budget Total]]=0)),Status1,
IF(AND(List[[#This Row],[Remaining]]&lt;0,NOT(List[[#This Row],[Running Budget Total]]=0)),Status2,
IF(AND(List[[#This Row],[Remaining]]=0),Status3,
List[[#This Row],[Spent %]] &amp; Status4)))</f>
        <v>0% paid</v>
      </c>
      <c r="AG4" s="163">
        <f>IFERROR(ROUND(100*List[[#This Row],[Cash Out Total]]/List[[#This Row],[Running Budget Total]],0),0)</f>
        <v>0</v>
      </c>
    </row>
    <row r="5" spans="1:33" s="150" customFormat="1" ht="40" customHeight="1" x14ac:dyDescent="0.2">
      <c r="A5" s="151" t="s">
        <v>99</v>
      </c>
      <c r="B5" s="152" t="s">
        <v>11</v>
      </c>
      <c r="C5" s="151" t="s">
        <v>12</v>
      </c>
      <c r="D5" s="152" t="s">
        <v>267</v>
      </c>
      <c r="E5" s="152" t="s">
        <v>596</v>
      </c>
      <c r="F5" s="153"/>
      <c r="G5" s="154" t="s">
        <v>47</v>
      </c>
      <c r="H5" s="155">
        <f>DisplayToUSD/(_xlfn.IFNA(INDEX('Quick Inputs- Constants'!$B$15:$C$18,MATCH(List[[#This Row],[Currency]],'Quick Inputs- Constants'!B$15:B$18,0),2),1))</f>
        <v>2.4330900243309003E-3</v>
      </c>
      <c r="I5" s="137">
        <v>1</v>
      </c>
      <c r="J5" s="156">
        <f>BatteryPortFees</f>
        <v>43740.675000000003</v>
      </c>
      <c r="K5" s="157" t="s">
        <v>14</v>
      </c>
      <c r="L5" s="158">
        <f>List[[#This Row],[Exchange Rate]]*(1+IF(List[[#This Row],[Budget VAT]]="Yes",VATRate,0))*List[[#This Row],[Budget Quantity]]*List[[#This Row],[Budget Price]]</f>
        <v>106.42500000000001</v>
      </c>
      <c r="M5" s="164"/>
      <c r="N5" s="157"/>
      <c r="O5" s="157"/>
      <c r="P5" s="159">
        <f>IF(AND(ISBLANK(List[[#This Row],[Updated Quantity]]),ISBLANK(List[[#This Row],[Updated Price]]),ISBLANK(List[[#This Row],[Updated VAT]])),List[[#This Row],[Budget Total]],
List[[#This Row],[Exchange Rate]]*(1+IF(List[[#This Row],[Updated VAT]]="Yes",VATRate,0))*List[[#This Row],[Updated Quantity]]*List[[#This Row],[Updated Price]])</f>
        <v>106.42500000000001</v>
      </c>
      <c r="Q5" s="143">
        <f>100%</f>
        <v>1</v>
      </c>
      <c r="R5" s="160"/>
      <c r="S5" s="159"/>
      <c r="T5" s="157"/>
      <c r="U5" s="161"/>
      <c r="V5" s="146"/>
      <c r="W5" s="159"/>
      <c r="X5" s="161"/>
      <c r="Y5" s="161"/>
      <c r="Z5" s="146"/>
      <c r="AA5" s="159"/>
      <c r="AB5" s="161"/>
      <c r="AC5" s="161"/>
      <c r="AD5"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 s="159">
        <f>List[[#This Row],[Running Budget Total]]-List[[#This Row],[Cash Out Total]]</f>
        <v>106.42500000000001</v>
      </c>
      <c r="AF5" s="162" t="str">
        <f>IF(AND(List[[#This Row],[Remaining]]=0,NOT(List[[#This Row],[Running Budget Total]]=0)),Status1,
IF(AND(List[[#This Row],[Remaining]]&lt;0,NOT(List[[#This Row],[Running Budget Total]]=0)),Status2,
IF(AND(List[[#This Row],[Remaining]]=0),Status3,
List[[#This Row],[Spent %]] &amp; Status4)))</f>
        <v>0% paid</v>
      </c>
      <c r="AG5" s="163">
        <f>IFERROR(ROUND(100*List[[#This Row],[Cash Out Total]]/List[[#This Row],[Running Budget Total]],0),0)</f>
        <v>0</v>
      </c>
    </row>
    <row r="6" spans="1:33" s="165" customFormat="1" ht="40" customHeight="1" x14ac:dyDescent="0.2">
      <c r="A6" s="151" t="s">
        <v>99</v>
      </c>
      <c r="B6" s="152" t="s">
        <v>11</v>
      </c>
      <c r="C6" s="151" t="s">
        <v>12</v>
      </c>
      <c r="D6" s="152" t="s">
        <v>37</v>
      </c>
      <c r="E6" s="152" t="s">
        <v>590</v>
      </c>
      <c r="F6" s="153" t="s">
        <v>102</v>
      </c>
      <c r="G6" s="154" t="s">
        <v>47</v>
      </c>
      <c r="H6" s="155">
        <f>DisplayToUSD/(_xlfn.IFNA(INDEX('Quick Inputs- Constants'!$B$15:$C$18,MATCH(List[[#This Row],[Currency]],'Quick Inputs- Constants'!B$15:B$18,0),2),1))</f>
        <v>2.4330900243309003E-3</v>
      </c>
      <c r="I6" s="137">
        <v>1</v>
      </c>
      <c r="J6" s="156">
        <f>BatteryVAT</f>
        <v>63759.751874999994</v>
      </c>
      <c r="K6" s="157" t="s">
        <v>100</v>
      </c>
      <c r="L6" s="158">
        <f>List[[#This Row],[Exchange Rate]]*(1+IF(List[[#This Row],[Budget VAT]]="Yes",VATRate,0))*List[[#This Row],[Budget Quantity]]*List[[#This Row],[Budget Price]]</f>
        <v>155.1332162408759</v>
      </c>
      <c r="M6" s="164"/>
      <c r="N6" s="157"/>
      <c r="O6" s="157"/>
      <c r="P6" s="159">
        <f>IF(AND(ISBLANK(List[[#This Row],[Updated Quantity]]),ISBLANK(List[[#This Row],[Updated Price]]),ISBLANK(List[[#This Row],[Updated VAT]])),List[[#This Row],[Budget Total]],
List[[#This Row],[Exchange Rate]]*(1+IF(List[[#This Row],[Updated VAT]]="Yes",VATRate,0))*List[[#This Row],[Updated Quantity]]*List[[#This Row],[Updated Price]])</f>
        <v>155.1332162408759</v>
      </c>
      <c r="Q6" s="143">
        <f>100%</f>
        <v>1</v>
      </c>
      <c r="R6" s="160"/>
      <c r="S6" s="159"/>
      <c r="T6" s="157"/>
      <c r="U6" s="161"/>
      <c r="V6" s="146"/>
      <c r="W6" s="159"/>
      <c r="X6" s="161"/>
      <c r="Y6" s="161"/>
      <c r="Z6" s="146"/>
      <c r="AA6" s="159"/>
      <c r="AB6" s="161"/>
      <c r="AC6" s="161"/>
      <c r="AD6"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 s="159">
        <f>List[[#This Row],[Running Budget Total]]-List[[#This Row],[Cash Out Total]]</f>
        <v>155.1332162408759</v>
      </c>
      <c r="AF6" s="162" t="str">
        <f>IF(AND(List[[#This Row],[Remaining]]=0,NOT(List[[#This Row],[Running Budget Total]]=0)),Status1,
IF(AND(List[[#This Row],[Remaining]]&lt;0,NOT(List[[#This Row],[Running Budget Total]]=0)),Status2,
IF(AND(List[[#This Row],[Remaining]]=0),Status3,
List[[#This Row],[Spent %]] &amp; Status4)))</f>
        <v>0% paid</v>
      </c>
      <c r="AG6" s="163">
        <f>IFERROR(ROUND(100*List[[#This Row],[Cash Out Total]]/List[[#This Row],[Running Budget Total]],0),0)</f>
        <v>0</v>
      </c>
    </row>
    <row r="7" spans="1:33" s="165" customFormat="1" ht="40" customHeight="1" x14ac:dyDescent="0.2">
      <c r="A7" s="151" t="s">
        <v>99</v>
      </c>
      <c r="B7" s="152" t="s">
        <v>11</v>
      </c>
      <c r="C7" s="151" t="s">
        <v>107</v>
      </c>
      <c r="D7" s="152" t="s">
        <v>11</v>
      </c>
      <c r="E7" s="152"/>
      <c r="F7" s="153"/>
      <c r="G7" s="154" t="s">
        <v>18</v>
      </c>
      <c r="H7" s="155">
        <f>DisplayToUSD/(_xlfn.IFNA(INDEX('Quick Inputs- Constants'!$B$15:$C$18,MATCH(List[[#This Row],[Currency]],'Quick Inputs- Constants'!B$15:B$18,0),2),1))</f>
        <v>1</v>
      </c>
      <c r="I7" s="137">
        <f>BatteryCount</f>
        <v>10</v>
      </c>
      <c r="J7" s="156">
        <f>BatteryPricePerUnit</f>
        <v>2200</v>
      </c>
      <c r="K7" s="157" t="s">
        <v>14</v>
      </c>
      <c r="L7" s="158">
        <f>List[[#This Row],[Exchange Rate]]*(1+IF(List[[#This Row],[Budget VAT]]="Yes",VATRate,0))*List[[#This Row],[Budget Quantity]]*List[[#This Row],[Budget Price]]</f>
        <v>22000</v>
      </c>
      <c r="M7" s="164"/>
      <c r="N7" s="157"/>
      <c r="O7" s="157"/>
      <c r="P7" s="159">
        <f>IF(AND(ISBLANK(List[[#This Row],[Updated Quantity]]),ISBLANK(List[[#This Row],[Updated Price]]),ISBLANK(List[[#This Row],[Updated VAT]])),List[[#This Row],[Budget Total]],
List[[#This Row],[Exchange Rate]]*(1+IF(List[[#This Row],[Updated VAT]]="Yes",VATRate,0))*List[[#This Row],[Updated Quantity]]*List[[#This Row],[Updated Price]])</f>
        <v>22000</v>
      </c>
      <c r="Q7" s="143">
        <f>100%</f>
        <v>1</v>
      </c>
      <c r="R7" s="160"/>
      <c r="S7" s="159"/>
      <c r="T7" s="157"/>
      <c r="U7" s="161"/>
      <c r="V7" s="146"/>
      <c r="W7" s="159"/>
      <c r="X7" s="161"/>
      <c r="Y7" s="161"/>
      <c r="Z7" s="146"/>
      <c r="AA7" s="159"/>
      <c r="AB7" s="161"/>
      <c r="AC7" s="161"/>
      <c r="AD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 s="159">
        <f>List[[#This Row],[Running Budget Total]]-List[[#This Row],[Cash Out Total]]</f>
        <v>22000</v>
      </c>
      <c r="AF7" s="162" t="str">
        <f>IF(AND(List[[#This Row],[Remaining]]=0,NOT(List[[#This Row],[Running Budget Total]]=0)),Status1,
IF(AND(List[[#This Row],[Remaining]]&lt;0,NOT(List[[#This Row],[Running Budget Total]]=0)),Status2,
IF(AND(List[[#This Row],[Remaining]]=0),Status3,
List[[#This Row],[Spent %]] &amp; Status4)))</f>
        <v>0% paid</v>
      </c>
      <c r="AG7" s="163">
        <f>IFERROR(ROUND(100*List[[#This Row],[Cash Out Total]]/List[[#This Row],[Running Budget Total]],0),0)</f>
        <v>0</v>
      </c>
    </row>
    <row r="8" spans="1:33" ht="40" customHeight="1" x14ac:dyDescent="0.2">
      <c r="A8" s="11" t="s">
        <v>14</v>
      </c>
      <c r="B8" s="22" t="s">
        <v>11</v>
      </c>
      <c r="C8" s="11" t="s">
        <v>107</v>
      </c>
      <c r="D8" s="22" t="s">
        <v>268</v>
      </c>
      <c r="E8" s="22"/>
      <c r="F8" s="21"/>
      <c r="G8" s="51" t="s">
        <v>18</v>
      </c>
      <c r="H8" s="37">
        <f>DisplayToUSD/(_xlfn.IFNA(INDEX('Quick Inputs- Constants'!$B$15:$C$18,MATCH(List[[#This Row],[Currency]],'Quick Inputs- Constants'!B$15:B$18,0),2),1))</f>
        <v>1</v>
      </c>
      <c r="I8" s="62">
        <v>1</v>
      </c>
      <c r="J8" s="52">
        <v>170.53</v>
      </c>
      <c r="K8" s="53" t="s">
        <v>14</v>
      </c>
      <c r="L8" s="54">
        <f>List[[#This Row],[Exchange Rate]]*(1+IF(List[[#This Row],[Budget VAT]]="Yes",VATRate,0))*List[[#This Row],[Budget Quantity]]*List[[#This Row],[Budget Price]]</f>
        <v>170.53</v>
      </c>
      <c r="M8" s="63"/>
      <c r="N8" s="53"/>
      <c r="O8" s="53"/>
      <c r="P8" s="35">
        <f>IF(AND(ISBLANK(List[[#This Row],[Updated Quantity]]),ISBLANK(List[[#This Row],[Updated Price]]),ISBLANK(List[[#This Row],[Updated VAT]])),List[[#This Row],[Budget Total]],
List[[#This Row],[Exchange Rate]]*(1+IF(List[[#This Row],[Updated VAT]]="Yes",VATRate,0))*List[[#This Row],[Updated Quantity]]*List[[#This Row],[Updated Price]])</f>
        <v>170.53</v>
      </c>
      <c r="Q8" s="87">
        <f>100%</f>
        <v>1</v>
      </c>
      <c r="R8" s="61"/>
      <c r="S8" s="55"/>
      <c r="T8" s="53"/>
      <c r="U8" s="56"/>
      <c r="V8" s="64"/>
      <c r="W8" s="55"/>
      <c r="X8" s="56"/>
      <c r="Y8" s="56"/>
      <c r="Z8" s="64"/>
      <c r="AA8" s="55"/>
      <c r="AB8" s="56"/>
      <c r="AC8" s="56"/>
      <c r="AD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 s="35">
        <f>List[[#This Row],[Running Budget Total]]-List[[#This Row],[Cash Out Total]]</f>
        <v>170.53</v>
      </c>
      <c r="AF8" s="36" t="str">
        <f>IF(AND(List[[#This Row],[Remaining]]=0,NOT(List[[#This Row],[Running Budget Total]]=0)),Status1,
IF(AND(List[[#This Row],[Remaining]]&lt;0,NOT(List[[#This Row],[Running Budget Total]]=0)),Status2,
IF(AND(List[[#This Row],[Remaining]]=0),Status3,
List[[#This Row],[Spent %]] &amp; Status4)))</f>
        <v>0% paid</v>
      </c>
      <c r="AG8" s="57">
        <f>IFERROR(ROUND(100*List[[#This Row],[Cash Out Total]]/List[[#This Row],[Running Budget Total]],0),0)</f>
        <v>0</v>
      </c>
    </row>
    <row r="9" spans="1:33" s="165" customFormat="1" ht="40" customHeight="1" x14ac:dyDescent="0.2">
      <c r="A9" s="151" t="s">
        <v>99</v>
      </c>
      <c r="B9" s="152" t="s">
        <v>11</v>
      </c>
      <c r="C9" s="151" t="s">
        <v>16</v>
      </c>
      <c r="D9" s="152" t="s">
        <v>72</v>
      </c>
      <c r="E9" s="152"/>
      <c r="F9" s="153"/>
      <c r="G9" s="154" t="s">
        <v>18</v>
      </c>
      <c r="H9" s="155">
        <f>DisplayToUSD/(_xlfn.IFNA(INDEX('Quick Inputs- Constants'!$B$15:$C$18,MATCH(List[[#This Row],[Currency]],'Quick Inputs- Constants'!B$15:B$18,0),2),1))</f>
        <v>1</v>
      </c>
      <c r="I9" s="137">
        <f>BatterykWhAtSite</f>
        <v>74</v>
      </c>
      <c r="J9" s="156">
        <f>BatteryShippingPerkWh</f>
        <v>6</v>
      </c>
      <c r="K9" s="157" t="s">
        <v>14</v>
      </c>
      <c r="L9" s="158">
        <f>List[[#This Row],[Exchange Rate]]*(1+IF(List[[#This Row],[Budget VAT]]="Yes",VATRate,0))*List[[#This Row],[Budget Quantity]]*List[[#This Row],[Budget Price]]</f>
        <v>444</v>
      </c>
      <c r="M9" s="164"/>
      <c r="N9" s="157"/>
      <c r="O9" s="157"/>
      <c r="P9" s="159">
        <f>IF(AND(ISBLANK(List[[#This Row],[Updated Quantity]]),ISBLANK(List[[#This Row],[Updated Price]]),ISBLANK(List[[#This Row],[Updated VAT]])),List[[#This Row],[Budget Total]],
List[[#This Row],[Exchange Rate]]*(1+IF(List[[#This Row],[Updated VAT]]="Yes",VATRate,0))*List[[#This Row],[Updated Quantity]]*List[[#This Row],[Updated Price]])</f>
        <v>444</v>
      </c>
      <c r="Q9" s="143">
        <f>100%</f>
        <v>1</v>
      </c>
      <c r="R9" s="160"/>
      <c r="S9" s="159"/>
      <c r="T9" s="157"/>
      <c r="U9" s="161"/>
      <c r="V9" s="146"/>
      <c r="W9" s="159"/>
      <c r="X9" s="161"/>
      <c r="Y9" s="161"/>
      <c r="Z9" s="146"/>
      <c r="AA9" s="159"/>
      <c r="AB9" s="161"/>
      <c r="AC9" s="161"/>
      <c r="AD9"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 s="159">
        <f>List[[#This Row],[Running Budget Total]]-List[[#This Row],[Cash Out Total]]</f>
        <v>444</v>
      </c>
      <c r="AF9" s="162" t="str">
        <f>IF(AND(List[[#This Row],[Remaining]]=0,NOT(List[[#This Row],[Running Budget Total]]=0)),Status1,
IF(AND(List[[#This Row],[Remaining]]&lt;0,NOT(List[[#This Row],[Running Budget Total]]=0)),Status2,
IF(AND(List[[#This Row],[Remaining]]=0),Status3,
List[[#This Row],[Spent %]] &amp; Status4)))</f>
        <v>0% paid</v>
      </c>
      <c r="AG9" s="163">
        <f>IFERROR(ROUND(100*List[[#This Row],[Cash Out Total]]/List[[#This Row],[Running Budget Total]],0),0)</f>
        <v>0</v>
      </c>
    </row>
    <row r="10" spans="1:33" ht="40" customHeight="1" x14ac:dyDescent="0.2">
      <c r="A10" s="11" t="s">
        <v>14</v>
      </c>
      <c r="B10" s="22" t="s">
        <v>94</v>
      </c>
      <c r="C10" s="11" t="s">
        <v>106</v>
      </c>
      <c r="D10" s="22" t="s">
        <v>97</v>
      </c>
      <c r="E10" s="22"/>
      <c r="F10" s="21" t="s">
        <v>333</v>
      </c>
      <c r="G10" s="51" t="s">
        <v>47</v>
      </c>
      <c r="H10" s="37">
        <f>DisplayToUSD/(_xlfn.IFNA(INDEX('Quick Inputs- Constants'!$B$15:$C$18,MATCH(List[[#This Row],[Currency]],'Quick Inputs- Constants'!B$15:B$18,0),2),1))</f>
        <v>2.4330900243309003E-3</v>
      </c>
      <c r="I10" s="62">
        <v>10</v>
      </c>
      <c r="J10" s="52">
        <v>12000</v>
      </c>
      <c r="K10" s="53" t="s">
        <v>99</v>
      </c>
      <c r="L10" s="54">
        <f>List[[#This Row],[Exchange Rate]]*(1+IF(List[[#This Row],[Budget VAT]]="Yes",VATRate,0))*List[[#This Row],[Budget Quantity]]*List[[#This Row],[Budget Price]]</f>
        <v>313.8686131386861</v>
      </c>
      <c r="M10" s="63"/>
      <c r="N10" s="53"/>
      <c r="O10" s="53"/>
      <c r="P10" s="35">
        <f>IF(AND(ISBLANK(List[[#This Row],[Updated Quantity]]),ISBLANK(List[[#This Row],[Updated Price]]),ISBLANK(List[[#This Row],[Updated VAT]])),List[[#This Row],[Budget Total]],
List[[#This Row],[Exchange Rate]]*(1+IF(List[[#This Row],[Updated VAT]]="Yes",VATRate,0))*List[[#This Row],[Updated Quantity]]*List[[#This Row],[Updated Price]])</f>
        <v>313.8686131386861</v>
      </c>
      <c r="Q10" s="87">
        <f>100%</f>
        <v>1</v>
      </c>
      <c r="R10" s="61"/>
      <c r="S10" s="55"/>
      <c r="T10" s="53"/>
      <c r="U10" s="56"/>
      <c r="V10" s="64"/>
      <c r="W10" s="55"/>
      <c r="X10" s="56"/>
      <c r="Y10" s="56"/>
      <c r="Z10" s="64"/>
      <c r="AA10" s="55"/>
      <c r="AB10" s="56"/>
      <c r="AC10" s="56"/>
      <c r="AD1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 s="35">
        <f>List[[#This Row],[Running Budget Total]]-List[[#This Row],[Cash Out Total]]</f>
        <v>313.8686131386861</v>
      </c>
      <c r="AF10" s="36" t="str">
        <f>IF(AND(List[[#This Row],[Remaining]]=0,NOT(List[[#This Row],[Running Budget Total]]=0)),Status1,
IF(AND(List[[#This Row],[Remaining]]&lt;0,NOT(List[[#This Row],[Running Budget Total]]=0)),Status2,
IF(AND(List[[#This Row],[Remaining]]=0),Status3,
List[[#This Row],[Spent %]] &amp; Status4)))</f>
        <v>0% paid</v>
      </c>
      <c r="AG10" s="57">
        <f>IFERROR(ROUND(100*List[[#This Row],[Cash Out Total]]/List[[#This Row],[Running Budget Total]],0),0)</f>
        <v>0</v>
      </c>
    </row>
    <row r="11" spans="1:33" ht="40" customHeight="1" x14ac:dyDescent="0.2">
      <c r="A11" s="11" t="s">
        <v>14</v>
      </c>
      <c r="B11" s="22" t="s">
        <v>94</v>
      </c>
      <c r="C11" s="11" t="s">
        <v>106</v>
      </c>
      <c r="D11" s="22" t="s">
        <v>96</v>
      </c>
      <c r="E11" s="22"/>
      <c r="F11" s="21" t="s">
        <v>333</v>
      </c>
      <c r="G11" s="51" t="s">
        <v>47</v>
      </c>
      <c r="H11" s="37">
        <f>DisplayToUSD/(_xlfn.IFNA(INDEX('Quick Inputs- Constants'!$B$15:$C$18,MATCH(List[[#This Row],[Currency]],'Quick Inputs- Constants'!B$15:B$18,0),2),1))</f>
        <v>2.4330900243309003E-3</v>
      </c>
      <c r="I11" s="62">
        <v>10</v>
      </c>
      <c r="J11" s="52">
        <v>4000</v>
      </c>
      <c r="K11" s="53" t="s">
        <v>14</v>
      </c>
      <c r="L11" s="54">
        <f>List[[#This Row],[Exchange Rate]]*(1+IF(List[[#This Row],[Budget VAT]]="Yes",VATRate,0))*List[[#This Row],[Budget Quantity]]*List[[#This Row],[Budget Price]]</f>
        <v>97.323600973236012</v>
      </c>
      <c r="M11" s="63"/>
      <c r="N11" s="53"/>
      <c r="O11" s="53"/>
      <c r="P11" s="35">
        <f>IF(AND(ISBLANK(List[[#This Row],[Updated Quantity]]),ISBLANK(List[[#This Row],[Updated Price]]),ISBLANK(List[[#This Row],[Updated VAT]])),List[[#This Row],[Budget Total]],
List[[#This Row],[Exchange Rate]]*(1+IF(List[[#This Row],[Updated VAT]]="Yes",VATRate,0))*List[[#This Row],[Updated Quantity]]*List[[#This Row],[Updated Price]])</f>
        <v>97.323600973236012</v>
      </c>
      <c r="Q11" s="87">
        <f>100%</f>
        <v>1</v>
      </c>
      <c r="R11" s="61"/>
      <c r="S11" s="55"/>
      <c r="T11" s="53"/>
      <c r="U11" s="56"/>
      <c r="V11" s="64"/>
      <c r="W11" s="55"/>
      <c r="X11" s="56"/>
      <c r="Y11" s="56"/>
      <c r="Z11" s="64"/>
      <c r="AA11" s="55"/>
      <c r="AB11" s="56"/>
      <c r="AC11" s="56"/>
      <c r="AD1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 s="35">
        <f>List[[#This Row],[Running Budget Total]]-List[[#This Row],[Cash Out Total]]</f>
        <v>97.323600973236012</v>
      </c>
      <c r="AF11" s="36" t="str">
        <f>IF(AND(List[[#This Row],[Remaining]]=0,NOT(List[[#This Row],[Running Budget Total]]=0)),Status1,
IF(AND(List[[#This Row],[Remaining]]&lt;0,NOT(List[[#This Row],[Running Budget Total]]=0)),Status2,
IF(AND(List[[#This Row],[Remaining]]=0),Status3,
List[[#This Row],[Spent %]] &amp; Status4)))</f>
        <v>0% paid</v>
      </c>
      <c r="AG11" s="57">
        <f>IFERROR(ROUND(100*List[[#This Row],[Cash Out Total]]/List[[#This Row],[Running Budget Total]],0),0)</f>
        <v>0</v>
      </c>
    </row>
    <row r="12" spans="1:33" ht="40" customHeight="1" x14ac:dyDescent="0.2">
      <c r="A12" s="11" t="s">
        <v>14</v>
      </c>
      <c r="B12" s="22" t="s">
        <v>94</v>
      </c>
      <c r="C12" s="11" t="s">
        <v>106</v>
      </c>
      <c r="D12" s="22" t="s">
        <v>270</v>
      </c>
      <c r="E12" s="22"/>
      <c r="F12" s="21" t="s">
        <v>334</v>
      </c>
      <c r="G12" s="51" t="s">
        <v>47</v>
      </c>
      <c r="H12" s="37">
        <f>DisplayToUSD/(_xlfn.IFNA(INDEX('Quick Inputs- Constants'!$B$15:$C$18,MATCH(List[[#This Row],[Currency]],'Quick Inputs- Constants'!B$15:B$18,0),2),1))</f>
        <v>2.4330900243309003E-3</v>
      </c>
      <c r="I12" s="62">
        <v>5</v>
      </c>
      <c r="J12" s="52">
        <v>10000</v>
      </c>
      <c r="K12" s="53" t="s">
        <v>14</v>
      </c>
      <c r="L12" s="54">
        <f>List[[#This Row],[Exchange Rate]]*(1+IF(List[[#This Row],[Budget VAT]]="Yes",VATRate,0))*List[[#This Row],[Budget Quantity]]*List[[#This Row],[Budget Price]]</f>
        <v>121.65450121654501</v>
      </c>
      <c r="M12" s="63"/>
      <c r="N12" s="53"/>
      <c r="O12" s="53"/>
      <c r="P12" s="35">
        <f>IF(AND(ISBLANK(List[[#This Row],[Updated Quantity]]),ISBLANK(List[[#This Row],[Updated Price]]),ISBLANK(List[[#This Row],[Updated VAT]])),List[[#This Row],[Budget Total]],
List[[#This Row],[Exchange Rate]]*(1+IF(List[[#This Row],[Updated VAT]]="Yes",VATRate,0))*List[[#This Row],[Updated Quantity]]*List[[#This Row],[Updated Price]])</f>
        <v>121.65450121654501</v>
      </c>
      <c r="Q12" s="87">
        <f>100%</f>
        <v>1</v>
      </c>
      <c r="R12" s="61"/>
      <c r="S12" s="55"/>
      <c r="T12" s="53"/>
      <c r="U12" s="56"/>
      <c r="V12" s="64"/>
      <c r="W12" s="55"/>
      <c r="X12" s="56"/>
      <c r="Y12" s="56"/>
      <c r="Z12" s="64"/>
      <c r="AA12" s="55"/>
      <c r="AB12" s="56"/>
      <c r="AC12" s="56"/>
      <c r="AD1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 s="35">
        <f>List[[#This Row],[Running Budget Total]]-List[[#This Row],[Cash Out Total]]</f>
        <v>121.65450121654501</v>
      </c>
      <c r="AF12" s="36" t="str">
        <f>IF(AND(List[[#This Row],[Remaining]]=0,NOT(List[[#This Row],[Running Budget Total]]=0)),Status1,
IF(AND(List[[#This Row],[Remaining]]&lt;0,NOT(List[[#This Row],[Running Budget Total]]=0)),Status2,
IF(AND(List[[#This Row],[Remaining]]=0),Status3,
List[[#This Row],[Spent %]] &amp; Status4)))</f>
        <v>0% paid</v>
      </c>
      <c r="AG12" s="57">
        <f>IFERROR(ROUND(100*List[[#This Row],[Cash Out Total]]/List[[#This Row],[Running Budget Total]],0),0)</f>
        <v>0</v>
      </c>
    </row>
    <row r="13" spans="1:33" ht="40" customHeight="1" x14ac:dyDescent="0.2">
      <c r="A13" s="11" t="s">
        <v>14</v>
      </c>
      <c r="B13" s="22" t="s">
        <v>94</v>
      </c>
      <c r="C13" s="11" t="s">
        <v>106</v>
      </c>
      <c r="D13" s="22" t="s">
        <v>212</v>
      </c>
      <c r="E13" s="22"/>
      <c r="F13" s="21" t="s">
        <v>604</v>
      </c>
      <c r="G13" s="51" t="s">
        <v>47</v>
      </c>
      <c r="H13" s="37">
        <f>DisplayToUSD/(_xlfn.IFNA(INDEX('Quick Inputs- Constants'!$B$15:$C$18,MATCH(List[[#This Row],[Currency]],'Quick Inputs- Constants'!B$15:B$18,0),2),1))</f>
        <v>2.4330900243309003E-3</v>
      </c>
      <c r="I13" s="62">
        <v>4</v>
      </c>
      <c r="J13" s="52">
        <v>40000</v>
      </c>
      <c r="K13" s="53" t="s">
        <v>99</v>
      </c>
      <c r="L13" s="54">
        <f>List[[#This Row],[Exchange Rate]]*(1+IF(List[[#This Row],[Budget VAT]]="Yes",VATRate,0))*List[[#This Row],[Budget Quantity]]*List[[#This Row],[Budget Price]]</f>
        <v>418.49148418491478</v>
      </c>
      <c r="M13" s="63"/>
      <c r="N13" s="53"/>
      <c r="O13" s="53"/>
      <c r="P13" s="35">
        <f>IF(AND(ISBLANK(List[[#This Row],[Updated Quantity]]),ISBLANK(List[[#This Row],[Updated Price]]),ISBLANK(List[[#This Row],[Updated VAT]])),List[[#This Row],[Budget Total]],
List[[#This Row],[Exchange Rate]]*(1+IF(List[[#This Row],[Updated VAT]]="Yes",VATRate,0))*List[[#This Row],[Updated Quantity]]*List[[#This Row],[Updated Price]])</f>
        <v>418.49148418491478</v>
      </c>
      <c r="Q13" s="87">
        <f>100%</f>
        <v>1</v>
      </c>
      <c r="R13" s="61"/>
      <c r="S13" s="55"/>
      <c r="T13" s="53"/>
      <c r="U13" s="56"/>
      <c r="V13" s="64"/>
      <c r="W13" s="55"/>
      <c r="X13" s="56"/>
      <c r="Y13" s="56"/>
      <c r="Z13" s="64"/>
      <c r="AA13" s="55"/>
      <c r="AB13" s="56"/>
      <c r="AC13" s="56"/>
      <c r="AD1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 s="35">
        <f>List[[#This Row],[Running Budget Total]]-List[[#This Row],[Cash Out Total]]</f>
        <v>418.49148418491478</v>
      </c>
      <c r="AF13" s="36" t="str">
        <f>IF(AND(List[[#This Row],[Remaining]]=0,NOT(List[[#This Row],[Running Budget Total]]=0)),Status1,
IF(AND(List[[#This Row],[Remaining]]&lt;0,NOT(List[[#This Row],[Running Budget Total]]=0)),Status2,
IF(AND(List[[#This Row],[Remaining]]=0),Status3,
List[[#This Row],[Spent %]] &amp; Status4)))</f>
        <v>0% paid</v>
      </c>
      <c r="AG13" s="57">
        <f>IFERROR(ROUND(100*List[[#This Row],[Cash Out Total]]/List[[#This Row],[Running Budget Total]],0),0)</f>
        <v>0</v>
      </c>
    </row>
    <row r="14" spans="1:33" ht="40" customHeight="1" x14ac:dyDescent="0.2">
      <c r="A14" s="11" t="s">
        <v>14</v>
      </c>
      <c r="B14" s="22" t="s">
        <v>94</v>
      </c>
      <c r="C14" s="11" t="s">
        <v>32</v>
      </c>
      <c r="D14" s="22" t="s">
        <v>589</v>
      </c>
      <c r="E14" s="22"/>
      <c r="F14" s="21"/>
      <c r="G14" s="51" t="s">
        <v>47</v>
      </c>
      <c r="H14" s="37">
        <f>DisplayToUSD/(_xlfn.IFNA(INDEX('Quick Inputs- Constants'!$B$15:$C$18,MATCH(List[[#This Row],[Currency]],'Quick Inputs- Constants'!B$15:B$18,0),2),1))</f>
        <v>2.4330900243309003E-3</v>
      </c>
      <c r="I14" s="62">
        <v>1</v>
      </c>
      <c r="J14" s="52">
        <v>20000</v>
      </c>
      <c r="K14" s="53" t="s">
        <v>14</v>
      </c>
      <c r="L14" s="54">
        <f>List[[#This Row],[Exchange Rate]]*(1+IF(List[[#This Row],[Budget VAT]]="Yes",VATRate,0))*List[[#This Row],[Budget Quantity]]*List[[#This Row],[Budget Price]]</f>
        <v>48.661800486618006</v>
      </c>
      <c r="M14" s="63"/>
      <c r="N14" s="53"/>
      <c r="O14" s="53"/>
      <c r="P14" s="35">
        <f>IF(AND(ISBLANK(List[[#This Row],[Updated Quantity]]),ISBLANK(List[[#This Row],[Updated Price]]),ISBLANK(List[[#This Row],[Updated VAT]])),List[[#This Row],[Budget Total]],
List[[#This Row],[Exchange Rate]]*(1+IF(List[[#This Row],[Updated VAT]]="Yes",VATRate,0))*List[[#This Row],[Updated Quantity]]*List[[#This Row],[Updated Price]])</f>
        <v>48.661800486618006</v>
      </c>
      <c r="Q14" s="87">
        <f>100%</f>
        <v>1</v>
      </c>
      <c r="R14" s="61"/>
      <c r="S14" s="55"/>
      <c r="T14" s="53"/>
      <c r="U14" s="56"/>
      <c r="V14" s="64"/>
      <c r="W14" s="55"/>
      <c r="X14" s="56"/>
      <c r="Y14" s="56"/>
      <c r="Z14" s="64"/>
      <c r="AA14" s="55"/>
      <c r="AB14" s="56"/>
      <c r="AC14" s="56"/>
      <c r="AD1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 s="35">
        <f>List[[#This Row],[Running Budget Total]]-List[[#This Row],[Cash Out Total]]</f>
        <v>48.661800486618006</v>
      </c>
      <c r="AF14" s="36" t="str">
        <f>IF(AND(List[[#This Row],[Remaining]]=0,NOT(List[[#This Row],[Running Budget Total]]=0)),Status1,
IF(AND(List[[#This Row],[Remaining]]&lt;0,NOT(List[[#This Row],[Running Budget Total]]=0)),Status2,
IF(AND(List[[#This Row],[Remaining]]=0),Status3,
List[[#This Row],[Spent %]] &amp; Status4)))</f>
        <v>0% paid</v>
      </c>
      <c r="AG14" s="57">
        <f>IFERROR(ROUND(100*List[[#This Row],[Cash Out Total]]/List[[#This Row],[Running Budget Total]],0),0)</f>
        <v>0</v>
      </c>
    </row>
    <row r="15" spans="1:33" ht="40" customHeight="1" x14ac:dyDescent="0.2">
      <c r="A15" s="73" t="s">
        <v>14</v>
      </c>
      <c r="B15" s="74" t="s">
        <v>94</v>
      </c>
      <c r="C15" s="73" t="s">
        <v>19</v>
      </c>
      <c r="D15" s="74" t="s">
        <v>269</v>
      </c>
      <c r="E15" s="74"/>
      <c r="F15" s="76" t="s">
        <v>332</v>
      </c>
      <c r="G15" s="75" t="s">
        <v>47</v>
      </c>
      <c r="H15" s="77">
        <f>DisplayToUSD/(_xlfn.IFNA(INDEX('Quick Inputs- Constants'!$B$15:$C$18,MATCH(List[[#This Row],[Currency]],'Quick Inputs- Constants'!B$15:B$18,0),2),1))</f>
        <v>2.4330900243309003E-3</v>
      </c>
      <c r="I15" s="62">
        <v>1</v>
      </c>
      <c r="J15" s="78">
        <v>8000</v>
      </c>
      <c r="K15" s="79" t="s">
        <v>14</v>
      </c>
      <c r="L15" s="80">
        <f>List[[#This Row],[Exchange Rate]]*(1+IF(List[[#This Row],[Budget VAT]]="Yes",VATRate,0))*List[[#This Row],[Budget Quantity]]*List[[#This Row],[Budget Price]]</f>
        <v>19.464720194647203</v>
      </c>
      <c r="M15" s="63"/>
      <c r="N15" s="79"/>
      <c r="O15" s="79"/>
      <c r="P15" s="81">
        <f>IF(AND(ISBLANK(List[[#This Row],[Updated Quantity]]),ISBLANK(List[[#This Row],[Updated Price]]),ISBLANK(List[[#This Row],[Updated VAT]])),List[[#This Row],[Budget Total]],
List[[#This Row],[Exchange Rate]]*(1+IF(List[[#This Row],[Updated VAT]]="Yes",VATRate,0))*List[[#This Row],[Updated Quantity]]*List[[#This Row],[Updated Price]])</f>
        <v>19.464720194647203</v>
      </c>
      <c r="Q15" s="87">
        <f>100%</f>
        <v>1</v>
      </c>
      <c r="R15" s="82"/>
      <c r="S15" s="83"/>
      <c r="T15" s="79"/>
      <c r="U15" s="84"/>
      <c r="V15" s="64"/>
      <c r="W15" s="83"/>
      <c r="X15" s="84"/>
      <c r="Y15" s="84"/>
      <c r="Z15" s="64"/>
      <c r="AA15" s="83"/>
      <c r="AB15" s="84"/>
      <c r="AC15" s="84"/>
      <c r="AD1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 s="81">
        <f>List[[#This Row],[Running Budget Total]]-List[[#This Row],[Cash Out Total]]</f>
        <v>19.464720194647203</v>
      </c>
      <c r="AF15" s="85" t="str">
        <f>IF(AND(List[[#This Row],[Remaining]]=0,NOT(List[[#This Row],[Running Budget Total]]=0)),Status1,
IF(AND(List[[#This Row],[Remaining]]&lt;0,NOT(List[[#This Row],[Running Budget Total]]=0)),Status2,
IF(AND(List[[#This Row],[Remaining]]=0),Status3,
List[[#This Row],[Spent %]] &amp; Status4)))</f>
        <v>0% paid</v>
      </c>
      <c r="AG15" s="86">
        <f>IFERROR(ROUND(100*List[[#This Row],[Cash Out Total]]/List[[#This Row],[Running Budget Total]],0),0)</f>
        <v>0</v>
      </c>
    </row>
    <row r="16" spans="1:33" ht="40" customHeight="1" x14ac:dyDescent="0.2">
      <c r="A16" s="11" t="s">
        <v>14</v>
      </c>
      <c r="B16" s="22" t="s">
        <v>94</v>
      </c>
      <c r="C16" s="11" t="s">
        <v>19</v>
      </c>
      <c r="D16" s="22" t="s">
        <v>95</v>
      </c>
      <c r="E16" s="22"/>
      <c r="F16" s="21" t="s">
        <v>331</v>
      </c>
      <c r="G16" s="51" t="s">
        <v>47</v>
      </c>
      <c r="H16" s="37">
        <f>DisplayToUSD/(_xlfn.IFNA(INDEX('Quick Inputs- Constants'!$B$15:$C$18,MATCH(List[[#This Row],[Currency]],'Quick Inputs- Constants'!B$15:B$18,0),2),1))</f>
        <v>2.4330900243309003E-3</v>
      </c>
      <c r="I16" s="62">
        <v>2</v>
      </c>
      <c r="J16" s="52">
        <v>35000</v>
      </c>
      <c r="K16" s="53" t="s">
        <v>14</v>
      </c>
      <c r="L16" s="54">
        <f>List[[#This Row],[Exchange Rate]]*(1+IF(List[[#This Row],[Budget VAT]]="Yes",VATRate,0))*List[[#This Row],[Budget Quantity]]*List[[#This Row],[Budget Price]]</f>
        <v>170.31630170316302</v>
      </c>
      <c r="M16" s="63"/>
      <c r="N16" s="53"/>
      <c r="O16" s="53"/>
      <c r="P16" s="35">
        <f>IF(AND(ISBLANK(List[[#This Row],[Updated Quantity]]),ISBLANK(List[[#This Row],[Updated Price]]),ISBLANK(List[[#This Row],[Updated VAT]])),List[[#This Row],[Budget Total]],
List[[#This Row],[Exchange Rate]]*(1+IF(List[[#This Row],[Updated VAT]]="Yes",VATRate,0))*List[[#This Row],[Updated Quantity]]*List[[#This Row],[Updated Price]])</f>
        <v>170.31630170316302</v>
      </c>
      <c r="Q16" s="87">
        <f>100%</f>
        <v>1</v>
      </c>
      <c r="R16" s="61"/>
      <c r="S16" s="55"/>
      <c r="T16" s="53"/>
      <c r="U16" s="56"/>
      <c r="V16" s="64"/>
      <c r="W16" s="55"/>
      <c r="X16" s="56"/>
      <c r="Y16" s="56"/>
      <c r="Z16" s="64"/>
      <c r="AA16" s="55"/>
      <c r="AB16" s="56"/>
      <c r="AC16" s="56"/>
      <c r="AD1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 s="35">
        <f>List[[#This Row],[Running Budget Total]]-List[[#This Row],[Cash Out Total]]</f>
        <v>170.31630170316302</v>
      </c>
      <c r="AF16" s="36" t="str">
        <f>IF(AND(List[[#This Row],[Remaining]]=0,NOT(List[[#This Row],[Running Budget Total]]=0)),Status1,
IF(AND(List[[#This Row],[Remaining]]&lt;0,NOT(List[[#This Row],[Running Budget Total]]=0)),Status2,
IF(AND(List[[#This Row],[Remaining]]=0),Status3,
List[[#This Row],[Spent %]] &amp; Status4)))</f>
        <v>0% paid</v>
      </c>
      <c r="AG16" s="57">
        <f>IFERROR(ROUND(100*List[[#This Row],[Cash Out Total]]/List[[#This Row],[Running Budget Total]],0),0)</f>
        <v>0</v>
      </c>
    </row>
    <row r="17" spans="1:33" s="165" customFormat="1" ht="40" customHeight="1" x14ac:dyDescent="0.2">
      <c r="A17" s="132" t="s">
        <v>99</v>
      </c>
      <c r="B17" s="133" t="s">
        <v>17</v>
      </c>
      <c r="C17" s="132" t="s">
        <v>12</v>
      </c>
      <c r="D17" s="133" t="s">
        <v>282</v>
      </c>
      <c r="E17" s="133" t="s">
        <v>283</v>
      </c>
      <c r="F17" s="134"/>
      <c r="G17" s="135" t="s">
        <v>47</v>
      </c>
      <c r="H17" s="136">
        <f>DisplayToUSD/(_xlfn.IFNA(INDEX('Quick Inputs- Constants'!$B$15:$C$18,MATCH(List[[#This Row],[Currency]],'Quick Inputs- Constants'!B$15:B$18,0),2),1))</f>
        <v>2.4330900243309003E-3</v>
      </c>
      <c r="I17" s="137">
        <v>1</v>
      </c>
      <c r="J17" s="138">
        <f>MeterClearingAgentFees</f>
        <v>137000</v>
      </c>
      <c r="K17" s="139" t="s">
        <v>99</v>
      </c>
      <c r="L17" s="140">
        <f>List[[#This Row],[Exchange Rate]]*(1+IF(List[[#This Row],[Budget VAT]]="Yes",VATRate,0))*List[[#This Row],[Budget Quantity]]*List[[#This Row],[Budget Price]]</f>
        <v>358.33333333333331</v>
      </c>
      <c r="M17" s="164"/>
      <c r="N17" s="139"/>
      <c r="O17" s="139"/>
      <c r="P17" s="142">
        <f>IF(AND(ISBLANK(List[[#This Row],[Updated Quantity]]),ISBLANK(List[[#This Row],[Updated Price]]),ISBLANK(List[[#This Row],[Updated VAT]])),List[[#This Row],[Budget Total]],
List[[#This Row],[Exchange Rate]]*(1+IF(List[[#This Row],[Updated VAT]]="Yes",VATRate,0))*List[[#This Row],[Updated Quantity]]*List[[#This Row],[Updated Price]])</f>
        <v>358.33333333333331</v>
      </c>
      <c r="Q17" s="143">
        <f>100%</f>
        <v>1</v>
      </c>
      <c r="R17" s="144"/>
      <c r="S17" s="142"/>
      <c r="T17" s="139"/>
      <c r="U17" s="145"/>
      <c r="V17" s="146"/>
      <c r="W17" s="142"/>
      <c r="X17" s="145"/>
      <c r="Y17" s="145"/>
      <c r="Z17" s="146"/>
      <c r="AA17" s="142"/>
      <c r="AB17" s="145"/>
      <c r="AC17" s="145"/>
      <c r="AD1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 s="142">
        <f>List[[#This Row],[Running Budget Total]]-List[[#This Row],[Cash Out Total]]</f>
        <v>358.33333333333331</v>
      </c>
      <c r="AF17" s="148" t="str">
        <f>IF(AND(List[[#This Row],[Remaining]]=0,NOT(List[[#This Row],[Running Budget Total]]=0)),Status1,
IF(AND(List[[#This Row],[Remaining]]&lt;0,NOT(List[[#This Row],[Running Budget Total]]=0)),Status2,
IF(AND(List[[#This Row],[Remaining]]=0),Status3,
List[[#This Row],[Spent %]] &amp; Status4)))</f>
        <v>0% paid</v>
      </c>
      <c r="AG17" s="149">
        <f>IFERROR(ROUND(100*List[[#This Row],[Cash Out Total]]/List[[#This Row],[Running Budget Total]],0),0)</f>
        <v>0</v>
      </c>
    </row>
    <row r="18" spans="1:33" s="165" customFormat="1" ht="40" customHeight="1" x14ac:dyDescent="0.2">
      <c r="A18" s="151" t="s">
        <v>99</v>
      </c>
      <c r="B18" s="152" t="s">
        <v>17</v>
      </c>
      <c r="C18" s="151" t="s">
        <v>12</v>
      </c>
      <c r="D18" s="152" t="s">
        <v>498</v>
      </c>
      <c r="E18" s="152" t="s">
        <v>595</v>
      </c>
      <c r="F18" s="166"/>
      <c r="G18" s="154" t="s">
        <v>47</v>
      </c>
      <c r="H18" s="155">
        <f>DisplayToUSD/(_xlfn.IFNA(INDEX('Quick Inputs- Constants'!$B$15:$C$18,MATCH(List[[#This Row],[Currency]],'Quick Inputs- Constants'!B$15:B$18,0),2),1))</f>
        <v>2.4330900243309003E-3</v>
      </c>
      <c r="I18" s="137">
        <v>1</v>
      </c>
      <c r="J18" s="156">
        <f>MeterInspection</f>
        <v>102750</v>
      </c>
      <c r="K18" s="157" t="s">
        <v>14</v>
      </c>
      <c r="L18" s="158">
        <f>List[[#This Row],[Exchange Rate]]*(1+IF(List[[#This Row],[Budget VAT]]="Yes",VATRate,0))*List[[#This Row],[Budget Quantity]]*List[[#This Row],[Budget Price]]</f>
        <v>250</v>
      </c>
      <c r="M18" s="164"/>
      <c r="N18" s="157"/>
      <c r="O18" s="157"/>
      <c r="P18" s="159">
        <f>IF(AND(ISBLANK(List[[#This Row],[Updated Quantity]]),ISBLANK(List[[#This Row],[Updated Price]]),ISBLANK(List[[#This Row],[Updated VAT]])),List[[#This Row],[Budget Total]],
List[[#This Row],[Exchange Rate]]*(1+IF(List[[#This Row],[Updated VAT]]="Yes",VATRate,0))*List[[#This Row],[Updated Quantity]]*List[[#This Row],[Updated Price]])</f>
        <v>250</v>
      </c>
      <c r="Q18" s="143">
        <f>100%</f>
        <v>1</v>
      </c>
      <c r="R18" s="160"/>
      <c r="S18" s="159"/>
      <c r="T18" s="157"/>
      <c r="U18" s="161"/>
      <c r="V18" s="146"/>
      <c r="W18" s="159"/>
      <c r="X18" s="161"/>
      <c r="Y18" s="161"/>
      <c r="Z18" s="146"/>
      <c r="AA18" s="159"/>
      <c r="AB18" s="161"/>
      <c r="AC18" s="161"/>
      <c r="AD1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8" s="159">
        <f>List[[#This Row],[Running Budget Total]]-List[[#This Row],[Cash Out Total]]</f>
        <v>250</v>
      </c>
      <c r="AF18" s="162" t="str">
        <f>IF(AND(List[[#This Row],[Remaining]]=0,NOT(List[[#This Row],[Running Budget Total]]=0)),Status1,
IF(AND(List[[#This Row],[Remaining]]&lt;0,NOT(List[[#This Row],[Running Budget Total]]=0)),Status2,
IF(AND(List[[#This Row],[Remaining]]=0),Status3,
List[[#This Row],[Spent %]] &amp; Status4)))</f>
        <v>0% paid</v>
      </c>
      <c r="AG18" s="163">
        <f>IFERROR(ROUND(100*List[[#This Row],[Cash Out Total]]/List[[#This Row],[Running Budget Total]],0),0)</f>
        <v>0</v>
      </c>
    </row>
    <row r="19" spans="1:33" s="165" customFormat="1" ht="40" customHeight="1" x14ac:dyDescent="0.2">
      <c r="A19" s="151" t="s">
        <v>99</v>
      </c>
      <c r="B19" s="152" t="s">
        <v>17</v>
      </c>
      <c r="C19" s="151" t="s">
        <v>12</v>
      </c>
      <c r="D19" s="152" t="s">
        <v>71</v>
      </c>
      <c r="E19" s="152" t="s">
        <v>590</v>
      </c>
      <c r="F19" s="153"/>
      <c r="G19" s="154" t="s">
        <v>47</v>
      </c>
      <c r="H19" s="155">
        <f>DisplayToUSD/(_xlfn.IFNA(INDEX('Quick Inputs- Constants'!$B$15:$C$18,MATCH(List[[#This Row],[Currency]],'Quick Inputs- Constants'!B$15:B$18,0),2),1))</f>
        <v>2.4330900243309003E-3</v>
      </c>
      <c r="I19" s="137">
        <v>1</v>
      </c>
      <c r="J19" s="156">
        <f>MeterNonVAT</f>
        <v>4034493</v>
      </c>
      <c r="K19" s="157" t="s">
        <v>14</v>
      </c>
      <c r="L19" s="158">
        <f>List[[#This Row],[Exchange Rate]]*(1+IF(List[[#This Row],[Budget VAT]]="Yes",VATRate,0))*List[[#This Row],[Budget Quantity]]*List[[#This Row],[Budget Price]]</f>
        <v>9816.2846715328469</v>
      </c>
      <c r="M19" s="164"/>
      <c r="N19" s="157"/>
      <c r="O19" s="157"/>
      <c r="P19" s="159">
        <f>IF(AND(ISBLANK(List[[#This Row],[Updated Quantity]]),ISBLANK(List[[#This Row],[Updated Price]]),ISBLANK(List[[#This Row],[Updated VAT]])),List[[#This Row],[Budget Total]],
List[[#This Row],[Exchange Rate]]*(1+IF(List[[#This Row],[Updated VAT]]="Yes",VATRate,0))*List[[#This Row],[Updated Quantity]]*List[[#This Row],[Updated Price]])</f>
        <v>9816.2846715328469</v>
      </c>
      <c r="Q19" s="143">
        <f>100%</f>
        <v>1</v>
      </c>
      <c r="R19" s="160"/>
      <c r="S19" s="159"/>
      <c r="T19" s="157"/>
      <c r="U19" s="161"/>
      <c r="V19" s="146"/>
      <c r="W19" s="159"/>
      <c r="X19" s="161"/>
      <c r="Y19" s="161"/>
      <c r="Z19" s="146"/>
      <c r="AA19" s="159"/>
      <c r="AB19" s="161"/>
      <c r="AC19" s="161"/>
      <c r="AD19"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9" s="159">
        <f>List[[#This Row],[Running Budget Total]]-List[[#This Row],[Cash Out Total]]</f>
        <v>9816.2846715328469</v>
      </c>
      <c r="AF19" s="162" t="str">
        <f>IF(AND(List[[#This Row],[Remaining]]=0,NOT(List[[#This Row],[Running Budget Total]]=0)),Status1,
IF(AND(List[[#This Row],[Remaining]]&lt;0,NOT(List[[#This Row],[Running Budget Total]]=0)),Status2,
IF(AND(List[[#This Row],[Remaining]]=0),Status3,
List[[#This Row],[Spent %]] &amp; Status4)))</f>
        <v>0% paid</v>
      </c>
      <c r="AG19" s="163">
        <f>IFERROR(ROUND(100*List[[#This Row],[Cash Out Total]]/List[[#This Row],[Running Budget Total]],0),0)</f>
        <v>0</v>
      </c>
    </row>
    <row r="20" spans="1:33" s="165" customFormat="1" ht="40" customHeight="1" x14ac:dyDescent="0.2">
      <c r="A20" s="151" t="s">
        <v>99</v>
      </c>
      <c r="B20" s="152" t="s">
        <v>17</v>
      </c>
      <c r="C20" s="151" t="s">
        <v>12</v>
      </c>
      <c r="D20" s="152" t="s">
        <v>267</v>
      </c>
      <c r="E20" s="152" t="s">
        <v>590</v>
      </c>
      <c r="F20" s="153"/>
      <c r="G20" s="154" t="s">
        <v>47</v>
      </c>
      <c r="H20" s="155">
        <f>DisplayToUSD/(_xlfn.IFNA(INDEX('Quick Inputs- Constants'!$B$15:$C$18,MATCH(List[[#This Row],[Currency]],'Quick Inputs- Constants'!B$15:B$18,0),2),1))</f>
        <v>2.4330900243309003E-3</v>
      </c>
      <c r="I20" s="137">
        <v>1</v>
      </c>
      <c r="J20" s="156">
        <f>MeterPortFees</f>
        <v>100000</v>
      </c>
      <c r="K20" s="157" t="s">
        <v>99</v>
      </c>
      <c r="L20" s="158">
        <f>List[[#This Row],[Exchange Rate]]*(1+IF(List[[#This Row],[Budget VAT]]="Yes",VATRate,0))*List[[#This Row],[Budget Quantity]]*List[[#This Row],[Budget Price]]</f>
        <v>261.55717761557173</v>
      </c>
      <c r="M20" s="164"/>
      <c r="N20" s="157"/>
      <c r="O20" s="157"/>
      <c r="P20" s="159">
        <f>IF(AND(ISBLANK(List[[#This Row],[Updated Quantity]]),ISBLANK(List[[#This Row],[Updated Price]]),ISBLANK(List[[#This Row],[Updated VAT]])),List[[#This Row],[Budget Total]],
List[[#This Row],[Exchange Rate]]*(1+IF(List[[#This Row],[Updated VAT]]="Yes",VATRate,0))*List[[#This Row],[Updated Quantity]]*List[[#This Row],[Updated Price]])</f>
        <v>261.55717761557173</v>
      </c>
      <c r="Q20" s="143">
        <f>100%</f>
        <v>1</v>
      </c>
      <c r="R20" s="160"/>
      <c r="S20" s="159"/>
      <c r="T20" s="157"/>
      <c r="U20" s="161"/>
      <c r="V20" s="146"/>
      <c r="W20" s="159"/>
      <c r="X20" s="161"/>
      <c r="Y20" s="161"/>
      <c r="Z20" s="146"/>
      <c r="AA20" s="159"/>
      <c r="AB20" s="161"/>
      <c r="AC20" s="161"/>
      <c r="AD20"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0" s="159">
        <f>List[[#This Row],[Running Budget Total]]-List[[#This Row],[Cash Out Total]]</f>
        <v>261.55717761557173</v>
      </c>
      <c r="AF20" s="162" t="str">
        <f>IF(AND(List[[#This Row],[Remaining]]=0,NOT(List[[#This Row],[Running Budget Total]]=0)),Status1,
IF(AND(List[[#This Row],[Remaining]]&lt;0,NOT(List[[#This Row],[Running Budget Total]]=0)),Status2,
IF(AND(List[[#This Row],[Remaining]]=0),Status3,
List[[#This Row],[Spent %]] &amp; Status4)))</f>
        <v>0% paid</v>
      </c>
      <c r="AG20" s="163">
        <f>IFERROR(ROUND(100*List[[#This Row],[Cash Out Total]]/List[[#This Row],[Running Budget Total]],0),0)</f>
        <v>0</v>
      </c>
    </row>
    <row r="21" spans="1:33" ht="40" customHeight="1" x14ac:dyDescent="0.2">
      <c r="A21" s="11" t="s">
        <v>14</v>
      </c>
      <c r="B21" s="22" t="s">
        <v>17</v>
      </c>
      <c r="C21" s="11" t="s">
        <v>12</v>
      </c>
      <c r="D21" s="22" t="s">
        <v>493</v>
      </c>
      <c r="E21" s="22" t="s">
        <v>98</v>
      </c>
      <c r="F21" s="66" t="s">
        <v>487</v>
      </c>
      <c r="G21" s="51" t="s">
        <v>18</v>
      </c>
      <c r="H21" s="37">
        <f>DisplayToUSD/(_xlfn.IFNA(INDEX('Quick Inputs- Constants'!$B$15:$C$18,MATCH(List[[#This Row],[Currency]],'Quick Inputs- Constants'!B$15:B$18,0),2),1))</f>
        <v>1</v>
      </c>
      <c r="I21" s="62">
        <v>1</v>
      </c>
      <c r="J21" s="52">
        <v>500</v>
      </c>
      <c r="K21" s="53" t="s">
        <v>14</v>
      </c>
      <c r="L21" s="54">
        <f>List[[#This Row],[Exchange Rate]]*(1+IF(List[[#This Row],[Budget VAT]]="Yes",VATRate,0))*List[[#This Row],[Budget Quantity]]*List[[#This Row],[Budget Price]]</f>
        <v>500</v>
      </c>
      <c r="M21" s="63"/>
      <c r="N21" s="53"/>
      <c r="O21" s="53"/>
      <c r="P21" s="35">
        <f>IF(AND(ISBLANK(List[[#This Row],[Updated Quantity]]),ISBLANK(List[[#This Row],[Updated Price]]),ISBLANK(List[[#This Row],[Updated VAT]])),List[[#This Row],[Budget Total]],
List[[#This Row],[Exchange Rate]]*(1+IF(List[[#This Row],[Updated VAT]]="Yes",VATRate,0))*List[[#This Row],[Updated Quantity]]*List[[#This Row],[Updated Price]])</f>
        <v>500</v>
      </c>
      <c r="Q21" s="87">
        <f>100%</f>
        <v>1</v>
      </c>
      <c r="R21" s="61"/>
      <c r="S21" s="55"/>
      <c r="T21" s="53"/>
      <c r="U21" s="56"/>
      <c r="V21" s="64"/>
      <c r="W21" s="55"/>
      <c r="X21" s="56"/>
      <c r="Y21" s="56"/>
      <c r="Z21" s="64"/>
      <c r="AA21" s="55"/>
      <c r="AB21" s="56"/>
      <c r="AC21" s="56"/>
      <c r="AD2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1" s="35">
        <f>List[[#This Row],[Running Budget Total]]-List[[#This Row],[Cash Out Total]]</f>
        <v>500</v>
      </c>
      <c r="AF21" s="36" t="str">
        <f>IF(AND(List[[#This Row],[Remaining]]=0,NOT(List[[#This Row],[Running Budget Total]]=0)),Status1,
IF(AND(List[[#This Row],[Remaining]]&lt;0,NOT(List[[#This Row],[Running Budget Total]]=0)),Status2,
IF(AND(List[[#This Row],[Remaining]]=0),Status3,
List[[#This Row],[Spent %]] &amp; Status4)))</f>
        <v>0% paid</v>
      </c>
      <c r="AG21" s="57">
        <f>IFERROR(ROUND(100*List[[#This Row],[Cash Out Total]]/List[[#This Row],[Running Budget Total]],0),0)</f>
        <v>0</v>
      </c>
    </row>
    <row r="22" spans="1:33" s="165" customFormat="1" ht="40" customHeight="1" x14ac:dyDescent="0.2">
      <c r="A22" s="151" t="s">
        <v>99</v>
      </c>
      <c r="B22" s="152" t="s">
        <v>17</v>
      </c>
      <c r="C22" s="151" t="s">
        <v>12</v>
      </c>
      <c r="D22" s="152" t="s">
        <v>37</v>
      </c>
      <c r="E22" s="152" t="s">
        <v>590</v>
      </c>
      <c r="F22" s="153"/>
      <c r="G22" s="154" t="s">
        <v>47</v>
      </c>
      <c r="H22" s="155">
        <f>DisplayToUSD/(_xlfn.IFNA(INDEX('Quick Inputs- Constants'!$B$15:$C$18,MATCH(List[[#This Row],[Currency]],'Quick Inputs- Constants'!B$15:B$18,0),2),1))</f>
        <v>2.4330900243309003E-3</v>
      </c>
      <c r="I22" s="137">
        <v>1</v>
      </c>
      <c r="J22" s="167">
        <f>MeterVAT</f>
        <v>0</v>
      </c>
      <c r="K22" s="157" t="s">
        <v>100</v>
      </c>
      <c r="L22" s="158">
        <f>List[[#This Row],[Exchange Rate]]*(1+IF(List[[#This Row],[Budget VAT]]="Yes",VATRate,0))*List[[#This Row],[Budget Quantity]]*List[[#This Row],[Budget Price]]</f>
        <v>0</v>
      </c>
      <c r="M22" s="164"/>
      <c r="N22" s="157"/>
      <c r="O22" s="157"/>
      <c r="P22" s="159">
        <f>IF(AND(ISBLANK(List[[#This Row],[Updated Quantity]]),ISBLANK(List[[#This Row],[Updated Price]]),ISBLANK(List[[#This Row],[Updated VAT]])),List[[#This Row],[Budget Total]],
List[[#This Row],[Exchange Rate]]*(1+IF(List[[#This Row],[Updated VAT]]="Yes",VATRate,0))*List[[#This Row],[Updated Quantity]]*List[[#This Row],[Updated Price]])</f>
        <v>0</v>
      </c>
      <c r="Q22" s="143">
        <f>100%</f>
        <v>1</v>
      </c>
      <c r="R22" s="160"/>
      <c r="S22" s="159"/>
      <c r="T22" s="157"/>
      <c r="U22" s="161"/>
      <c r="V22" s="146"/>
      <c r="W22" s="159"/>
      <c r="X22" s="161"/>
      <c r="Y22" s="161"/>
      <c r="Z22" s="146"/>
      <c r="AA22" s="159"/>
      <c r="AB22" s="161"/>
      <c r="AC22" s="161"/>
      <c r="AD2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2" s="159">
        <f>List[[#This Row],[Running Budget Total]]-List[[#This Row],[Cash Out Total]]</f>
        <v>0</v>
      </c>
      <c r="AF22" s="162" t="str">
        <f>IF(AND(List[[#This Row],[Remaining]]=0,NOT(List[[#This Row],[Running Budget Total]]=0)),Status1,
IF(AND(List[[#This Row],[Remaining]]&lt;0,NOT(List[[#This Row],[Running Budget Total]]=0)),Status2,
IF(AND(List[[#This Row],[Remaining]]=0),Status3,
List[[#This Row],[Spent %]] &amp; Status4)))</f>
        <v>Cancelled</v>
      </c>
      <c r="AG22" s="163">
        <f>IFERROR(ROUND(100*List[[#This Row],[Cash Out Total]]/List[[#This Row],[Running Budget Total]],0),0)</f>
        <v>0</v>
      </c>
    </row>
    <row r="23" spans="1:33" ht="40" customHeight="1" x14ac:dyDescent="0.2">
      <c r="A23" s="11" t="s">
        <v>14</v>
      </c>
      <c r="B23" s="22" t="s">
        <v>17</v>
      </c>
      <c r="C23" s="11" t="s">
        <v>106</v>
      </c>
      <c r="D23" s="58" t="s">
        <v>220</v>
      </c>
      <c r="E23" s="22" t="s">
        <v>98</v>
      </c>
      <c r="F23" s="21" t="s">
        <v>230</v>
      </c>
      <c r="G23" s="51" t="s">
        <v>18</v>
      </c>
      <c r="H23" s="37">
        <f>DisplayToUSD/(_xlfn.IFNA(INDEX('Quick Inputs- Constants'!$B$15:$C$18,MATCH(List[[#This Row],[Currency]],'Quick Inputs- Constants'!B$15:B$18,0),2),1))</f>
        <v>1</v>
      </c>
      <c r="I23" s="62">
        <f>_xlfn.CEILING.MATH((499+NewConnections)/200)*0</f>
        <v>0</v>
      </c>
      <c r="J23" s="52">
        <v>2250</v>
      </c>
      <c r="K23" s="53" t="s">
        <v>14</v>
      </c>
      <c r="L23" s="54">
        <f>List[[#This Row],[Exchange Rate]]*(1+IF(List[[#This Row],[Budget VAT]]="Yes",VATRate,0))*List[[#This Row],[Budget Quantity]]*List[[#This Row],[Budget Price]]</f>
        <v>0</v>
      </c>
      <c r="M23" s="63"/>
      <c r="N23" s="53"/>
      <c r="O23" s="53"/>
      <c r="P23" s="35">
        <f>IF(AND(ISBLANK(List[[#This Row],[Updated Quantity]]),ISBLANK(List[[#This Row],[Updated Price]]),ISBLANK(List[[#This Row],[Updated VAT]])),List[[#This Row],[Budget Total]],
List[[#This Row],[Exchange Rate]]*(1+IF(List[[#This Row],[Updated VAT]]="Yes",VATRate,0))*List[[#This Row],[Updated Quantity]]*List[[#This Row],[Updated Price]])</f>
        <v>0</v>
      </c>
      <c r="Q23" s="87">
        <f>100%</f>
        <v>1</v>
      </c>
      <c r="R23" s="61"/>
      <c r="S23" s="55"/>
      <c r="T23" s="53"/>
      <c r="U23" s="56"/>
      <c r="V23" s="64"/>
      <c r="W23" s="55"/>
      <c r="X23" s="56"/>
      <c r="Y23" s="56"/>
      <c r="Z23" s="64"/>
      <c r="AA23" s="55"/>
      <c r="AB23" s="56"/>
      <c r="AC23" s="56"/>
      <c r="AD2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3" s="35">
        <f>List[[#This Row],[Running Budget Total]]-List[[#This Row],[Cash Out Total]]</f>
        <v>0</v>
      </c>
      <c r="AF23" s="36" t="str">
        <f>IF(AND(List[[#This Row],[Remaining]]=0,NOT(List[[#This Row],[Running Budget Total]]=0)),Status1,
IF(AND(List[[#This Row],[Remaining]]&lt;0,NOT(List[[#This Row],[Running Budget Total]]=0)),Status2,
IF(AND(List[[#This Row],[Remaining]]=0),Status3,
List[[#This Row],[Spent %]] &amp; Status4)))</f>
        <v>Cancelled</v>
      </c>
      <c r="AG23" s="57">
        <f>IFERROR(ROUND(100*List[[#This Row],[Cash Out Total]]/List[[#This Row],[Running Budget Total]],0),0)</f>
        <v>0</v>
      </c>
    </row>
    <row r="24" spans="1:33" ht="40" customHeight="1" x14ac:dyDescent="0.2">
      <c r="A24" s="11" t="s">
        <v>209</v>
      </c>
      <c r="B24" s="22" t="s">
        <v>17</v>
      </c>
      <c r="C24" s="11" t="s">
        <v>19</v>
      </c>
      <c r="D24" s="58" t="s">
        <v>214</v>
      </c>
      <c r="E24" s="22"/>
      <c r="F24" s="21"/>
      <c r="G24" s="51" t="s">
        <v>47</v>
      </c>
      <c r="H24" s="37">
        <f>DisplayToUSD/(_xlfn.IFNA(INDEX('Quick Inputs- Constants'!$B$15:$C$18,MATCH(List[[#This Row],[Currency]],'Quick Inputs- Constants'!B$15:B$18,0),2),1))</f>
        <v>2.4330900243309003E-3</v>
      </c>
      <c r="I24" s="62">
        <f>NewConnections</f>
        <v>400</v>
      </c>
      <c r="J24" s="52">
        <v>400</v>
      </c>
      <c r="K24" s="53" t="s">
        <v>14</v>
      </c>
      <c r="L24" s="54">
        <f>List[[#This Row],[Exchange Rate]]*(1+IF(List[[#This Row],[Budget VAT]]="Yes",VATRate,0))*List[[#This Row],[Budget Quantity]]*List[[#This Row],[Budget Price]]</f>
        <v>389.29440389294405</v>
      </c>
      <c r="M24" s="63"/>
      <c r="N24" s="53"/>
      <c r="O24" s="53"/>
      <c r="P24" s="35">
        <f>IF(AND(ISBLANK(List[[#This Row],[Updated Quantity]]),ISBLANK(List[[#This Row],[Updated Price]]),ISBLANK(List[[#This Row],[Updated VAT]])),List[[#This Row],[Budget Total]],
List[[#This Row],[Exchange Rate]]*(1+IF(List[[#This Row],[Updated VAT]]="Yes",VATRate,0))*List[[#This Row],[Updated Quantity]]*List[[#This Row],[Updated Price]])</f>
        <v>389.29440389294405</v>
      </c>
      <c r="Q24" s="87">
        <f>100%</f>
        <v>1</v>
      </c>
      <c r="R24" s="61"/>
      <c r="S24" s="55"/>
      <c r="T24" s="53"/>
      <c r="U24" s="56"/>
      <c r="V24" s="64"/>
      <c r="W24" s="55"/>
      <c r="X24" s="56"/>
      <c r="Y24" s="56"/>
      <c r="Z24" s="64"/>
      <c r="AA24" s="55"/>
      <c r="AB24" s="56"/>
      <c r="AC24" s="56"/>
      <c r="AD2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4" s="35">
        <f>List[[#This Row],[Running Budget Total]]-List[[#This Row],[Cash Out Total]]</f>
        <v>389.29440389294405</v>
      </c>
      <c r="AF24" s="36" t="str">
        <f>IF(AND(List[[#This Row],[Remaining]]=0,NOT(List[[#This Row],[Running Budget Total]]=0)),Status1,
IF(AND(List[[#This Row],[Remaining]]&lt;0,NOT(List[[#This Row],[Running Budget Total]]=0)),Status2,
IF(AND(List[[#This Row],[Remaining]]=0),Status3,
List[[#This Row],[Spent %]] &amp; Status4)))</f>
        <v>0% paid</v>
      </c>
      <c r="AG24" s="57">
        <f>IFERROR(ROUND(100*List[[#This Row],[Cash Out Total]]/List[[#This Row],[Running Budget Total]],0),0)</f>
        <v>0</v>
      </c>
    </row>
    <row r="25" spans="1:33" ht="40" customHeight="1" x14ac:dyDescent="0.2">
      <c r="A25" s="11" t="s">
        <v>209</v>
      </c>
      <c r="B25" s="22" t="s">
        <v>17</v>
      </c>
      <c r="C25" s="11" t="s">
        <v>19</v>
      </c>
      <c r="D25" s="58" t="s">
        <v>213</v>
      </c>
      <c r="E25" s="22"/>
      <c r="F25" s="21"/>
      <c r="G25" s="51" t="s">
        <v>47</v>
      </c>
      <c r="H25" s="37">
        <f>DisplayToUSD/(_xlfn.IFNA(INDEX('Quick Inputs- Constants'!$B$15:$C$18,MATCH(List[[#This Row],[Currency]],'Quick Inputs- Constants'!B$15:B$18,0),2),1))</f>
        <v>2.4330900243309003E-3</v>
      </c>
      <c r="I25" s="62">
        <f>NewConnections</f>
        <v>400</v>
      </c>
      <c r="J25" s="52">
        <v>1200</v>
      </c>
      <c r="K25" s="53" t="s">
        <v>14</v>
      </c>
      <c r="L25" s="54">
        <f>List[[#This Row],[Exchange Rate]]*(1+IF(List[[#This Row],[Budget VAT]]="Yes",VATRate,0))*List[[#This Row],[Budget Quantity]]*List[[#This Row],[Budget Price]]</f>
        <v>1167.8832116788321</v>
      </c>
      <c r="M25" s="63"/>
      <c r="N25" s="53"/>
      <c r="O25" s="53"/>
      <c r="P25" s="35">
        <f>IF(AND(ISBLANK(List[[#This Row],[Updated Quantity]]),ISBLANK(List[[#This Row],[Updated Price]]),ISBLANK(List[[#This Row],[Updated VAT]])),List[[#This Row],[Budget Total]],
List[[#This Row],[Exchange Rate]]*(1+IF(List[[#This Row],[Updated VAT]]="Yes",VATRate,0))*List[[#This Row],[Updated Quantity]]*List[[#This Row],[Updated Price]])</f>
        <v>1167.8832116788321</v>
      </c>
      <c r="Q25" s="87">
        <f>100%</f>
        <v>1</v>
      </c>
      <c r="R25" s="61"/>
      <c r="S25" s="55"/>
      <c r="T25" s="53"/>
      <c r="U25" s="56"/>
      <c r="V25" s="64"/>
      <c r="W25" s="55"/>
      <c r="X25" s="56"/>
      <c r="Y25" s="56"/>
      <c r="Z25" s="64"/>
      <c r="AA25" s="55"/>
      <c r="AB25" s="56"/>
      <c r="AC25" s="56"/>
      <c r="AD2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5" s="35">
        <f>List[[#This Row],[Running Budget Total]]-List[[#This Row],[Cash Out Total]]</f>
        <v>1167.8832116788321</v>
      </c>
      <c r="AF25" s="36" t="str">
        <f>IF(AND(List[[#This Row],[Remaining]]=0,NOT(List[[#This Row],[Running Budget Total]]=0)),Status1,
IF(AND(List[[#This Row],[Remaining]]&lt;0,NOT(List[[#This Row],[Running Budget Total]]=0)),Status2,
IF(AND(List[[#This Row],[Remaining]]=0),Status3,
List[[#This Row],[Spent %]] &amp; Status4)))</f>
        <v>0% paid</v>
      </c>
      <c r="AG25" s="57">
        <f>IFERROR(ROUND(100*List[[#This Row],[Cash Out Total]]/List[[#This Row],[Running Budget Total]],0),0)</f>
        <v>0</v>
      </c>
    </row>
    <row r="26" spans="1:33" ht="40" customHeight="1" x14ac:dyDescent="0.2">
      <c r="A26" s="11" t="s">
        <v>14</v>
      </c>
      <c r="B26" s="22" t="s">
        <v>17</v>
      </c>
      <c r="C26" s="11" t="s">
        <v>19</v>
      </c>
      <c r="D26" s="58" t="s">
        <v>374</v>
      </c>
      <c r="E26" s="22"/>
      <c r="F26" s="21"/>
      <c r="G26" s="51" t="s">
        <v>47</v>
      </c>
      <c r="H26" s="37">
        <f>DisplayToUSD/(_xlfn.IFNA(INDEX('Quick Inputs- Constants'!$B$15:$C$18,MATCH(List[[#This Row],[Currency]],'Quick Inputs- Constants'!B$15:B$18,0),2),1))</f>
        <v>2.4330900243309003E-3</v>
      </c>
      <c r="I26" s="62">
        <v>1</v>
      </c>
      <c r="J26" s="52">
        <v>18000</v>
      </c>
      <c r="K26" s="53" t="s">
        <v>14</v>
      </c>
      <c r="L26" s="54">
        <f>List[[#This Row],[Exchange Rate]]*(1+IF(List[[#This Row],[Budget VAT]]="Yes",VATRate,0))*List[[#This Row],[Budget Quantity]]*List[[#This Row],[Budget Price]]</f>
        <v>43.795620437956202</v>
      </c>
      <c r="M26" s="63"/>
      <c r="N26" s="53"/>
      <c r="O26" s="53"/>
      <c r="P26" s="35">
        <f>IF(AND(ISBLANK(List[[#This Row],[Updated Quantity]]),ISBLANK(List[[#This Row],[Updated Price]]),ISBLANK(List[[#This Row],[Updated VAT]])),List[[#This Row],[Budget Total]],
List[[#This Row],[Exchange Rate]]*(1+IF(List[[#This Row],[Updated VAT]]="Yes",VATRate,0))*List[[#This Row],[Updated Quantity]]*List[[#This Row],[Updated Price]])</f>
        <v>43.795620437956202</v>
      </c>
      <c r="Q26" s="87">
        <f>100%</f>
        <v>1</v>
      </c>
      <c r="R26" s="61"/>
      <c r="S26" s="55"/>
      <c r="T26" s="53"/>
      <c r="U26" s="56"/>
      <c r="V26" s="64"/>
      <c r="W26" s="55"/>
      <c r="X26" s="56"/>
      <c r="Y26" s="56"/>
      <c r="Z26" s="64"/>
      <c r="AA26" s="55"/>
      <c r="AB26" s="56"/>
      <c r="AC26" s="56"/>
      <c r="AD2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6" s="35">
        <f>List[[#This Row],[Running Budget Total]]-List[[#This Row],[Cash Out Total]]</f>
        <v>43.795620437956202</v>
      </c>
      <c r="AF26" s="36" t="str">
        <f>IF(AND(List[[#This Row],[Remaining]]=0,NOT(List[[#This Row],[Running Budget Total]]=0)),Status1,
IF(AND(List[[#This Row],[Remaining]]&lt;0,NOT(List[[#This Row],[Running Budget Total]]=0)),Status2,
IF(AND(List[[#This Row],[Remaining]]=0),Status3,
List[[#This Row],[Spent %]] &amp; Status4)))</f>
        <v>0% paid</v>
      </c>
      <c r="AG26" s="57">
        <f>IFERROR(ROUND(100*List[[#This Row],[Cash Out Total]]/List[[#This Row],[Running Budget Total]],0),0)</f>
        <v>0</v>
      </c>
    </row>
    <row r="27" spans="1:33" ht="40" customHeight="1" x14ac:dyDescent="0.2">
      <c r="A27" s="11" t="s">
        <v>14</v>
      </c>
      <c r="B27" s="22" t="s">
        <v>17</v>
      </c>
      <c r="C27" s="11" t="s">
        <v>19</v>
      </c>
      <c r="D27" s="58" t="s">
        <v>375</v>
      </c>
      <c r="E27" s="22"/>
      <c r="F27" s="21"/>
      <c r="G27" s="51" t="s">
        <v>47</v>
      </c>
      <c r="H27" s="37">
        <f>DisplayToUSD/(_xlfn.IFNA(INDEX('Quick Inputs- Constants'!$B$15:$C$18,MATCH(List[[#This Row],[Currency]],'Quick Inputs- Constants'!B$15:B$18,0),2),1))</f>
        <v>2.4330900243309003E-3</v>
      </c>
      <c r="I27" s="62">
        <v>1</v>
      </c>
      <c r="J27" s="52">
        <v>18000</v>
      </c>
      <c r="K27" s="53" t="s">
        <v>14</v>
      </c>
      <c r="L27" s="54">
        <f>List[[#This Row],[Exchange Rate]]*(1+IF(List[[#This Row],[Budget VAT]]="Yes",VATRate,0))*List[[#This Row],[Budget Quantity]]*List[[#This Row],[Budget Price]]</f>
        <v>43.795620437956202</v>
      </c>
      <c r="M27" s="63"/>
      <c r="N27" s="53"/>
      <c r="O27" s="53"/>
      <c r="P27" s="35">
        <f>IF(AND(ISBLANK(List[[#This Row],[Updated Quantity]]),ISBLANK(List[[#This Row],[Updated Price]]),ISBLANK(List[[#This Row],[Updated VAT]])),List[[#This Row],[Budget Total]],
List[[#This Row],[Exchange Rate]]*(1+IF(List[[#This Row],[Updated VAT]]="Yes",VATRate,0))*List[[#This Row],[Updated Quantity]]*List[[#This Row],[Updated Price]])</f>
        <v>43.795620437956202</v>
      </c>
      <c r="Q27" s="87">
        <f>100%</f>
        <v>1</v>
      </c>
      <c r="R27" s="61"/>
      <c r="S27" s="55"/>
      <c r="T27" s="53"/>
      <c r="U27" s="56"/>
      <c r="V27" s="64"/>
      <c r="W27" s="55"/>
      <c r="X27" s="56"/>
      <c r="Y27" s="56"/>
      <c r="Z27" s="64"/>
      <c r="AA27" s="55"/>
      <c r="AB27" s="56"/>
      <c r="AC27" s="56"/>
      <c r="AD2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7" s="35">
        <f>List[[#This Row],[Running Budget Total]]-List[[#This Row],[Cash Out Total]]</f>
        <v>43.795620437956202</v>
      </c>
      <c r="AF27" s="36" t="str">
        <f>IF(AND(List[[#This Row],[Remaining]]=0,NOT(List[[#This Row],[Running Budget Total]]=0)),Status1,
IF(AND(List[[#This Row],[Remaining]]&lt;0,NOT(List[[#This Row],[Running Budget Total]]=0)),Status2,
IF(AND(List[[#This Row],[Remaining]]=0),Status3,
List[[#This Row],[Spent %]] &amp; Status4)))</f>
        <v>0% paid</v>
      </c>
      <c r="AG27" s="57">
        <f>IFERROR(ROUND(100*List[[#This Row],[Cash Out Total]]/List[[#This Row],[Running Budget Total]],0),0)</f>
        <v>0</v>
      </c>
    </row>
    <row r="28" spans="1:33" ht="40" customHeight="1" x14ac:dyDescent="0.2">
      <c r="A28" s="11" t="s">
        <v>209</v>
      </c>
      <c r="B28" s="22" t="s">
        <v>17</v>
      </c>
      <c r="C28" s="11" t="s">
        <v>107</v>
      </c>
      <c r="D28" s="22" t="s">
        <v>216</v>
      </c>
      <c r="E28" s="22"/>
      <c r="F28" s="21" t="s">
        <v>578</v>
      </c>
      <c r="G28" s="51" t="s">
        <v>47</v>
      </c>
      <c r="H28" s="37">
        <f>DisplayToUSD/(_xlfn.IFNA(INDEX('Quick Inputs- Constants'!$B$15:$C$18,MATCH(List[[#This Row],[Currency]],'Quick Inputs- Constants'!B$15:B$18,0),2),1))</f>
        <v>2.4330900243309003E-3</v>
      </c>
      <c r="I28" s="62">
        <f>NewConnections</f>
        <v>400</v>
      </c>
      <c r="J28" s="52">
        <v>0</v>
      </c>
      <c r="K28" s="53" t="s">
        <v>99</v>
      </c>
      <c r="L28" s="54">
        <f>List[[#This Row],[Exchange Rate]]*(1+IF(List[[#This Row],[Budget VAT]]="Yes",VATRate,0))*List[[#This Row],[Budget Quantity]]*List[[#This Row],[Budget Price]]</f>
        <v>0</v>
      </c>
      <c r="M28" s="63"/>
      <c r="N28" s="53"/>
      <c r="O28" s="53"/>
      <c r="P28" s="35">
        <f>IF(AND(ISBLANK(List[[#This Row],[Updated Quantity]]),ISBLANK(List[[#This Row],[Updated Price]]),ISBLANK(List[[#This Row],[Updated VAT]])),List[[#This Row],[Budget Total]],
List[[#This Row],[Exchange Rate]]*(1+IF(List[[#This Row],[Updated VAT]]="Yes",VATRate,0))*List[[#This Row],[Updated Quantity]]*List[[#This Row],[Updated Price]])</f>
        <v>0</v>
      </c>
      <c r="Q28" s="87">
        <f>100%</f>
        <v>1</v>
      </c>
      <c r="R28" s="61"/>
      <c r="S28" s="55"/>
      <c r="T28" s="53"/>
      <c r="U28" s="56"/>
      <c r="V28" s="64"/>
      <c r="W28" s="55"/>
      <c r="X28" s="56"/>
      <c r="Y28" s="56"/>
      <c r="Z28" s="64"/>
      <c r="AA28" s="55"/>
      <c r="AB28" s="56"/>
      <c r="AC28" s="56"/>
      <c r="AD2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8" s="35">
        <f>List[[#This Row],[Running Budget Total]]-List[[#This Row],[Cash Out Total]]</f>
        <v>0</v>
      </c>
      <c r="AF28" s="36" t="str">
        <f>IF(AND(List[[#This Row],[Remaining]]=0,NOT(List[[#This Row],[Running Budget Total]]=0)),Status1,
IF(AND(List[[#This Row],[Remaining]]&lt;0,NOT(List[[#This Row],[Running Budget Total]]=0)),Status2,
IF(AND(List[[#This Row],[Remaining]]=0),Status3,
List[[#This Row],[Spent %]] &amp; Status4)))</f>
        <v>Cancelled</v>
      </c>
      <c r="AG28" s="57">
        <f>IFERROR(ROUND(100*List[[#This Row],[Cash Out Total]]/List[[#This Row],[Running Budget Total]],0),0)</f>
        <v>0</v>
      </c>
    </row>
    <row r="29" spans="1:33" ht="40" customHeight="1" x14ac:dyDescent="0.2">
      <c r="A29" s="11" t="s">
        <v>209</v>
      </c>
      <c r="B29" s="22" t="s">
        <v>17</v>
      </c>
      <c r="C29" s="11" t="s">
        <v>107</v>
      </c>
      <c r="D29" s="22" t="s">
        <v>186</v>
      </c>
      <c r="E29" s="22"/>
      <c r="F29" s="21" t="s">
        <v>579</v>
      </c>
      <c r="G29" s="51" t="s">
        <v>47</v>
      </c>
      <c r="H29" s="37">
        <f>DisplayToUSD/(_xlfn.IFNA(INDEX('Quick Inputs- Constants'!$B$15:$C$18,MATCH(List[[#This Row],[Currency]],'Quick Inputs- Constants'!B$15:B$18,0),2),1))</f>
        <v>2.4330900243309003E-3</v>
      </c>
      <c r="I29" s="62">
        <f>25*(NewConnections-MeterCountSMRPI)</f>
        <v>10000</v>
      </c>
      <c r="J29" s="52">
        <v>280</v>
      </c>
      <c r="K29" s="53" t="s">
        <v>99</v>
      </c>
      <c r="L29" s="54">
        <f>List[[#This Row],[Exchange Rate]]*(1+IF(List[[#This Row],[Budget VAT]]="Yes",VATRate,0))*List[[#This Row],[Budget Quantity]]*List[[#This Row],[Budget Price]]</f>
        <v>7323.6009732360089</v>
      </c>
      <c r="M29" s="63"/>
      <c r="N29" s="53"/>
      <c r="O29" s="53"/>
      <c r="P29" s="35">
        <f>IF(AND(ISBLANK(List[[#This Row],[Updated Quantity]]),ISBLANK(List[[#This Row],[Updated Price]]),ISBLANK(List[[#This Row],[Updated VAT]])),List[[#This Row],[Budget Total]],
List[[#This Row],[Exchange Rate]]*(1+IF(List[[#This Row],[Updated VAT]]="Yes",VATRate,0))*List[[#This Row],[Updated Quantity]]*List[[#This Row],[Updated Price]])</f>
        <v>7323.6009732360089</v>
      </c>
      <c r="Q29" s="87">
        <f>100%</f>
        <v>1</v>
      </c>
      <c r="R29" s="61"/>
      <c r="S29" s="55"/>
      <c r="T29" s="53"/>
      <c r="U29" s="56"/>
      <c r="V29" s="64"/>
      <c r="W29" s="55"/>
      <c r="X29" s="56"/>
      <c r="Y29" s="56"/>
      <c r="Z29" s="64"/>
      <c r="AA29" s="55"/>
      <c r="AB29" s="56"/>
      <c r="AC29" s="56"/>
      <c r="AD2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9" s="35">
        <f>List[[#This Row],[Running Budget Total]]-List[[#This Row],[Cash Out Total]]</f>
        <v>7323.6009732360089</v>
      </c>
      <c r="AF29" s="36" t="str">
        <f>IF(AND(List[[#This Row],[Remaining]]=0,NOT(List[[#This Row],[Running Budget Total]]=0)),Status1,
IF(AND(List[[#This Row],[Remaining]]&lt;0,NOT(List[[#This Row],[Running Budget Total]]=0)),Status2,
IF(AND(List[[#This Row],[Remaining]]=0),Status3,
List[[#This Row],[Spent %]] &amp; Status4)))</f>
        <v>0% paid</v>
      </c>
      <c r="AG29" s="57">
        <f>IFERROR(ROUND(100*List[[#This Row],[Cash Out Total]]/List[[#This Row],[Running Budget Total]],0),0)</f>
        <v>0</v>
      </c>
    </row>
    <row r="30" spans="1:33" ht="40" customHeight="1" x14ac:dyDescent="0.2">
      <c r="A30" s="11" t="s">
        <v>209</v>
      </c>
      <c r="B30" s="22" t="s">
        <v>17</v>
      </c>
      <c r="C30" s="11" t="s">
        <v>107</v>
      </c>
      <c r="D30" s="22" t="s">
        <v>77</v>
      </c>
      <c r="E30" s="22"/>
      <c r="F30" s="21" t="s">
        <v>579</v>
      </c>
      <c r="G30" s="51" t="s">
        <v>47</v>
      </c>
      <c r="H30" s="37">
        <f>DisplayToUSD/(_xlfn.IFNA(INDEX('Quick Inputs- Constants'!$B$15:$C$18,MATCH(List[[#This Row],[Currency]],'Quick Inputs- Constants'!B$15:B$18,0),2),1))</f>
        <v>2.4330900243309003E-3</v>
      </c>
      <c r="I30" s="62">
        <f>MeterCountSMRPI*25</f>
        <v>0</v>
      </c>
      <c r="J30" s="52">
        <v>1600</v>
      </c>
      <c r="K30" s="53" t="s">
        <v>99</v>
      </c>
      <c r="L30" s="54">
        <f>List[[#This Row],[Exchange Rate]]*(1+IF(List[[#This Row],[Budget VAT]]="Yes",VATRate,0))*List[[#This Row],[Budget Quantity]]*List[[#This Row],[Budget Price]]</f>
        <v>0</v>
      </c>
      <c r="M30" s="63"/>
      <c r="N30" s="53"/>
      <c r="O30" s="53"/>
      <c r="P30" s="35">
        <f>IF(AND(ISBLANK(List[[#This Row],[Updated Quantity]]),ISBLANK(List[[#This Row],[Updated Price]]),ISBLANK(List[[#This Row],[Updated VAT]])),List[[#This Row],[Budget Total]],
List[[#This Row],[Exchange Rate]]*(1+IF(List[[#This Row],[Updated VAT]]="Yes",VATRate,0))*List[[#This Row],[Updated Quantity]]*List[[#This Row],[Updated Price]])</f>
        <v>0</v>
      </c>
      <c r="Q30" s="87">
        <f>100%</f>
        <v>1</v>
      </c>
      <c r="R30" s="61"/>
      <c r="S30" s="55"/>
      <c r="T30" s="53"/>
      <c r="U30" s="56"/>
      <c r="V30" s="64"/>
      <c r="W30" s="55"/>
      <c r="X30" s="56"/>
      <c r="Y30" s="56"/>
      <c r="Z30" s="64"/>
      <c r="AA30" s="55"/>
      <c r="AB30" s="56"/>
      <c r="AC30" s="56"/>
      <c r="AD3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0" s="35">
        <f>List[[#This Row],[Running Budget Total]]-List[[#This Row],[Cash Out Total]]</f>
        <v>0</v>
      </c>
      <c r="AF30" s="36" t="str">
        <f>IF(AND(List[[#This Row],[Remaining]]=0,NOT(List[[#This Row],[Running Budget Total]]=0)),Status1,
IF(AND(List[[#This Row],[Remaining]]&lt;0,NOT(List[[#This Row],[Running Budget Total]]=0)),Status2,
IF(AND(List[[#This Row],[Remaining]]=0),Status3,
List[[#This Row],[Spent %]] &amp; Status4)))</f>
        <v>Cancelled</v>
      </c>
      <c r="AG30" s="57">
        <f>IFERROR(ROUND(100*List[[#This Row],[Cash Out Total]]/List[[#This Row],[Running Budget Total]],0),0)</f>
        <v>0</v>
      </c>
    </row>
    <row r="31" spans="1:33" s="165" customFormat="1" ht="40" customHeight="1" x14ac:dyDescent="0.2">
      <c r="A31" s="151" t="s">
        <v>99</v>
      </c>
      <c r="B31" s="152" t="s">
        <v>17</v>
      </c>
      <c r="C31" s="151" t="s">
        <v>107</v>
      </c>
      <c r="D31" s="152" t="s">
        <v>75</v>
      </c>
      <c r="E31" s="152" t="s">
        <v>98</v>
      </c>
      <c r="F31" s="153" t="s">
        <v>335</v>
      </c>
      <c r="G31" s="154" t="s">
        <v>18</v>
      </c>
      <c r="H31" s="155">
        <f>DisplayToUSD/(_xlfn.IFNA(INDEX('Quick Inputs- Constants'!$B$15:$C$18,MATCH(List[[#This Row],[Currency]],'Quick Inputs- Constants'!B$15:B$18,0),2),1))</f>
        <v>1</v>
      </c>
      <c r="I31" s="137">
        <f>MeterCountBaseStation</f>
        <v>1</v>
      </c>
      <c r="J31" s="156">
        <f>MeterPriceBaseStation</f>
        <v>1050</v>
      </c>
      <c r="K31" s="157" t="s">
        <v>14</v>
      </c>
      <c r="L31" s="158">
        <f>List[[#This Row],[Exchange Rate]]*(1+IF(List[[#This Row],[Budget VAT]]="Yes",VATRate,0))*List[[#This Row],[Budget Quantity]]*List[[#This Row],[Budget Price]]</f>
        <v>1050</v>
      </c>
      <c r="M31" s="164"/>
      <c r="N31" s="157"/>
      <c r="O31" s="157"/>
      <c r="P31" s="159">
        <f>IF(AND(ISBLANK(List[[#This Row],[Updated Quantity]]),ISBLANK(List[[#This Row],[Updated Price]]),ISBLANK(List[[#This Row],[Updated VAT]])),List[[#This Row],[Budget Total]],
List[[#This Row],[Exchange Rate]]*(1+IF(List[[#This Row],[Updated VAT]]="Yes",VATRate,0))*List[[#This Row],[Updated Quantity]]*List[[#This Row],[Updated Price]])</f>
        <v>1050</v>
      </c>
      <c r="Q31" s="143">
        <f>100%</f>
        <v>1</v>
      </c>
      <c r="R31" s="160"/>
      <c r="S31" s="159"/>
      <c r="T31" s="157"/>
      <c r="U31" s="161"/>
      <c r="V31" s="146"/>
      <c r="W31" s="159"/>
      <c r="X31" s="161"/>
      <c r="Y31" s="161"/>
      <c r="Z31" s="146"/>
      <c r="AA31" s="159"/>
      <c r="AB31" s="161"/>
      <c r="AC31" s="161"/>
      <c r="AD31"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1" s="159">
        <f>List[[#This Row],[Running Budget Total]]-List[[#This Row],[Cash Out Total]]</f>
        <v>1050</v>
      </c>
      <c r="AF31" s="162" t="str">
        <f>IF(AND(List[[#This Row],[Remaining]]=0,NOT(List[[#This Row],[Running Budget Total]]=0)),Status1,
IF(AND(List[[#This Row],[Remaining]]&lt;0,NOT(List[[#This Row],[Running Budget Total]]=0)),Status2,
IF(AND(List[[#This Row],[Remaining]]=0),Status3,
List[[#This Row],[Spent %]] &amp; Status4)))</f>
        <v>0% paid</v>
      </c>
      <c r="AG31" s="163">
        <f>IFERROR(ROUND(100*List[[#This Row],[Cash Out Total]]/List[[#This Row],[Running Budget Total]],0),0)</f>
        <v>0</v>
      </c>
    </row>
    <row r="32" spans="1:33" ht="40" customHeight="1" x14ac:dyDescent="0.2">
      <c r="A32" s="11" t="s">
        <v>209</v>
      </c>
      <c r="B32" s="22" t="s">
        <v>17</v>
      </c>
      <c r="C32" s="11" t="s">
        <v>107</v>
      </c>
      <c r="D32" s="22" t="s">
        <v>215</v>
      </c>
      <c r="E32" s="22"/>
      <c r="F32" s="21"/>
      <c r="G32" s="51" t="s">
        <v>47</v>
      </c>
      <c r="H32" s="37">
        <f>DisplayToUSD/(_xlfn.IFNA(INDEX('Quick Inputs- Constants'!$B$15:$C$18,MATCH(List[[#This Row],[Currency]],'Quick Inputs- Constants'!B$15:B$18,0),2),1))</f>
        <v>2.4330900243309003E-3</v>
      </c>
      <c r="I32" s="62">
        <f>ModemCount</f>
        <v>1</v>
      </c>
      <c r="J32" s="52">
        <v>30000</v>
      </c>
      <c r="K32" s="53" t="s">
        <v>99</v>
      </c>
      <c r="L32" s="54">
        <f>List[[#This Row],[Exchange Rate]]*(1+IF(List[[#This Row],[Budget VAT]]="Yes",VATRate,0))*List[[#This Row],[Budget Quantity]]*List[[#This Row],[Budget Price]]</f>
        <v>78.467153284671525</v>
      </c>
      <c r="M32" s="63"/>
      <c r="N32" s="53"/>
      <c r="O32" s="53"/>
      <c r="P32" s="35">
        <f>IF(AND(ISBLANK(List[[#This Row],[Updated Quantity]]),ISBLANK(List[[#This Row],[Updated Price]]),ISBLANK(List[[#This Row],[Updated VAT]])),List[[#This Row],[Budget Total]],
List[[#This Row],[Exchange Rate]]*(1+IF(List[[#This Row],[Updated VAT]]="Yes",VATRate,0))*List[[#This Row],[Updated Quantity]]*List[[#This Row],[Updated Price]])</f>
        <v>78.467153284671525</v>
      </c>
      <c r="Q32" s="87">
        <f>100%</f>
        <v>1</v>
      </c>
      <c r="R32" s="61"/>
      <c r="S32" s="55"/>
      <c r="T32" s="53"/>
      <c r="U32" s="56"/>
      <c r="V32" s="64"/>
      <c r="W32" s="55"/>
      <c r="X32" s="56"/>
      <c r="Y32" s="56"/>
      <c r="Z32" s="64"/>
      <c r="AA32" s="55"/>
      <c r="AB32" s="56"/>
      <c r="AC32" s="56"/>
      <c r="AD3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2" s="35">
        <f>List[[#This Row],[Running Budget Total]]-List[[#This Row],[Cash Out Total]]</f>
        <v>78.467153284671525</v>
      </c>
      <c r="AF32" s="36" t="str">
        <f>IF(AND(List[[#This Row],[Remaining]]=0,NOT(List[[#This Row],[Running Budget Total]]=0)),Status1,
IF(AND(List[[#This Row],[Remaining]]&lt;0,NOT(List[[#This Row],[Running Budget Total]]=0)),Status2,
IF(AND(List[[#This Row],[Remaining]]=0),Status3,
List[[#This Row],[Spent %]] &amp; Status4)))</f>
        <v>0% paid</v>
      </c>
      <c r="AG32" s="57">
        <f>IFERROR(ROUND(100*List[[#This Row],[Cash Out Total]]/List[[#This Row],[Running Budget Total]],0),0)</f>
        <v>0</v>
      </c>
    </row>
    <row r="33" spans="1:33" ht="40" customHeight="1" x14ac:dyDescent="0.2">
      <c r="A33" s="11" t="s">
        <v>209</v>
      </c>
      <c r="B33" s="22" t="s">
        <v>17</v>
      </c>
      <c r="C33" s="11" t="s">
        <v>107</v>
      </c>
      <c r="D33" s="22" t="s">
        <v>217</v>
      </c>
      <c r="E33" s="22"/>
      <c r="F33" s="21"/>
      <c r="G33" s="51" t="s">
        <v>47</v>
      </c>
      <c r="H33" s="37">
        <f>DisplayToUSD/(_xlfn.IFNA(INDEX('Quick Inputs- Constants'!$B$15:$C$18,MATCH(List[[#This Row],[Currency]],'Quick Inputs- Constants'!B$15:B$18,0),2),1))</f>
        <v>2.4330900243309003E-3</v>
      </c>
      <c r="I33" s="62">
        <f>NewConnections</f>
        <v>400</v>
      </c>
      <c r="J33" s="52">
        <v>3000</v>
      </c>
      <c r="K33" s="53" t="s">
        <v>99</v>
      </c>
      <c r="L33" s="54">
        <f>List[[#This Row],[Exchange Rate]]*(1+IF(List[[#This Row],[Budget VAT]]="Yes",VATRate,0))*List[[#This Row],[Budget Quantity]]*List[[#This Row],[Budget Price]]</f>
        <v>3138.6861313868608</v>
      </c>
      <c r="M33" s="63"/>
      <c r="N33" s="53"/>
      <c r="O33" s="53"/>
      <c r="P33" s="35">
        <f>IF(AND(ISBLANK(List[[#This Row],[Updated Quantity]]),ISBLANK(List[[#This Row],[Updated Price]]),ISBLANK(List[[#This Row],[Updated VAT]])),List[[#This Row],[Budget Total]],
List[[#This Row],[Exchange Rate]]*(1+IF(List[[#This Row],[Updated VAT]]="Yes",VATRate,0))*List[[#This Row],[Updated Quantity]]*List[[#This Row],[Updated Price]])</f>
        <v>3138.6861313868608</v>
      </c>
      <c r="Q33" s="87">
        <f>100%</f>
        <v>1</v>
      </c>
      <c r="R33" s="61"/>
      <c r="S33" s="55"/>
      <c r="T33" s="53"/>
      <c r="U33" s="56"/>
      <c r="V33" s="64"/>
      <c r="W33" s="55"/>
      <c r="X33" s="56"/>
      <c r="Y33" s="56"/>
      <c r="Z33" s="64"/>
      <c r="AA33" s="55"/>
      <c r="AB33" s="56"/>
      <c r="AC33" s="56"/>
      <c r="AD3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3" s="35">
        <f>List[[#This Row],[Running Budget Total]]-List[[#This Row],[Cash Out Total]]</f>
        <v>3138.6861313868608</v>
      </c>
      <c r="AF33" s="36" t="str">
        <f>IF(AND(List[[#This Row],[Remaining]]=0,NOT(List[[#This Row],[Running Budget Total]]=0)),Status1,
IF(AND(List[[#This Row],[Remaining]]&lt;0,NOT(List[[#This Row],[Running Budget Total]]=0)),Status2,
IF(AND(List[[#This Row],[Remaining]]=0),Status3,
List[[#This Row],[Spent %]] &amp; Status4)))</f>
        <v>0% paid</v>
      </c>
      <c r="AG33" s="57">
        <f>IFERROR(ROUND(100*List[[#This Row],[Cash Out Total]]/List[[#This Row],[Running Budget Total]],0),0)</f>
        <v>0</v>
      </c>
    </row>
    <row r="34" spans="1:33" ht="40" customHeight="1" x14ac:dyDescent="0.2">
      <c r="A34" s="11" t="s">
        <v>209</v>
      </c>
      <c r="B34" s="22" t="s">
        <v>17</v>
      </c>
      <c r="C34" s="11" t="s">
        <v>107</v>
      </c>
      <c r="D34" s="22" t="s">
        <v>76</v>
      </c>
      <c r="E34" s="22" t="s">
        <v>580</v>
      </c>
      <c r="F34" s="21"/>
      <c r="G34" s="51" t="s">
        <v>47</v>
      </c>
      <c r="H34" s="37">
        <f>DisplayToUSD/(_xlfn.IFNA(INDEX('Quick Inputs- Constants'!$B$15:$C$18,MATCH(List[[#This Row],[Currency]],'Quick Inputs- Constants'!B$15:B$18,0),2),1))</f>
        <v>2.4330900243309003E-3</v>
      </c>
      <c r="I34" s="62">
        <f>ModemCount</f>
        <v>1</v>
      </c>
      <c r="J34" s="52">
        <v>100</v>
      </c>
      <c r="K34" s="53" t="s">
        <v>99</v>
      </c>
      <c r="L34" s="54">
        <f>List[[#This Row],[Exchange Rate]]*(1+IF(List[[#This Row],[Budget VAT]]="Yes",VATRate,0))*List[[#This Row],[Budget Quantity]]*List[[#This Row],[Budget Price]]</f>
        <v>0.26155717761557173</v>
      </c>
      <c r="M34" s="63"/>
      <c r="N34" s="53"/>
      <c r="O34" s="53"/>
      <c r="P34" s="35">
        <f>IF(AND(ISBLANK(List[[#This Row],[Updated Quantity]]),ISBLANK(List[[#This Row],[Updated Price]]),ISBLANK(List[[#This Row],[Updated VAT]])),List[[#This Row],[Budget Total]],
List[[#This Row],[Exchange Rate]]*(1+IF(List[[#This Row],[Updated VAT]]="Yes",VATRate,0))*List[[#This Row],[Updated Quantity]]*List[[#This Row],[Updated Price]])</f>
        <v>0.26155717761557173</v>
      </c>
      <c r="Q34" s="87">
        <f>100%</f>
        <v>1</v>
      </c>
      <c r="R34" s="61"/>
      <c r="S34" s="55"/>
      <c r="T34" s="53"/>
      <c r="U34" s="56"/>
      <c r="V34" s="64"/>
      <c r="W34" s="55"/>
      <c r="X34" s="56"/>
      <c r="Y34" s="56"/>
      <c r="Z34" s="64"/>
      <c r="AA34" s="55"/>
      <c r="AB34" s="56"/>
      <c r="AC34" s="56"/>
      <c r="AD3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4" s="35">
        <f>List[[#This Row],[Running Budget Total]]-List[[#This Row],[Cash Out Total]]</f>
        <v>0.26155717761557173</v>
      </c>
      <c r="AF34" s="36" t="str">
        <f>IF(AND(List[[#This Row],[Remaining]]=0,NOT(List[[#This Row],[Running Budget Total]]=0)),Status1,
IF(AND(List[[#This Row],[Remaining]]&lt;0,NOT(List[[#This Row],[Running Budget Total]]=0)),Status2,
IF(AND(List[[#This Row],[Remaining]]=0),Status3,
List[[#This Row],[Spent %]] &amp; Status4)))</f>
        <v>0% paid</v>
      </c>
      <c r="AG34" s="57">
        <f>IFERROR(ROUND(100*List[[#This Row],[Cash Out Total]]/List[[#This Row],[Running Budget Total]],0),0)</f>
        <v>0</v>
      </c>
    </row>
    <row r="35" spans="1:33" s="165" customFormat="1" ht="40" customHeight="1" x14ac:dyDescent="0.2">
      <c r="A35" s="151" t="s">
        <v>99</v>
      </c>
      <c r="B35" s="152" t="s">
        <v>17</v>
      </c>
      <c r="C35" s="151" t="s">
        <v>107</v>
      </c>
      <c r="D35" s="152" t="s">
        <v>74</v>
      </c>
      <c r="E35" s="152" t="s">
        <v>98</v>
      </c>
      <c r="F35" s="153"/>
      <c r="G35" s="154" t="s">
        <v>18</v>
      </c>
      <c r="H35" s="155">
        <f>DisplayToUSD/(_xlfn.IFNA(INDEX('Quick Inputs- Constants'!$B$15:$C$18,MATCH(List[[#This Row],[Currency]],'Quick Inputs- Constants'!B$15:B$18,0),2),1))</f>
        <v>1</v>
      </c>
      <c r="I35" s="137">
        <f>MeterCountSM200E</f>
        <v>1</v>
      </c>
      <c r="J35" s="156">
        <f>MeterPriceSM200E</f>
        <v>150</v>
      </c>
      <c r="K35" s="157" t="s">
        <v>14</v>
      </c>
      <c r="L35" s="158">
        <f>List[[#This Row],[Exchange Rate]]*(1+IF(List[[#This Row],[Budget VAT]]="Yes",VATRate,0))*List[[#This Row],[Budget Quantity]]*List[[#This Row],[Budget Price]]</f>
        <v>150</v>
      </c>
      <c r="M35" s="164"/>
      <c r="N35" s="157"/>
      <c r="O35" s="157"/>
      <c r="P35" s="159">
        <f>IF(AND(ISBLANK(List[[#This Row],[Updated Quantity]]),ISBLANK(List[[#This Row],[Updated Price]]),ISBLANK(List[[#This Row],[Updated VAT]])),List[[#This Row],[Budget Total]],
List[[#This Row],[Exchange Rate]]*(1+IF(List[[#This Row],[Updated VAT]]="Yes",VATRate,0))*List[[#This Row],[Updated Quantity]]*List[[#This Row],[Updated Price]])</f>
        <v>150</v>
      </c>
      <c r="Q35" s="143">
        <f>100%</f>
        <v>1</v>
      </c>
      <c r="R35" s="168"/>
      <c r="S35" s="156"/>
      <c r="T35" s="157"/>
      <c r="U35" s="161"/>
      <c r="V35" s="146"/>
      <c r="W35" s="159"/>
      <c r="X35" s="161"/>
      <c r="Y35" s="161"/>
      <c r="Z35" s="146"/>
      <c r="AA35" s="159"/>
      <c r="AB35" s="161"/>
      <c r="AC35" s="161"/>
      <c r="AD35"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5" s="159">
        <f>List[[#This Row],[Running Budget Total]]-List[[#This Row],[Cash Out Total]]</f>
        <v>150</v>
      </c>
      <c r="AF35" s="162" t="str">
        <f>IF(AND(List[[#This Row],[Remaining]]=0,NOT(List[[#This Row],[Running Budget Total]]=0)),Status1,
IF(AND(List[[#This Row],[Remaining]]&lt;0,NOT(List[[#This Row],[Running Budget Total]]=0)),Status2,
IF(AND(List[[#This Row],[Remaining]]=0),Status3,
List[[#This Row],[Spent %]] &amp; Status4)))</f>
        <v>0% paid</v>
      </c>
      <c r="AG35" s="163">
        <f>IFERROR(ROUND(100*List[[#This Row],[Cash Out Total]]/List[[#This Row],[Running Budget Total]],0),0)</f>
        <v>0</v>
      </c>
    </row>
    <row r="36" spans="1:33" s="165" customFormat="1" ht="40" customHeight="1" x14ac:dyDescent="0.2">
      <c r="A36" s="151" t="s">
        <v>99</v>
      </c>
      <c r="B36" s="152" t="s">
        <v>17</v>
      </c>
      <c r="C36" s="151" t="s">
        <v>107</v>
      </c>
      <c r="D36" s="152" t="s">
        <v>339</v>
      </c>
      <c r="E36" s="152" t="s">
        <v>98</v>
      </c>
      <c r="F36" s="153"/>
      <c r="G36" s="154" t="s">
        <v>18</v>
      </c>
      <c r="H36" s="155">
        <f>DisplayToUSD/(_xlfn.IFNA(INDEX('Quick Inputs- Constants'!$B$15:$C$18,MATCH(List[[#This Row],[Currency]],'Quick Inputs- Constants'!B$15:B$18,0),2),1))</f>
        <v>1</v>
      </c>
      <c r="I36" s="137">
        <f>MeterCountSMRPI</f>
        <v>0</v>
      </c>
      <c r="J36" s="156">
        <f>MeterPriceSMRPI</f>
        <v>100</v>
      </c>
      <c r="K36" s="157" t="s">
        <v>14</v>
      </c>
      <c r="L36" s="158">
        <f>List[[#This Row],[Exchange Rate]]*(1+IF(List[[#This Row],[Budget VAT]]="Yes",VATRate,0))*List[[#This Row],[Budget Quantity]]*List[[#This Row],[Budget Price]]</f>
        <v>0</v>
      </c>
      <c r="M36" s="164"/>
      <c r="N36" s="157"/>
      <c r="O36" s="157"/>
      <c r="P36" s="159">
        <f>IF(AND(ISBLANK(List[[#This Row],[Updated Quantity]]),ISBLANK(List[[#This Row],[Updated Price]]),ISBLANK(List[[#This Row],[Updated VAT]])),List[[#This Row],[Budget Total]],
List[[#This Row],[Exchange Rate]]*(1+IF(List[[#This Row],[Updated VAT]]="Yes",VATRate,0))*List[[#This Row],[Updated Quantity]]*List[[#This Row],[Updated Price]])</f>
        <v>0</v>
      </c>
      <c r="Q36" s="143">
        <f>100%</f>
        <v>1</v>
      </c>
      <c r="R36" s="168"/>
      <c r="S36" s="156"/>
      <c r="T36" s="157"/>
      <c r="U36" s="161"/>
      <c r="V36" s="146"/>
      <c r="W36" s="159"/>
      <c r="X36" s="161"/>
      <c r="Y36" s="161"/>
      <c r="Z36" s="146"/>
      <c r="AA36" s="159"/>
      <c r="AB36" s="161"/>
      <c r="AC36" s="161"/>
      <c r="AD36"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6" s="159">
        <f>List[[#This Row],[Running Budget Total]]-List[[#This Row],[Cash Out Total]]</f>
        <v>0</v>
      </c>
      <c r="AF36" s="162" t="str">
        <f>IF(AND(List[[#This Row],[Remaining]]=0,NOT(List[[#This Row],[Running Budget Total]]=0)),Status1,
IF(AND(List[[#This Row],[Remaining]]&lt;0,NOT(List[[#This Row],[Running Budget Total]]=0)),Status2,
IF(AND(List[[#This Row],[Remaining]]=0),Status3,
List[[#This Row],[Spent %]] &amp; Status4)))</f>
        <v>Cancelled</v>
      </c>
      <c r="AG36" s="163">
        <f>IFERROR(ROUND(100*List[[#This Row],[Cash Out Total]]/List[[#This Row],[Running Budget Total]],0),0)</f>
        <v>0</v>
      </c>
    </row>
    <row r="37" spans="1:33" s="165" customFormat="1" ht="40" customHeight="1" x14ac:dyDescent="0.2">
      <c r="A37" s="151" t="s">
        <v>99</v>
      </c>
      <c r="B37" s="152" t="s">
        <v>17</v>
      </c>
      <c r="C37" s="151" t="s">
        <v>107</v>
      </c>
      <c r="D37" s="152" t="s">
        <v>338</v>
      </c>
      <c r="E37" s="152" t="s">
        <v>98</v>
      </c>
      <c r="F37" s="153"/>
      <c r="G37" s="154" t="s">
        <v>18</v>
      </c>
      <c r="H37" s="155">
        <f>DisplayToUSD/(_xlfn.IFNA(INDEX('Quick Inputs- Constants'!$B$15:$C$18,MATCH(List[[#This Row],[Currency]],'Quick Inputs- Constants'!B$15:B$18,0),2),1))</f>
        <v>1</v>
      </c>
      <c r="I37" s="137">
        <f>MeterCountSMRSD</f>
        <v>432</v>
      </c>
      <c r="J37" s="156">
        <f>MeterPriceSMRSD</f>
        <v>40</v>
      </c>
      <c r="K37" s="157" t="s">
        <v>14</v>
      </c>
      <c r="L37" s="158">
        <f>List[[#This Row],[Exchange Rate]]*(1+IF(List[[#This Row],[Budget VAT]]="Yes",VATRate,0))*List[[#This Row],[Budget Quantity]]*List[[#This Row],[Budget Price]]</f>
        <v>17280</v>
      </c>
      <c r="M37" s="164"/>
      <c r="N37" s="157"/>
      <c r="O37" s="157"/>
      <c r="P37" s="159">
        <f>IF(AND(ISBLANK(List[[#This Row],[Updated Quantity]]),ISBLANK(List[[#This Row],[Updated Price]]),ISBLANK(List[[#This Row],[Updated VAT]])),List[[#This Row],[Budget Total]],
List[[#This Row],[Exchange Rate]]*(1+IF(List[[#This Row],[Updated VAT]]="Yes",VATRate,0))*List[[#This Row],[Updated Quantity]]*List[[#This Row],[Updated Price]])</f>
        <v>17280</v>
      </c>
      <c r="Q37" s="143">
        <f>100%</f>
        <v>1</v>
      </c>
      <c r="R37" s="168"/>
      <c r="S37" s="156"/>
      <c r="T37" s="157"/>
      <c r="U37" s="161"/>
      <c r="V37" s="146"/>
      <c r="W37" s="159"/>
      <c r="X37" s="161"/>
      <c r="Y37" s="161"/>
      <c r="Z37" s="146"/>
      <c r="AA37" s="159"/>
      <c r="AB37" s="161"/>
      <c r="AC37" s="161"/>
      <c r="AD3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7" s="159">
        <f>List[[#This Row],[Running Budget Total]]-List[[#This Row],[Cash Out Total]]</f>
        <v>17280</v>
      </c>
      <c r="AF37" s="162" t="str">
        <f>IF(AND(List[[#This Row],[Remaining]]=0,NOT(List[[#This Row],[Running Budget Total]]=0)),Status1,
IF(AND(List[[#This Row],[Remaining]]&lt;0,NOT(List[[#This Row],[Running Budget Total]]=0)),Status2,
IF(AND(List[[#This Row],[Remaining]]=0),Status3,
List[[#This Row],[Spent %]] &amp; Status4)))</f>
        <v>0% paid</v>
      </c>
      <c r="AG37" s="163">
        <f>IFERROR(ROUND(100*List[[#This Row],[Cash Out Total]]/List[[#This Row],[Running Budget Total]],0),0)</f>
        <v>0</v>
      </c>
    </row>
    <row r="38" spans="1:33" s="165" customFormat="1" ht="40" customHeight="1" x14ac:dyDescent="0.2">
      <c r="A38" s="151" t="s">
        <v>99</v>
      </c>
      <c r="B38" s="152" t="s">
        <v>17</v>
      </c>
      <c r="C38" s="151" t="s">
        <v>16</v>
      </c>
      <c r="D38" s="169" t="s">
        <v>271</v>
      </c>
      <c r="E38" s="152"/>
      <c r="F38" s="153"/>
      <c r="G38" s="154" t="s">
        <v>47</v>
      </c>
      <c r="H38" s="155">
        <f>DisplayToUSD/(_xlfn.IFNA(INDEX('Quick Inputs- Constants'!$B$15:$C$18,MATCH(List[[#This Row],[Currency]],'Quick Inputs- Constants'!B$15:B$18,0),2),1))</f>
        <v>2.4330900243309003E-3</v>
      </c>
      <c r="I38" s="137">
        <f>DistributionTrueFalse*1</f>
        <v>1</v>
      </c>
      <c r="J38" s="156">
        <f>TruckCost</f>
        <v>200000</v>
      </c>
      <c r="K38" s="157" t="s">
        <v>14</v>
      </c>
      <c r="L38" s="158">
        <f>List[[#This Row],[Exchange Rate]]*(1+IF(List[[#This Row],[Budget VAT]]="Yes",VATRate,0))*List[[#This Row],[Budget Quantity]]*List[[#This Row],[Budget Price]]</f>
        <v>486.61800486618006</v>
      </c>
      <c r="M38" s="164"/>
      <c r="N38" s="157"/>
      <c r="O38" s="157"/>
      <c r="P38" s="159">
        <f>IF(AND(ISBLANK(List[[#This Row],[Updated Quantity]]),ISBLANK(List[[#This Row],[Updated Price]]),ISBLANK(List[[#This Row],[Updated VAT]])),List[[#This Row],[Budget Total]],
List[[#This Row],[Exchange Rate]]*(1+IF(List[[#This Row],[Updated VAT]]="Yes",VATRate,0))*List[[#This Row],[Updated Quantity]]*List[[#This Row],[Updated Price]])</f>
        <v>486.61800486618006</v>
      </c>
      <c r="Q38" s="143">
        <f>100%</f>
        <v>1</v>
      </c>
      <c r="R38" s="160"/>
      <c r="S38" s="159"/>
      <c r="T38" s="157"/>
      <c r="U38" s="161"/>
      <c r="V38" s="146"/>
      <c r="W38" s="159"/>
      <c r="X38" s="161"/>
      <c r="Y38" s="161"/>
      <c r="Z38" s="146"/>
      <c r="AA38" s="159"/>
      <c r="AB38" s="161"/>
      <c r="AC38" s="161"/>
      <c r="AD3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8" s="159">
        <f>List[[#This Row],[Running Budget Total]]-List[[#This Row],[Cash Out Total]]</f>
        <v>486.61800486618006</v>
      </c>
      <c r="AF38" s="162" t="str">
        <f>IF(AND(List[[#This Row],[Remaining]]=0,NOT(List[[#This Row],[Running Budget Total]]=0)),Status1,
IF(AND(List[[#This Row],[Remaining]]&lt;0,NOT(List[[#This Row],[Running Budget Total]]=0)),Status2,
IF(AND(List[[#This Row],[Remaining]]=0),Status3,
List[[#This Row],[Spent %]] &amp; Status4)))</f>
        <v>0% paid</v>
      </c>
      <c r="AG38" s="163">
        <f>IFERROR(ROUND(100*List[[#This Row],[Cash Out Total]]/List[[#This Row],[Running Budget Total]],0),0)</f>
        <v>0</v>
      </c>
    </row>
    <row r="39" spans="1:33" ht="40" customHeight="1" x14ac:dyDescent="0.2">
      <c r="A39" s="11" t="s">
        <v>209</v>
      </c>
      <c r="B39" s="22" t="s">
        <v>17</v>
      </c>
      <c r="C39" s="11" t="s">
        <v>16</v>
      </c>
      <c r="D39" s="58" t="s">
        <v>591</v>
      </c>
      <c r="E39" s="22"/>
      <c r="F39" s="21"/>
      <c r="G39" s="51" t="s">
        <v>47</v>
      </c>
      <c r="H39" s="37">
        <f>DisplayToUSD/(_xlfn.IFNA(INDEX('Quick Inputs- Constants'!$B$15:$C$18,MATCH(List[[#This Row],[Currency]],'Quick Inputs- Constants'!B$15:B$18,0),2),1))</f>
        <v>2.4330900243309003E-3</v>
      </c>
      <c r="I39" s="62">
        <v>0</v>
      </c>
      <c r="J39" s="52">
        <f>TruckCost/TruckTransportSplitMeters</f>
        <v>100000</v>
      </c>
      <c r="K39" s="53" t="s">
        <v>14</v>
      </c>
      <c r="L39" s="54">
        <f>List[[#This Row],[Exchange Rate]]*(1+IF(List[[#This Row],[Budget VAT]]="Yes",VATRate,0))*List[[#This Row],[Budget Quantity]]*List[[#This Row],[Budget Price]]</f>
        <v>0</v>
      </c>
      <c r="M39" s="63"/>
      <c r="N39" s="53"/>
      <c r="O39" s="53"/>
      <c r="P39" s="35">
        <f>IF(AND(ISBLANK(List[[#This Row],[Updated Quantity]]),ISBLANK(List[[#This Row],[Updated Price]]),ISBLANK(List[[#This Row],[Updated VAT]])),List[[#This Row],[Budget Total]],
List[[#This Row],[Exchange Rate]]*(1+IF(List[[#This Row],[Updated VAT]]="Yes",VATRate,0))*List[[#This Row],[Updated Quantity]]*List[[#This Row],[Updated Price]])</f>
        <v>0</v>
      </c>
      <c r="Q39" s="87">
        <f>100%</f>
        <v>1</v>
      </c>
      <c r="R39" s="61"/>
      <c r="S39" s="55"/>
      <c r="T39" s="53"/>
      <c r="U39" s="56"/>
      <c r="V39" s="64"/>
      <c r="W39" s="55"/>
      <c r="X39" s="56"/>
      <c r="Y39" s="56"/>
      <c r="Z39" s="64"/>
      <c r="AA39" s="55"/>
      <c r="AB39" s="56"/>
      <c r="AC39" s="56"/>
      <c r="AD3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9" s="35">
        <f>List[[#This Row],[Running Budget Total]]-List[[#This Row],[Cash Out Total]]</f>
        <v>0</v>
      </c>
      <c r="AF39" s="36" t="str">
        <f>IF(AND(List[[#This Row],[Remaining]]=0,NOT(List[[#This Row],[Running Budget Total]]=0)),Status1,
IF(AND(List[[#This Row],[Remaining]]&lt;0,NOT(List[[#This Row],[Running Budget Total]]=0)),Status2,
IF(AND(List[[#This Row],[Remaining]]=0),Status3,
List[[#This Row],[Spent %]] &amp; Status4)))</f>
        <v>Cancelled</v>
      </c>
      <c r="AG39" s="57">
        <f>IFERROR(ROUND(100*List[[#This Row],[Cash Out Total]]/List[[#This Row],[Running Budget Total]],0),0)</f>
        <v>0</v>
      </c>
    </row>
    <row r="40" spans="1:33" s="165" customFormat="1" ht="40" customHeight="1" x14ac:dyDescent="0.2">
      <c r="A40" s="151" t="s">
        <v>99</v>
      </c>
      <c r="B40" s="152" t="s">
        <v>17</v>
      </c>
      <c r="C40" s="151" t="s">
        <v>16</v>
      </c>
      <c r="D40" s="152" t="s">
        <v>72</v>
      </c>
      <c r="E40" s="152" t="s">
        <v>98</v>
      </c>
      <c r="F40" s="153" t="s">
        <v>346</v>
      </c>
      <c r="G40" s="154" t="s">
        <v>18</v>
      </c>
      <c r="H40" s="155">
        <f>DisplayToUSD/(_xlfn.IFNA(INDEX('Quick Inputs- Constants'!$B$15:$C$18,MATCH(List[[#This Row],[Currency]],'Quick Inputs- Constants'!B$15:B$18,0),2),1))</f>
        <v>1</v>
      </c>
      <c r="I40" s="137">
        <v>1</v>
      </c>
      <c r="J40" s="156">
        <f>MeterShippingCost</f>
        <v>2367.36</v>
      </c>
      <c r="K40" s="157" t="s">
        <v>14</v>
      </c>
      <c r="L40" s="158">
        <f>List[[#This Row],[Exchange Rate]]*(1+IF(List[[#This Row],[Budget VAT]]="Yes",VATRate,0))*List[[#This Row],[Budget Quantity]]*List[[#This Row],[Budget Price]]</f>
        <v>2367.36</v>
      </c>
      <c r="M40" s="164"/>
      <c r="N40" s="157"/>
      <c r="O40" s="157"/>
      <c r="P40" s="159">
        <f>IF(AND(ISBLANK(List[[#This Row],[Updated Quantity]]),ISBLANK(List[[#This Row],[Updated Price]]),ISBLANK(List[[#This Row],[Updated VAT]])),List[[#This Row],[Budget Total]],
List[[#This Row],[Exchange Rate]]*(1+IF(List[[#This Row],[Updated VAT]]="Yes",VATRate,0))*List[[#This Row],[Updated Quantity]]*List[[#This Row],[Updated Price]])</f>
        <v>2367.36</v>
      </c>
      <c r="Q40" s="143">
        <f>100%</f>
        <v>1</v>
      </c>
      <c r="R40" s="160"/>
      <c r="S40" s="159"/>
      <c r="T40" s="157"/>
      <c r="U40" s="161"/>
      <c r="V40" s="146"/>
      <c r="W40" s="159"/>
      <c r="X40" s="161"/>
      <c r="Y40" s="161"/>
      <c r="Z40" s="146"/>
      <c r="AA40" s="159"/>
      <c r="AB40" s="161"/>
      <c r="AC40" s="161"/>
      <c r="AD40"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0" s="159">
        <f>List[[#This Row],[Running Budget Total]]-List[[#This Row],[Cash Out Total]]</f>
        <v>2367.36</v>
      </c>
      <c r="AF40" s="162" t="str">
        <f>IF(AND(List[[#This Row],[Remaining]]=0,NOT(List[[#This Row],[Running Budget Total]]=0)),Status1,
IF(AND(List[[#This Row],[Remaining]]&lt;0,NOT(List[[#This Row],[Running Budget Total]]=0)),Status2,
IF(AND(List[[#This Row],[Remaining]]=0),Status3,
List[[#This Row],[Spent %]] &amp; Status4)))</f>
        <v>0% paid</v>
      </c>
      <c r="AG40" s="163">
        <f>IFERROR(ROUND(100*List[[#This Row],[Cash Out Total]]/List[[#This Row],[Running Budget Total]],0),0)</f>
        <v>0</v>
      </c>
    </row>
    <row r="41" spans="1:33" ht="40" customHeight="1" x14ac:dyDescent="0.2">
      <c r="A41" s="11" t="s">
        <v>14</v>
      </c>
      <c r="B41" s="22" t="s">
        <v>17</v>
      </c>
      <c r="C41" s="11" t="s">
        <v>16</v>
      </c>
      <c r="D41" s="58" t="s">
        <v>218</v>
      </c>
      <c r="E41" s="22"/>
      <c r="F41" s="21"/>
      <c r="G41" s="51" t="s">
        <v>47</v>
      </c>
      <c r="H41" s="37">
        <f>DisplayToUSD/(_xlfn.IFNA(INDEX('Quick Inputs- Constants'!$B$15:$C$18,MATCH(List[[#This Row],[Currency]],'Quick Inputs- Constants'!B$15:B$18,0),2),1))</f>
        <v>2.4330900243309003E-3</v>
      </c>
      <c r="I41" s="62">
        <v>1</v>
      </c>
      <c r="J41" s="52">
        <v>280000</v>
      </c>
      <c r="K41" s="53" t="s">
        <v>14</v>
      </c>
      <c r="L41" s="54">
        <f>List[[#This Row],[Exchange Rate]]*(1+IF(List[[#This Row],[Budget VAT]]="Yes",VATRate,0))*List[[#This Row],[Budget Quantity]]*List[[#This Row],[Budget Price]]</f>
        <v>681.26520681265208</v>
      </c>
      <c r="M41" s="63"/>
      <c r="N41" s="53"/>
      <c r="O41" s="53"/>
      <c r="P41" s="35">
        <f>IF(AND(ISBLANK(List[[#This Row],[Updated Quantity]]),ISBLANK(List[[#This Row],[Updated Price]]),ISBLANK(List[[#This Row],[Updated VAT]])),List[[#This Row],[Budget Total]],
List[[#This Row],[Exchange Rate]]*(1+IF(List[[#This Row],[Updated VAT]]="Yes",VATRate,0))*List[[#This Row],[Updated Quantity]]*List[[#This Row],[Updated Price]])</f>
        <v>681.26520681265208</v>
      </c>
      <c r="Q41" s="87">
        <f>100%</f>
        <v>1</v>
      </c>
      <c r="R41" s="61"/>
      <c r="S41" s="55"/>
      <c r="T41" s="53"/>
      <c r="U41" s="56"/>
      <c r="V41" s="64"/>
      <c r="W41" s="55"/>
      <c r="X41" s="56"/>
      <c r="Y41" s="56"/>
      <c r="Z41" s="64"/>
      <c r="AA41" s="55"/>
      <c r="AB41" s="56"/>
      <c r="AC41" s="56"/>
      <c r="AD4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1" s="35">
        <f>List[[#This Row],[Running Budget Total]]-List[[#This Row],[Cash Out Total]]</f>
        <v>681.26520681265208</v>
      </c>
      <c r="AF41" s="36" t="str">
        <f>IF(AND(List[[#This Row],[Remaining]]=0,NOT(List[[#This Row],[Running Budget Total]]=0)),Status1,
IF(AND(List[[#This Row],[Remaining]]&lt;0,NOT(List[[#This Row],[Running Budget Total]]=0)),Status2,
IF(AND(List[[#This Row],[Remaining]]=0),Status3,
List[[#This Row],[Spent %]] &amp; Status4)))</f>
        <v>0% paid</v>
      </c>
      <c r="AG41" s="57">
        <f>IFERROR(ROUND(100*List[[#This Row],[Cash Out Total]]/List[[#This Row],[Running Budget Total]],0),0)</f>
        <v>0</v>
      </c>
    </row>
    <row r="42" spans="1:33" s="165" customFormat="1" ht="40" customHeight="1" x14ac:dyDescent="0.2">
      <c r="A42" s="132" t="s">
        <v>99</v>
      </c>
      <c r="B42" s="133" t="s">
        <v>20</v>
      </c>
      <c r="C42" s="132" t="s">
        <v>21</v>
      </c>
      <c r="D42" s="133" t="s">
        <v>272</v>
      </c>
      <c r="E42" s="133"/>
      <c r="F42" s="134" t="s">
        <v>362</v>
      </c>
      <c r="G42" s="135" t="s">
        <v>47</v>
      </c>
      <c r="H42" s="136">
        <f>DisplayToUSD/(_xlfn.IFNA(INDEX('Quick Inputs- Constants'!$B$15:$C$18,MATCH(List[[#This Row],[Currency]],'Quick Inputs- Constants'!B$15:B$18,0),2),1))</f>
        <v>2.4330900243309003E-3</v>
      </c>
      <c r="I42" s="137">
        <f>DistributionTrueFalse*DistributionKm</f>
        <v>5</v>
      </c>
      <c r="J42" s="138">
        <f>DistributionContingency*(DistributionLabourCostPerKm+DistributionMaterialsCostPerKm+DistributionTransportCostPerKm)</f>
        <v>544055.20000000007</v>
      </c>
      <c r="K42" s="139" t="s">
        <v>14</v>
      </c>
      <c r="L42" s="140">
        <f>List[[#This Row],[Exchange Rate]]*(1+IF(List[[#This Row],[Budget VAT]]="Yes",VATRate,0))*List[[#This Row],[Budget Quantity]]*List[[#This Row],[Budget Price]]</f>
        <v>6618.6763990267655</v>
      </c>
      <c r="M42" s="164"/>
      <c r="N42" s="139"/>
      <c r="O42" s="139"/>
      <c r="P42" s="159">
        <f>IF(AND(ISBLANK(List[[#This Row],[Updated Quantity]]),ISBLANK(List[[#This Row],[Updated Price]]),ISBLANK(List[[#This Row],[Updated VAT]])),List[[#This Row],[Budget Total]],
List[[#This Row],[Exchange Rate]]*(1+IF(List[[#This Row],[Updated VAT]]="Yes",VATRate,0))*List[[#This Row],[Updated Quantity]]*List[[#This Row],[Updated Price]])</f>
        <v>6618.6763990267655</v>
      </c>
      <c r="Q42" s="143">
        <f>100%</f>
        <v>1</v>
      </c>
      <c r="R42" s="144"/>
      <c r="S42" s="142"/>
      <c r="T42" s="139"/>
      <c r="U42" s="145"/>
      <c r="V42" s="146"/>
      <c r="W42" s="142"/>
      <c r="X42" s="145"/>
      <c r="Y42" s="145"/>
      <c r="Z42" s="146"/>
      <c r="AA42" s="142"/>
      <c r="AB42" s="145"/>
      <c r="AC42" s="145"/>
      <c r="AD4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2" s="142">
        <f>List[[#This Row],[Running Budget Total]]-List[[#This Row],[Cash Out Total]]</f>
        <v>6618.6763990267655</v>
      </c>
      <c r="AF42" s="148" t="str">
        <f>IF(AND(List[[#This Row],[Remaining]]=0,NOT(List[[#This Row],[Running Budget Total]]=0)),Status1,
IF(AND(List[[#This Row],[Remaining]]&lt;0,NOT(List[[#This Row],[Running Budget Total]]=0)),Status2,
IF(AND(List[[#This Row],[Remaining]]=0),Status3,
List[[#This Row],[Spent %]] &amp; Status4)))</f>
        <v>0% paid</v>
      </c>
      <c r="AG42" s="149">
        <f>IFERROR(ROUND(100*List[[#This Row],[Cash Out Total]]/List[[#This Row],[Running Budget Total]],0),0)</f>
        <v>0</v>
      </c>
    </row>
    <row r="43" spans="1:33" s="165" customFormat="1" ht="40" customHeight="1" x14ac:dyDescent="0.2">
      <c r="A43" s="132" t="s">
        <v>99</v>
      </c>
      <c r="B43" s="133" t="s">
        <v>20</v>
      </c>
      <c r="C43" s="132" t="s">
        <v>106</v>
      </c>
      <c r="D43" s="133" t="s">
        <v>273</v>
      </c>
      <c r="E43" s="133"/>
      <c r="F43" s="170"/>
      <c r="G43" s="135" t="s">
        <v>47</v>
      </c>
      <c r="H43" s="136">
        <f>DisplayToUSD/(_xlfn.IFNA(INDEX('Quick Inputs- Constants'!$B$15:$C$18,MATCH(List[[#This Row],[Currency]],'Quick Inputs- Constants'!B$15:B$18,0),2),1))</f>
        <v>2.4330900243309003E-3</v>
      </c>
      <c r="I43" s="137">
        <v>1</v>
      </c>
      <c r="J43" s="138">
        <f>DistributionSurveyCost</f>
        <v>120000</v>
      </c>
      <c r="K43" s="139" t="s">
        <v>99</v>
      </c>
      <c r="L43" s="140">
        <f>List[[#This Row],[Exchange Rate]]*(1+IF(List[[#This Row],[Budget VAT]]="Yes",VATRate,0))*List[[#This Row],[Budget Quantity]]*List[[#This Row],[Budget Price]]</f>
        <v>313.8686131386861</v>
      </c>
      <c r="M43" s="164"/>
      <c r="N43" s="139"/>
      <c r="O43" s="139"/>
      <c r="P43" s="142">
        <f>IF(AND(ISBLANK(List[[#This Row],[Updated Quantity]]),ISBLANK(List[[#This Row],[Updated Price]]),ISBLANK(List[[#This Row],[Updated VAT]])),List[[#This Row],[Budget Total]],
List[[#This Row],[Exchange Rate]]*(1+IF(List[[#This Row],[Updated VAT]]="Yes",VATRate,0))*List[[#This Row],[Updated Quantity]]*List[[#This Row],[Updated Price]])</f>
        <v>313.8686131386861</v>
      </c>
      <c r="Q43" s="143">
        <f>100%</f>
        <v>1</v>
      </c>
      <c r="R43" s="144"/>
      <c r="S43" s="142"/>
      <c r="T43" s="139"/>
      <c r="U43" s="145"/>
      <c r="V43" s="146"/>
      <c r="W43" s="142"/>
      <c r="X43" s="145"/>
      <c r="Y43" s="145"/>
      <c r="Z43" s="146"/>
      <c r="AA43" s="142"/>
      <c r="AB43" s="145"/>
      <c r="AC43" s="145"/>
      <c r="AD43"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3" s="142">
        <f>List[[#This Row],[Running Budget Total]]-List[[#This Row],[Cash Out Total]]</f>
        <v>313.8686131386861</v>
      </c>
      <c r="AF43" s="148" t="str">
        <f>IF(AND(List[[#This Row],[Remaining]]=0,NOT(List[[#This Row],[Running Budget Total]]=0)),Status1,
IF(AND(List[[#This Row],[Remaining]]&lt;0,NOT(List[[#This Row],[Running Budget Total]]=0)),Status2,
IF(AND(List[[#This Row],[Remaining]]=0),Status3,
List[[#This Row],[Spent %]] &amp; Status4)))</f>
        <v>0% paid</v>
      </c>
      <c r="AG43" s="149">
        <f>IFERROR(ROUND(100*List[[#This Row],[Cash Out Total]]/List[[#This Row],[Running Budget Total]],0),0)</f>
        <v>0</v>
      </c>
    </row>
    <row r="44" spans="1:33" s="165" customFormat="1" ht="40" customHeight="1" x14ac:dyDescent="0.2">
      <c r="A44" s="132" t="s">
        <v>99</v>
      </c>
      <c r="B44" s="133" t="s">
        <v>20</v>
      </c>
      <c r="C44" s="132" t="s">
        <v>19</v>
      </c>
      <c r="D44" s="133" t="s">
        <v>274</v>
      </c>
      <c r="E44" s="133"/>
      <c r="F44" s="134"/>
      <c r="G44" s="135" t="s">
        <v>47</v>
      </c>
      <c r="H44" s="136">
        <f>DisplayToUSD/(_xlfn.IFNA(INDEX('Quick Inputs- Constants'!$B$15:$C$18,MATCH(List[[#This Row],[Currency]],'Quick Inputs- Constants'!B$15:B$18,0),2),1))</f>
        <v>2.4330900243309003E-3</v>
      </c>
      <c r="I44" s="137">
        <f>DistributionTrueFalse*DistributionKm</f>
        <v>5</v>
      </c>
      <c r="J44" s="138">
        <f>DistributionLabourCostPerKm</f>
        <v>1180552</v>
      </c>
      <c r="K44" s="139" t="s">
        <v>99</v>
      </c>
      <c r="L44" s="140">
        <f>List[[#This Row],[Exchange Rate]]*(1+IF(List[[#This Row],[Budget VAT]]="Yes",VATRate,0))*List[[#This Row],[Budget Quantity]]*List[[#This Row],[Budget Price]]</f>
        <v>15439.092457420922</v>
      </c>
      <c r="M44" s="164"/>
      <c r="N44" s="139"/>
      <c r="O44" s="139"/>
      <c r="P44" s="159">
        <f>IF(AND(ISBLANK(List[[#This Row],[Updated Quantity]]),ISBLANK(List[[#This Row],[Updated Price]]),ISBLANK(List[[#This Row],[Updated VAT]])),List[[#This Row],[Budget Total]],
List[[#This Row],[Exchange Rate]]*(1+IF(List[[#This Row],[Updated VAT]]="Yes",VATRate,0))*List[[#This Row],[Updated Quantity]]*List[[#This Row],[Updated Price]])</f>
        <v>15439.092457420922</v>
      </c>
      <c r="Q44" s="143">
        <f>100%</f>
        <v>1</v>
      </c>
      <c r="R44" s="144"/>
      <c r="S44" s="142"/>
      <c r="T44" s="139"/>
      <c r="U44" s="145"/>
      <c r="V44" s="146"/>
      <c r="W44" s="142"/>
      <c r="X44" s="145"/>
      <c r="Y44" s="145"/>
      <c r="Z44" s="146"/>
      <c r="AA44" s="142"/>
      <c r="AB44" s="145"/>
      <c r="AC44" s="145"/>
      <c r="AD44"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4" s="142">
        <f>List[[#This Row],[Running Budget Total]]-List[[#This Row],[Cash Out Total]]</f>
        <v>15439.092457420922</v>
      </c>
      <c r="AF44" s="148" t="str">
        <f>IF(AND(List[[#This Row],[Remaining]]=0,NOT(List[[#This Row],[Running Budget Total]]=0)),Status1,
IF(AND(List[[#This Row],[Remaining]]&lt;0,NOT(List[[#This Row],[Running Budget Total]]=0)),Status2,
IF(AND(List[[#This Row],[Remaining]]=0),Status3,
List[[#This Row],[Spent %]] &amp; Status4)))</f>
        <v>0% paid</v>
      </c>
      <c r="AG44" s="149">
        <f>IFERROR(ROUND(100*List[[#This Row],[Cash Out Total]]/List[[#This Row],[Running Budget Total]],0),0)</f>
        <v>0</v>
      </c>
    </row>
    <row r="45" spans="1:33" s="165" customFormat="1" ht="40" customHeight="1" x14ac:dyDescent="0.2">
      <c r="A45" s="132" t="s">
        <v>99</v>
      </c>
      <c r="B45" s="133" t="s">
        <v>20</v>
      </c>
      <c r="C45" s="132" t="s">
        <v>107</v>
      </c>
      <c r="D45" s="133" t="s">
        <v>276</v>
      </c>
      <c r="E45" s="133"/>
      <c r="F45" s="134"/>
      <c r="G45" s="135" t="s">
        <v>47</v>
      </c>
      <c r="H45" s="136">
        <f>DisplayToUSD/(_xlfn.IFNA(INDEX('Quick Inputs- Constants'!$B$15:$C$18,MATCH(List[[#This Row],[Currency]],'Quick Inputs- Constants'!B$15:B$18,0),2),1))</f>
        <v>2.4330900243309003E-3</v>
      </c>
      <c r="I45" s="137">
        <f>DistributionTrueFalse*DistributionKm</f>
        <v>5</v>
      </c>
      <c r="J45" s="138">
        <f>DistributionMaterialsCostPerKm</f>
        <v>4200000</v>
      </c>
      <c r="K45" s="139" t="s">
        <v>99</v>
      </c>
      <c r="L45" s="140">
        <f>List[[#This Row],[Exchange Rate]]*(1+IF(List[[#This Row],[Budget VAT]]="Yes",VATRate,0))*List[[#This Row],[Budget Quantity]]*List[[#This Row],[Budget Price]]</f>
        <v>54927.007299270066</v>
      </c>
      <c r="M45" s="164"/>
      <c r="N45" s="139"/>
      <c r="O45" s="139"/>
      <c r="P45" s="159">
        <f>IF(AND(ISBLANK(List[[#This Row],[Updated Quantity]]),ISBLANK(List[[#This Row],[Updated Price]]),ISBLANK(List[[#This Row],[Updated VAT]])),List[[#This Row],[Budget Total]],
List[[#This Row],[Exchange Rate]]*(1+IF(List[[#This Row],[Updated VAT]]="Yes",VATRate,0))*List[[#This Row],[Updated Quantity]]*List[[#This Row],[Updated Price]])</f>
        <v>54927.007299270066</v>
      </c>
      <c r="Q45" s="143">
        <f>100%</f>
        <v>1</v>
      </c>
      <c r="R45" s="144"/>
      <c r="S45" s="142"/>
      <c r="T45" s="139"/>
      <c r="U45" s="145"/>
      <c r="V45" s="146"/>
      <c r="W45" s="142"/>
      <c r="X45" s="145"/>
      <c r="Y45" s="145"/>
      <c r="Z45" s="146"/>
      <c r="AA45" s="142"/>
      <c r="AB45" s="145"/>
      <c r="AC45" s="145"/>
      <c r="AD45"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5" s="142">
        <f>List[[#This Row],[Running Budget Total]]-List[[#This Row],[Cash Out Total]]</f>
        <v>54927.007299270066</v>
      </c>
      <c r="AF45" s="148" t="str">
        <f>IF(AND(List[[#This Row],[Remaining]]=0,NOT(List[[#This Row],[Running Budget Total]]=0)),Status1,
IF(AND(List[[#This Row],[Remaining]]&lt;0,NOT(List[[#This Row],[Running Budget Total]]=0)),Status2,
IF(AND(List[[#This Row],[Remaining]]=0),Status3,
List[[#This Row],[Spent %]] &amp; Status4)))</f>
        <v>0% paid</v>
      </c>
      <c r="AG45" s="149">
        <f>IFERROR(ROUND(100*List[[#This Row],[Cash Out Total]]/List[[#This Row],[Running Budget Total]],0),0)</f>
        <v>0</v>
      </c>
    </row>
    <row r="46" spans="1:33" ht="40" customHeight="1" x14ac:dyDescent="0.2">
      <c r="A46" s="73" t="s">
        <v>14</v>
      </c>
      <c r="B46" s="74" t="s">
        <v>20</v>
      </c>
      <c r="C46" s="73" t="s">
        <v>16</v>
      </c>
      <c r="D46" s="74" t="s">
        <v>278</v>
      </c>
      <c r="E46" s="74"/>
      <c r="F46" s="76"/>
      <c r="G46" s="75" t="s">
        <v>47</v>
      </c>
      <c r="H46" s="77">
        <f>DisplayToUSD/(_xlfn.IFNA(INDEX('Quick Inputs- Constants'!$B$15:$C$18,MATCH(List[[#This Row],[Currency]],'Quick Inputs- Constants'!B$15:B$18,0),2),1))</f>
        <v>2.4330900243309003E-3</v>
      </c>
      <c r="I46" s="62">
        <v>0</v>
      </c>
      <c r="J46" s="78">
        <v>0</v>
      </c>
      <c r="K46" s="79" t="s">
        <v>14</v>
      </c>
      <c r="L46" s="80">
        <f>List[[#This Row],[Exchange Rate]]*(1+IF(List[[#This Row],[Budget VAT]]="Yes",VATRate,0))*List[[#This Row],[Budget Quantity]]*List[[#This Row],[Budget Price]]</f>
        <v>0</v>
      </c>
      <c r="M46" s="63"/>
      <c r="N46" s="79"/>
      <c r="O46" s="79"/>
      <c r="P46" s="81">
        <f>IF(AND(ISBLANK(List[[#This Row],[Updated Quantity]]),ISBLANK(List[[#This Row],[Updated Price]]),ISBLANK(List[[#This Row],[Updated VAT]])),List[[#This Row],[Budget Total]],
List[[#This Row],[Exchange Rate]]*(1+IF(List[[#This Row],[Updated VAT]]="Yes",VATRate,0))*List[[#This Row],[Updated Quantity]]*List[[#This Row],[Updated Price]])</f>
        <v>0</v>
      </c>
      <c r="Q46" s="87">
        <f>100%</f>
        <v>1</v>
      </c>
      <c r="R46" s="82"/>
      <c r="S46" s="83"/>
      <c r="T46" s="79"/>
      <c r="U46" s="84"/>
      <c r="V46" s="64"/>
      <c r="W46" s="83"/>
      <c r="X46" s="84"/>
      <c r="Y46" s="84"/>
      <c r="Z46" s="64"/>
      <c r="AA46" s="83"/>
      <c r="AB46" s="84"/>
      <c r="AC46" s="84"/>
      <c r="AD4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6" s="81">
        <f>List[[#This Row],[Running Budget Total]]-List[[#This Row],[Cash Out Total]]</f>
        <v>0</v>
      </c>
      <c r="AF46" s="85" t="str">
        <f>IF(AND(List[[#This Row],[Remaining]]=0,NOT(List[[#This Row],[Running Budget Total]]=0)),Status1,
IF(AND(List[[#This Row],[Remaining]]&lt;0,NOT(List[[#This Row],[Running Budget Total]]=0)),Status2,
IF(AND(List[[#This Row],[Remaining]]=0),Status3,
List[[#This Row],[Spent %]] &amp; Status4)))</f>
        <v>Cancelled</v>
      </c>
      <c r="AG46" s="86">
        <f>IFERROR(ROUND(100*List[[#This Row],[Cash Out Total]]/List[[#This Row],[Running Budget Total]],0),0)</f>
        <v>0</v>
      </c>
    </row>
    <row r="47" spans="1:33" s="165" customFormat="1" ht="40" customHeight="1" x14ac:dyDescent="0.2">
      <c r="A47" s="132" t="s">
        <v>99</v>
      </c>
      <c r="B47" s="133" t="s">
        <v>20</v>
      </c>
      <c r="C47" s="132" t="s">
        <v>16</v>
      </c>
      <c r="D47" s="133" t="s">
        <v>593</v>
      </c>
      <c r="E47" s="133"/>
      <c r="F47" s="134"/>
      <c r="G47" s="135" t="s">
        <v>47</v>
      </c>
      <c r="H47" s="136">
        <f>DisplayToUSD/(_xlfn.IFNA(INDEX('Quick Inputs- Constants'!$B$15:$C$18,MATCH(List[[#This Row],[Currency]],'Quick Inputs- Constants'!B$15:B$18,0),2),1))</f>
        <v>2.4330900243309003E-3</v>
      </c>
      <c r="I47" s="137">
        <f>DistributionTrueFalse*DistributionKm</f>
        <v>5</v>
      </c>
      <c r="J47" s="138">
        <f>DistributionTransportCostPerKm</f>
        <v>60000</v>
      </c>
      <c r="K47" s="139" t="s">
        <v>14</v>
      </c>
      <c r="L47" s="140">
        <f>List[[#This Row],[Exchange Rate]]*(1+IF(List[[#This Row],[Budget VAT]]="Yes",VATRate,0))*List[[#This Row],[Budget Quantity]]*List[[#This Row],[Budget Price]]</f>
        <v>729.92700729927014</v>
      </c>
      <c r="M47" s="164"/>
      <c r="N47" s="139"/>
      <c r="O47" s="139"/>
      <c r="P47" s="159">
        <f>IF(AND(ISBLANK(List[[#This Row],[Updated Quantity]]),ISBLANK(List[[#This Row],[Updated Price]]),ISBLANK(List[[#This Row],[Updated VAT]])),List[[#This Row],[Budget Total]],
List[[#This Row],[Exchange Rate]]*(1+IF(List[[#This Row],[Updated VAT]]="Yes",VATRate,0))*List[[#This Row],[Updated Quantity]]*List[[#This Row],[Updated Price]])</f>
        <v>729.92700729927014</v>
      </c>
      <c r="Q47" s="143">
        <f>100%</f>
        <v>1</v>
      </c>
      <c r="R47" s="144"/>
      <c r="S47" s="142"/>
      <c r="T47" s="139"/>
      <c r="U47" s="145"/>
      <c r="V47" s="146"/>
      <c r="W47" s="142"/>
      <c r="X47" s="145"/>
      <c r="Y47" s="145"/>
      <c r="Z47" s="146"/>
      <c r="AA47" s="142"/>
      <c r="AB47" s="145"/>
      <c r="AC47" s="145"/>
      <c r="AD4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7" s="142">
        <f>List[[#This Row],[Running Budget Total]]-List[[#This Row],[Cash Out Total]]</f>
        <v>729.92700729927014</v>
      </c>
      <c r="AF47" s="148" t="str">
        <f>IF(AND(List[[#This Row],[Remaining]]=0,NOT(List[[#This Row],[Running Budget Total]]=0)),Status1,
IF(AND(List[[#This Row],[Remaining]]&lt;0,NOT(List[[#This Row],[Running Budget Total]]=0)),Status2,
IF(AND(List[[#This Row],[Remaining]]=0),Status3,
List[[#This Row],[Spent %]] &amp; Status4)))</f>
        <v>0% paid</v>
      </c>
      <c r="AG47" s="149">
        <f>IFERROR(ROUND(100*List[[#This Row],[Cash Out Total]]/List[[#This Row],[Running Budget Total]],0),0)</f>
        <v>0</v>
      </c>
    </row>
    <row r="48" spans="1:33" s="165" customFormat="1" ht="40" customHeight="1" x14ac:dyDescent="0.2">
      <c r="A48" s="132" t="s">
        <v>99</v>
      </c>
      <c r="B48" s="133" t="s">
        <v>22</v>
      </c>
      <c r="C48" s="132" t="s">
        <v>19</v>
      </c>
      <c r="D48" s="133" t="s">
        <v>279</v>
      </c>
      <c r="E48" s="133"/>
      <c r="F48" s="134"/>
      <c r="G48" s="135" t="s">
        <v>47</v>
      </c>
      <c r="H48" s="136">
        <f>DisplayToUSD/(_xlfn.IFNA(INDEX('Quick Inputs- Constants'!$B$15:$C$18,MATCH(List[[#This Row],[Currency]],'Quick Inputs- Constants'!B$15:B$18,0),2),1))</f>
        <v>2.4330900243309003E-3</v>
      </c>
      <c r="I48" s="137">
        <f>FencingLength</f>
        <v>200</v>
      </c>
      <c r="J48" s="138">
        <f>FencingLabourPerMeter</f>
        <v>875</v>
      </c>
      <c r="K48" s="139" t="s">
        <v>14</v>
      </c>
      <c r="L48" s="140">
        <f>List[[#This Row],[Exchange Rate]]*(1+IF(List[[#This Row],[Budget VAT]]="Yes",VATRate,0))*List[[#This Row],[Budget Quantity]]*List[[#This Row],[Budget Price]]</f>
        <v>425.79075425790757</v>
      </c>
      <c r="M48" s="164"/>
      <c r="N48" s="139"/>
      <c r="O48" s="139"/>
      <c r="P48" s="142">
        <f>IF(AND(ISBLANK(List[[#This Row],[Updated Quantity]]),ISBLANK(List[[#This Row],[Updated Price]]),ISBLANK(List[[#This Row],[Updated VAT]])),List[[#This Row],[Budget Total]],
List[[#This Row],[Exchange Rate]]*(1+IF(List[[#This Row],[Updated VAT]]="Yes",VATRate,0))*List[[#This Row],[Updated Quantity]]*List[[#This Row],[Updated Price]])</f>
        <v>425.79075425790757</v>
      </c>
      <c r="Q48" s="143">
        <f>100%</f>
        <v>1</v>
      </c>
      <c r="R48" s="144"/>
      <c r="S48" s="142"/>
      <c r="T48" s="139"/>
      <c r="U48" s="145"/>
      <c r="V48" s="146"/>
      <c r="W48" s="142"/>
      <c r="X48" s="145"/>
      <c r="Y48" s="145"/>
      <c r="Z48" s="146"/>
      <c r="AA48" s="142"/>
      <c r="AB48" s="145"/>
      <c r="AC48" s="145"/>
      <c r="AD4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8" s="142">
        <f>List[[#This Row],[Running Budget Total]]-List[[#This Row],[Cash Out Total]]</f>
        <v>425.79075425790757</v>
      </c>
      <c r="AF48" s="148" t="str">
        <f>IF(AND(List[[#This Row],[Remaining]]=0,NOT(List[[#This Row],[Running Budget Total]]=0)),Status1,
IF(AND(List[[#This Row],[Remaining]]&lt;0,NOT(List[[#This Row],[Running Budget Total]]=0)),Status2,
IF(AND(List[[#This Row],[Remaining]]=0),Status3,
List[[#This Row],[Spent %]] &amp; Status4)))</f>
        <v>0% paid</v>
      </c>
      <c r="AG48" s="149">
        <f>IFERROR(ROUND(100*List[[#This Row],[Cash Out Total]]/List[[#This Row],[Running Budget Total]],0),0)</f>
        <v>0</v>
      </c>
    </row>
    <row r="49" spans="1:33" s="165" customFormat="1" ht="40" customHeight="1" x14ac:dyDescent="0.2">
      <c r="A49" s="132" t="s">
        <v>99</v>
      </c>
      <c r="B49" s="133" t="s">
        <v>22</v>
      </c>
      <c r="C49" s="132" t="s">
        <v>107</v>
      </c>
      <c r="D49" s="133" t="s">
        <v>280</v>
      </c>
      <c r="E49" s="133"/>
      <c r="F49" s="134"/>
      <c r="G49" s="135" t="s">
        <v>47</v>
      </c>
      <c r="H49" s="136">
        <f>DisplayToUSD/(_xlfn.IFNA(INDEX('Quick Inputs- Constants'!$B$15:$C$18,MATCH(List[[#This Row],[Currency]],'Quick Inputs- Constants'!B$15:B$18,0),2),1))</f>
        <v>2.4330900243309003E-3</v>
      </c>
      <c r="I49" s="137">
        <f>FencingLength</f>
        <v>200</v>
      </c>
      <c r="J49" s="138">
        <f>FencingMaterialsPerMeter</f>
        <v>3500</v>
      </c>
      <c r="K49" s="139" t="s">
        <v>99</v>
      </c>
      <c r="L49" s="140">
        <f>List[[#This Row],[Exchange Rate]]*(1+IF(List[[#This Row],[Budget VAT]]="Yes",VATRate,0))*List[[#This Row],[Budget Quantity]]*List[[#This Row],[Budget Price]]</f>
        <v>1830.9002433090022</v>
      </c>
      <c r="M49" s="164"/>
      <c r="N49" s="139"/>
      <c r="O49" s="139"/>
      <c r="P49" s="142">
        <f>IF(AND(ISBLANK(List[[#This Row],[Updated Quantity]]),ISBLANK(List[[#This Row],[Updated Price]]),ISBLANK(List[[#This Row],[Updated VAT]])),List[[#This Row],[Budget Total]],
List[[#This Row],[Exchange Rate]]*(1+IF(List[[#This Row],[Updated VAT]]="Yes",VATRate,0))*List[[#This Row],[Updated Quantity]]*List[[#This Row],[Updated Price]])</f>
        <v>1830.9002433090022</v>
      </c>
      <c r="Q49" s="143">
        <f>100%</f>
        <v>1</v>
      </c>
      <c r="R49" s="144"/>
      <c r="S49" s="142"/>
      <c r="T49" s="139"/>
      <c r="U49" s="145"/>
      <c r="V49" s="146"/>
      <c r="W49" s="142"/>
      <c r="X49" s="145"/>
      <c r="Y49" s="145"/>
      <c r="Z49" s="146"/>
      <c r="AA49" s="142"/>
      <c r="AB49" s="145"/>
      <c r="AC49" s="145"/>
      <c r="AD49"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9" s="142">
        <f>List[[#This Row],[Running Budget Total]]-List[[#This Row],[Cash Out Total]]</f>
        <v>1830.9002433090022</v>
      </c>
      <c r="AF49" s="148" t="str">
        <f>IF(AND(List[[#This Row],[Remaining]]=0,NOT(List[[#This Row],[Running Budget Total]]=0)),Status1,
IF(AND(List[[#This Row],[Remaining]]&lt;0,NOT(List[[#This Row],[Running Budget Total]]=0)),Status2,
IF(AND(List[[#This Row],[Remaining]]=0),Status3,
List[[#This Row],[Spent %]] &amp; Status4)))</f>
        <v>0% paid</v>
      </c>
      <c r="AG49" s="149">
        <f>IFERROR(ROUND(100*List[[#This Row],[Cash Out Total]]/List[[#This Row],[Running Budget Total]],0),0)</f>
        <v>0</v>
      </c>
    </row>
    <row r="50" spans="1:33" s="165" customFormat="1" ht="40" customHeight="1" x14ac:dyDescent="0.2">
      <c r="A50" s="132" t="s">
        <v>99</v>
      </c>
      <c r="B50" s="133" t="s">
        <v>22</v>
      </c>
      <c r="C50" s="132" t="s">
        <v>16</v>
      </c>
      <c r="D50" s="133" t="s">
        <v>281</v>
      </c>
      <c r="E50" s="133"/>
      <c r="F50" s="134"/>
      <c r="G50" s="135" t="s">
        <v>47</v>
      </c>
      <c r="H50" s="136">
        <f>DisplayToUSD/(_xlfn.IFNA(INDEX('Quick Inputs- Constants'!$B$15:$C$18,MATCH(List[[#This Row],[Currency]],'Quick Inputs- Constants'!B$15:B$18,0),2),1))</f>
        <v>2.4330900243309003E-3</v>
      </c>
      <c r="I50" s="137">
        <f>FencingLength</f>
        <v>200</v>
      </c>
      <c r="J50" s="138">
        <f>FencingMaterialsTransportPerMeter</f>
        <v>350</v>
      </c>
      <c r="K50" s="139" t="s">
        <v>99</v>
      </c>
      <c r="L50" s="140">
        <f>List[[#This Row],[Exchange Rate]]*(1+IF(List[[#This Row],[Budget VAT]]="Yes",VATRate,0))*List[[#This Row],[Budget Quantity]]*List[[#This Row],[Budget Price]]</f>
        <v>183.09002433090021</v>
      </c>
      <c r="M50" s="164"/>
      <c r="N50" s="139"/>
      <c r="O50" s="139"/>
      <c r="P50" s="159">
        <f>IF(AND(ISBLANK(List[[#This Row],[Updated Quantity]]),ISBLANK(List[[#This Row],[Updated Price]]),ISBLANK(List[[#This Row],[Updated VAT]])),List[[#This Row],[Budget Total]],
List[[#This Row],[Exchange Rate]]*(1+IF(List[[#This Row],[Updated VAT]]="Yes",VATRate,0))*List[[#This Row],[Updated Quantity]]*List[[#This Row],[Updated Price]])</f>
        <v>183.09002433090021</v>
      </c>
      <c r="Q50" s="143">
        <f>100%</f>
        <v>1</v>
      </c>
      <c r="R50" s="144"/>
      <c r="S50" s="142"/>
      <c r="T50" s="139"/>
      <c r="U50" s="145"/>
      <c r="V50" s="146"/>
      <c r="W50" s="142"/>
      <c r="X50" s="145"/>
      <c r="Y50" s="145"/>
      <c r="Z50" s="146"/>
      <c r="AA50" s="142"/>
      <c r="AB50" s="145"/>
      <c r="AC50" s="145"/>
      <c r="AD50"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0" s="142">
        <f>List[[#This Row],[Running Budget Total]]-List[[#This Row],[Cash Out Total]]</f>
        <v>183.09002433090021</v>
      </c>
      <c r="AF50" s="148" t="str">
        <f>IF(AND(List[[#This Row],[Remaining]]=0,NOT(List[[#This Row],[Running Budget Total]]=0)),Status1,
IF(AND(List[[#This Row],[Remaining]]&lt;0,NOT(List[[#This Row],[Running Budget Total]]=0)),Status2,
IF(AND(List[[#This Row],[Remaining]]=0),Status3,
List[[#This Row],[Spent %]] &amp; Status4)))</f>
        <v>0% paid</v>
      </c>
      <c r="AG50" s="149">
        <f>IFERROR(ROUND(100*List[[#This Row],[Cash Out Total]]/List[[#This Row],[Running Budget Total]],0),0)</f>
        <v>0</v>
      </c>
    </row>
    <row r="51" spans="1:33" ht="40" customHeight="1" x14ac:dyDescent="0.2">
      <c r="A51" s="11" t="s">
        <v>14</v>
      </c>
      <c r="B51" s="22" t="s">
        <v>23</v>
      </c>
      <c r="C51" s="11" t="s">
        <v>19</v>
      </c>
      <c r="D51" s="22" t="s">
        <v>79</v>
      </c>
      <c r="E51" s="22"/>
      <c r="F51" s="21"/>
      <c r="G51" s="51" t="s">
        <v>47</v>
      </c>
      <c r="H51" s="37">
        <f>DisplayToUSD/(_xlfn.IFNA(INDEX('Quick Inputs- Constants'!$B$15:$C$18,MATCH(List[[#This Row],[Currency]],'Quick Inputs- Constants'!B$15:B$18,0),2),1))</f>
        <v>2.4330900243309003E-3</v>
      </c>
      <c r="I51" s="62">
        <v>0</v>
      </c>
      <c r="J51" s="52">
        <v>35000</v>
      </c>
      <c r="K51" s="53" t="s">
        <v>14</v>
      </c>
      <c r="L51" s="54">
        <f>List[[#This Row],[Exchange Rate]]*(1+IF(List[[#This Row],[Budget VAT]]="Yes",VATRate,0))*List[[#This Row],[Budget Quantity]]*List[[#This Row],[Budget Price]]</f>
        <v>0</v>
      </c>
      <c r="M51" s="63"/>
      <c r="N51" s="53"/>
      <c r="O51" s="53"/>
      <c r="P51" s="35">
        <f>IF(AND(ISBLANK(List[[#This Row],[Updated Quantity]]),ISBLANK(List[[#This Row],[Updated Price]]),ISBLANK(List[[#This Row],[Updated VAT]])),List[[#This Row],[Budget Total]],
List[[#This Row],[Exchange Rate]]*(1+IF(List[[#This Row],[Updated VAT]]="Yes",VATRate,0))*List[[#This Row],[Updated Quantity]]*List[[#This Row],[Updated Price]])</f>
        <v>0</v>
      </c>
      <c r="Q51" s="87">
        <f>100%</f>
        <v>1</v>
      </c>
      <c r="R51" s="61"/>
      <c r="S51" s="55"/>
      <c r="T51" s="53"/>
      <c r="U51" s="56"/>
      <c r="V51" s="64"/>
      <c r="W51" s="55"/>
      <c r="X51" s="56"/>
      <c r="Y51" s="56"/>
      <c r="Z51" s="64"/>
      <c r="AA51" s="55"/>
      <c r="AB51" s="56"/>
      <c r="AC51" s="56"/>
      <c r="AD5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1" s="35">
        <f>List[[#This Row],[Running Budget Total]]-List[[#This Row],[Cash Out Total]]</f>
        <v>0</v>
      </c>
      <c r="AF51" s="36" t="str">
        <f>IF(AND(List[[#This Row],[Remaining]]=0,NOT(List[[#This Row],[Running Budget Total]]=0)),Status1,
IF(AND(List[[#This Row],[Remaining]]&lt;0,NOT(List[[#This Row],[Running Budget Total]]=0)),Status2,
IF(AND(List[[#This Row],[Remaining]]=0),Status3,
List[[#This Row],[Spent %]] &amp; Status4)))</f>
        <v>Cancelled</v>
      </c>
      <c r="AG51" s="57">
        <f>IFERROR(ROUND(100*List[[#This Row],[Cash Out Total]]/List[[#This Row],[Running Budget Total]],0),0)</f>
        <v>0</v>
      </c>
    </row>
    <row r="52" spans="1:33" ht="40" customHeight="1" x14ac:dyDescent="0.2">
      <c r="A52" s="11" t="s">
        <v>14</v>
      </c>
      <c r="B52" s="22" t="s">
        <v>23</v>
      </c>
      <c r="C52" s="11" t="s">
        <v>107</v>
      </c>
      <c r="D52" s="22" t="s">
        <v>23</v>
      </c>
      <c r="E52" s="22"/>
      <c r="F52" s="21" t="s">
        <v>594</v>
      </c>
      <c r="G52" s="51" t="s">
        <v>18</v>
      </c>
      <c r="H52" s="37">
        <f>DisplayToUSD/(_xlfn.IFNA(INDEX('Quick Inputs- Constants'!$B$15:$C$18,MATCH(List[[#This Row],[Currency]],'Quick Inputs- Constants'!B$15:B$18,0),2),1))</f>
        <v>1</v>
      </c>
      <c r="I52" s="62">
        <v>0</v>
      </c>
      <c r="J52" s="52">
        <v>29096.5</v>
      </c>
      <c r="K52" s="53" t="s">
        <v>99</v>
      </c>
      <c r="L52" s="54">
        <f>List[[#This Row],[Exchange Rate]]*(1+IF(List[[#This Row],[Budget VAT]]="Yes",VATRate,0))*List[[#This Row],[Budget Quantity]]*List[[#This Row],[Budget Price]]</f>
        <v>0</v>
      </c>
      <c r="M52" s="62"/>
      <c r="N52" s="52"/>
      <c r="O52" s="53"/>
      <c r="P52" s="35">
        <f>IF(AND(ISBLANK(List[[#This Row],[Updated Quantity]]),ISBLANK(List[[#This Row],[Updated Price]]),ISBLANK(List[[#This Row],[Updated VAT]])),List[[#This Row],[Budget Total]],
List[[#This Row],[Exchange Rate]]*(1+IF(List[[#This Row],[Updated VAT]]="Yes",VATRate,0))*List[[#This Row],[Updated Quantity]]*List[[#This Row],[Updated Price]])</f>
        <v>0</v>
      </c>
      <c r="Q52" s="87">
        <f>100%</f>
        <v>1</v>
      </c>
      <c r="R52" s="61"/>
      <c r="S52" s="55"/>
      <c r="T52" s="53"/>
      <c r="U52" s="56"/>
      <c r="V52" s="64"/>
      <c r="W52" s="55"/>
      <c r="X52" s="56"/>
      <c r="Y52" s="56"/>
      <c r="Z52" s="64"/>
      <c r="AA52" s="55"/>
      <c r="AB52" s="56"/>
      <c r="AC52" s="56"/>
      <c r="AD5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2" s="35">
        <f>List[[#This Row],[Running Budget Total]]-List[[#This Row],[Cash Out Total]]</f>
        <v>0</v>
      </c>
      <c r="AF52" s="36" t="str">
        <f>IF(AND(List[[#This Row],[Remaining]]=0,NOT(List[[#This Row],[Running Budget Total]]=0)),Status1,
IF(AND(List[[#This Row],[Remaining]]&lt;0,NOT(List[[#This Row],[Running Budget Total]]=0)),Status2,
IF(AND(List[[#This Row],[Remaining]]=0),Status3,
List[[#This Row],[Spent %]] &amp; Status4)))</f>
        <v>Cancelled</v>
      </c>
      <c r="AG52" s="57">
        <f>IFERROR(ROUND(100*List[[#This Row],[Cash Out Total]]/List[[#This Row],[Running Budget Total]],0),0)</f>
        <v>0</v>
      </c>
    </row>
    <row r="53" spans="1:33" ht="40" customHeight="1" x14ac:dyDescent="0.2">
      <c r="A53" s="11" t="s">
        <v>14</v>
      </c>
      <c r="B53" s="22" t="s">
        <v>23</v>
      </c>
      <c r="C53" s="11" t="s">
        <v>107</v>
      </c>
      <c r="D53" s="22" t="s">
        <v>228</v>
      </c>
      <c r="E53" s="22"/>
      <c r="F53" s="21" t="s">
        <v>233</v>
      </c>
      <c r="G53" s="51" t="s">
        <v>47</v>
      </c>
      <c r="H53" s="37">
        <f>DisplayToUSD/(_xlfn.IFNA(INDEX('Quick Inputs- Constants'!$B$15:$C$18,MATCH(List[[#This Row],[Currency]],'Quick Inputs- Constants'!B$15:B$18,0),2),1))</f>
        <v>2.4330900243309003E-3</v>
      </c>
      <c r="I53" s="62">
        <v>0</v>
      </c>
      <c r="J53" s="52">
        <v>28000</v>
      </c>
      <c r="K53" s="53" t="s">
        <v>99</v>
      </c>
      <c r="L53" s="54">
        <f>List[[#This Row],[Exchange Rate]]*(1+IF(List[[#This Row],[Budget VAT]]="Yes",VATRate,0))*List[[#This Row],[Budget Quantity]]*List[[#This Row],[Budget Price]]</f>
        <v>0</v>
      </c>
      <c r="M53" s="63"/>
      <c r="N53" s="53"/>
      <c r="O53" s="53"/>
      <c r="P53" s="35">
        <f>IF(AND(ISBLANK(List[[#This Row],[Updated Quantity]]),ISBLANK(List[[#This Row],[Updated Price]]),ISBLANK(List[[#This Row],[Updated VAT]])),List[[#This Row],[Budget Total]],
List[[#This Row],[Exchange Rate]]*(1+IF(List[[#This Row],[Updated VAT]]="Yes",VATRate,0))*List[[#This Row],[Updated Quantity]]*List[[#This Row],[Updated Price]])</f>
        <v>0</v>
      </c>
      <c r="Q53" s="87">
        <f>100%</f>
        <v>1</v>
      </c>
      <c r="R53" s="61"/>
      <c r="S53" s="55"/>
      <c r="T53" s="53"/>
      <c r="U53" s="56"/>
      <c r="V53" s="64"/>
      <c r="W53" s="55"/>
      <c r="X53" s="56"/>
      <c r="Y53" s="56"/>
      <c r="Z53" s="64"/>
      <c r="AA53" s="55"/>
      <c r="AB53" s="56"/>
      <c r="AC53" s="56"/>
      <c r="AD5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3" s="35">
        <f>List[[#This Row],[Running Budget Total]]-List[[#This Row],[Cash Out Total]]</f>
        <v>0</v>
      </c>
      <c r="AF53" s="36" t="str">
        <f>IF(AND(List[[#This Row],[Remaining]]=0,NOT(List[[#This Row],[Running Budget Total]]=0)),Status1,
IF(AND(List[[#This Row],[Remaining]]&lt;0,NOT(List[[#This Row],[Running Budget Total]]=0)),Status2,
IF(AND(List[[#This Row],[Remaining]]=0),Status3,
List[[#This Row],[Spent %]] &amp; Status4)))</f>
        <v>Cancelled</v>
      </c>
      <c r="AG53" s="57">
        <f>IFERROR(ROUND(100*List[[#This Row],[Cash Out Total]]/List[[#This Row],[Running Budget Total]],0),0)</f>
        <v>0</v>
      </c>
    </row>
    <row r="54" spans="1:33" ht="40" customHeight="1" x14ac:dyDescent="0.2">
      <c r="A54" s="11" t="s">
        <v>14</v>
      </c>
      <c r="B54" s="22" t="s">
        <v>23</v>
      </c>
      <c r="C54" s="11" t="s">
        <v>107</v>
      </c>
      <c r="D54" s="22" t="s">
        <v>219</v>
      </c>
      <c r="E54" s="22"/>
      <c r="F54" s="21"/>
      <c r="G54" s="51" t="s">
        <v>47</v>
      </c>
      <c r="H54" s="37">
        <f>DisplayToUSD/(_xlfn.IFNA(INDEX('Quick Inputs- Constants'!$B$15:$C$18,MATCH(List[[#This Row],[Currency]],'Quick Inputs- Constants'!B$15:B$18,0),2),1))</f>
        <v>2.4330900243309003E-3</v>
      </c>
      <c r="I54" s="62">
        <v>0</v>
      </c>
      <c r="J54" s="52">
        <v>175000</v>
      </c>
      <c r="K54" s="53" t="s">
        <v>14</v>
      </c>
      <c r="L54" s="54">
        <f>List[[#This Row],[Exchange Rate]]*(1+IF(List[[#This Row],[Budget VAT]]="Yes",VATRate,0))*List[[#This Row],[Budget Quantity]]*List[[#This Row],[Budget Price]]</f>
        <v>0</v>
      </c>
      <c r="M54" s="63"/>
      <c r="N54" s="53"/>
      <c r="O54" s="53"/>
      <c r="P54" s="35">
        <f>IF(AND(ISBLANK(List[[#This Row],[Updated Quantity]]),ISBLANK(List[[#This Row],[Updated Price]]),ISBLANK(List[[#This Row],[Updated VAT]])),List[[#This Row],[Budget Total]],
List[[#This Row],[Exchange Rate]]*(1+IF(List[[#This Row],[Updated VAT]]="Yes",VATRate,0))*List[[#This Row],[Updated Quantity]]*List[[#This Row],[Updated Price]])</f>
        <v>0</v>
      </c>
      <c r="Q54" s="87">
        <f>100%</f>
        <v>1</v>
      </c>
      <c r="R54" s="61"/>
      <c r="S54" s="55"/>
      <c r="T54" s="53"/>
      <c r="U54" s="56"/>
      <c r="V54" s="64"/>
      <c r="W54" s="55"/>
      <c r="X54" s="56"/>
      <c r="Y54" s="56"/>
      <c r="Z54" s="64"/>
      <c r="AA54" s="55"/>
      <c r="AB54" s="56"/>
      <c r="AC54" s="56"/>
      <c r="AD5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4" s="35">
        <f>List[[#This Row],[Running Budget Total]]-List[[#This Row],[Cash Out Total]]</f>
        <v>0</v>
      </c>
      <c r="AF54" s="36" t="str">
        <f>IF(AND(List[[#This Row],[Remaining]]=0,NOT(List[[#This Row],[Running Budget Total]]=0)),Status1,
IF(AND(List[[#This Row],[Remaining]]&lt;0,NOT(List[[#This Row],[Running Budget Total]]=0)),Status2,
IF(AND(List[[#This Row],[Remaining]]=0),Status3,
List[[#This Row],[Spent %]] &amp; Status4)))</f>
        <v>Cancelled</v>
      </c>
      <c r="AG54" s="57">
        <f>IFERROR(ROUND(100*List[[#This Row],[Cash Out Total]]/List[[#This Row],[Running Budget Total]],0),0)</f>
        <v>0</v>
      </c>
    </row>
    <row r="55" spans="1:33" ht="40" customHeight="1" x14ac:dyDescent="0.2">
      <c r="A55" s="11" t="s">
        <v>209</v>
      </c>
      <c r="B55" s="22" t="s">
        <v>23</v>
      </c>
      <c r="C55" s="11" t="s">
        <v>16</v>
      </c>
      <c r="D55" s="22" t="s">
        <v>78</v>
      </c>
      <c r="E55" s="22"/>
      <c r="F55" s="21"/>
      <c r="G55" s="51" t="s">
        <v>47</v>
      </c>
      <c r="H55" s="37">
        <f>DisplayToUSD/(_xlfn.IFNA(INDEX('Quick Inputs- Constants'!$B$15:$C$18,MATCH(List[[#This Row],[Currency]],'Quick Inputs- Constants'!B$15:B$18,0),2),1))</f>
        <v>2.4330900243309003E-3</v>
      </c>
      <c r="I55" s="62">
        <v>0</v>
      </c>
      <c r="J55" s="52">
        <f>TruckCost</f>
        <v>200000</v>
      </c>
      <c r="K55" s="53" t="s">
        <v>99</v>
      </c>
      <c r="L55" s="54">
        <f>List[[#This Row],[Exchange Rate]]*(1+IF(List[[#This Row],[Budget VAT]]="Yes",VATRate,0))*List[[#This Row],[Budget Quantity]]*List[[#This Row],[Budget Price]]</f>
        <v>0</v>
      </c>
      <c r="M55" s="63"/>
      <c r="N55" s="53"/>
      <c r="O55" s="53"/>
      <c r="P55" s="35">
        <f>IF(AND(ISBLANK(List[[#This Row],[Updated Quantity]]),ISBLANK(List[[#This Row],[Updated Price]]),ISBLANK(List[[#This Row],[Updated VAT]])),List[[#This Row],[Budget Total]],
List[[#This Row],[Exchange Rate]]*(1+IF(List[[#This Row],[Updated VAT]]="Yes",VATRate,0))*List[[#This Row],[Updated Quantity]]*List[[#This Row],[Updated Price]])</f>
        <v>0</v>
      </c>
      <c r="Q55" s="87">
        <f>100%</f>
        <v>1</v>
      </c>
      <c r="R55" s="61"/>
      <c r="S55" s="55"/>
      <c r="T55" s="53"/>
      <c r="U55" s="56"/>
      <c r="V55" s="64"/>
      <c r="W55" s="55"/>
      <c r="X55" s="56"/>
      <c r="Y55" s="56"/>
      <c r="Z55" s="64"/>
      <c r="AA55" s="55"/>
      <c r="AB55" s="56"/>
      <c r="AC55" s="56"/>
      <c r="AD5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5" s="35">
        <f>List[[#This Row],[Running Budget Total]]-List[[#This Row],[Cash Out Total]]</f>
        <v>0</v>
      </c>
      <c r="AF55" s="36" t="str">
        <f>IF(AND(List[[#This Row],[Remaining]]=0,NOT(List[[#This Row],[Running Budget Total]]=0)),Status1,
IF(AND(List[[#This Row],[Remaining]]&lt;0,NOT(List[[#This Row],[Running Budget Total]]=0)),Status2,
IF(AND(List[[#This Row],[Remaining]]=0),Status3,
List[[#This Row],[Spent %]] &amp; Status4)))</f>
        <v>Cancelled</v>
      </c>
      <c r="AG55" s="57">
        <f>IFERROR(ROUND(100*List[[#This Row],[Cash Out Total]]/List[[#This Row],[Running Budget Total]],0),0)</f>
        <v>0</v>
      </c>
    </row>
    <row r="56" spans="1:33" s="165" customFormat="1" ht="40" customHeight="1" x14ac:dyDescent="0.2">
      <c r="A56" s="132" t="s">
        <v>99</v>
      </c>
      <c r="B56" s="133" t="s">
        <v>24</v>
      </c>
      <c r="C56" s="132" t="s">
        <v>12</v>
      </c>
      <c r="D56" s="133" t="s">
        <v>282</v>
      </c>
      <c r="E56" s="133"/>
      <c r="F56" s="134"/>
      <c r="G56" s="135" t="s">
        <v>47</v>
      </c>
      <c r="H56" s="136">
        <f>DisplayToUSD/(_xlfn.IFNA(INDEX('Quick Inputs- Constants'!$B$15:$C$18,MATCH(List[[#This Row],[Currency]],'Quick Inputs- Constants'!B$15:B$18,0),2),1))</f>
        <v>2.4330900243309003E-3</v>
      </c>
      <c r="I56" s="137">
        <v>1</v>
      </c>
      <c r="J56" s="138">
        <f>BatteryInverterClearingAgentFees</f>
        <v>137000</v>
      </c>
      <c r="K56" s="139" t="s">
        <v>99</v>
      </c>
      <c r="L56" s="140">
        <f>List[[#This Row],[Exchange Rate]]*(1+IF(List[[#This Row],[Budget VAT]]="Yes",VATRate,0))*List[[#This Row],[Budget Quantity]]*List[[#This Row],[Budget Price]]</f>
        <v>358.33333333333331</v>
      </c>
      <c r="M56" s="164"/>
      <c r="N56" s="139"/>
      <c r="O56" s="139"/>
      <c r="P56" s="142">
        <f>IF(AND(ISBLANK(List[[#This Row],[Updated Quantity]]),ISBLANK(List[[#This Row],[Updated Price]]),ISBLANK(List[[#This Row],[Updated VAT]])),List[[#This Row],[Budget Total]],
List[[#This Row],[Exchange Rate]]*(1+IF(List[[#This Row],[Updated VAT]]="Yes",VATRate,0))*List[[#This Row],[Updated Quantity]]*List[[#This Row],[Updated Price]])</f>
        <v>358.33333333333331</v>
      </c>
      <c r="Q56" s="143">
        <f>100%</f>
        <v>1</v>
      </c>
      <c r="R56" s="144"/>
      <c r="S56" s="142"/>
      <c r="T56" s="139"/>
      <c r="U56" s="145"/>
      <c r="V56" s="146"/>
      <c r="W56" s="142"/>
      <c r="X56" s="145"/>
      <c r="Y56" s="145"/>
      <c r="Z56" s="146"/>
      <c r="AA56" s="142"/>
      <c r="AB56" s="145"/>
      <c r="AC56" s="145"/>
      <c r="AD56"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6" s="142">
        <f>List[[#This Row],[Running Budget Total]]-List[[#This Row],[Cash Out Total]]</f>
        <v>358.33333333333331</v>
      </c>
      <c r="AF56" s="148" t="str">
        <f>IF(AND(List[[#This Row],[Remaining]]=0,NOT(List[[#This Row],[Running Budget Total]]=0)),Status1,
IF(AND(List[[#This Row],[Remaining]]&lt;0,NOT(List[[#This Row],[Running Budget Total]]=0)),Status2,
IF(AND(List[[#This Row],[Remaining]]=0),Status3,
List[[#This Row],[Spent %]] &amp; Status4)))</f>
        <v>0% paid</v>
      </c>
      <c r="AG56" s="149">
        <f>IFERROR(ROUND(100*List[[#This Row],[Cash Out Total]]/List[[#This Row],[Running Budget Total]],0),0)</f>
        <v>0</v>
      </c>
    </row>
    <row r="57" spans="1:33" s="165" customFormat="1" ht="40" customHeight="1" x14ac:dyDescent="0.2">
      <c r="A57" s="132" t="s">
        <v>99</v>
      </c>
      <c r="B57" s="133" t="s">
        <v>24</v>
      </c>
      <c r="C57" s="132" t="s">
        <v>12</v>
      </c>
      <c r="D57" s="133" t="s">
        <v>498</v>
      </c>
      <c r="E57" s="152" t="s">
        <v>595</v>
      </c>
      <c r="F57" s="134"/>
      <c r="G57" s="135" t="s">
        <v>47</v>
      </c>
      <c r="H57" s="136">
        <f>DisplayToUSD/(_xlfn.IFNA(INDEX('Quick Inputs- Constants'!$B$15:$C$18,MATCH(List[[#This Row],[Currency]],'Quick Inputs- Constants'!B$15:B$18,0),2),1))</f>
        <v>2.4330900243309003E-3</v>
      </c>
      <c r="I57" s="137">
        <v>1</v>
      </c>
      <c r="J57" s="138">
        <f>BatteryInverterInspection</f>
        <v>102750</v>
      </c>
      <c r="K57" s="139" t="s">
        <v>14</v>
      </c>
      <c r="L57" s="140">
        <f>List[[#This Row],[Exchange Rate]]*(1+IF(List[[#This Row],[Budget VAT]]="Yes",VATRate,0))*List[[#This Row],[Budget Quantity]]*List[[#This Row],[Budget Price]]</f>
        <v>250</v>
      </c>
      <c r="M57" s="164"/>
      <c r="N57" s="139"/>
      <c r="O57" s="139"/>
      <c r="P57" s="142">
        <f>IF(AND(ISBLANK(List[[#This Row],[Updated Quantity]]),ISBLANK(List[[#This Row],[Updated Price]]),ISBLANK(List[[#This Row],[Updated VAT]])),List[[#This Row],[Budget Total]],
List[[#This Row],[Exchange Rate]]*(1+IF(List[[#This Row],[Updated VAT]]="Yes",VATRate,0))*List[[#This Row],[Updated Quantity]]*List[[#This Row],[Updated Price]])</f>
        <v>250</v>
      </c>
      <c r="Q57" s="143">
        <f>100%</f>
        <v>1</v>
      </c>
      <c r="R57" s="144"/>
      <c r="S57" s="142"/>
      <c r="T57" s="139"/>
      <c r="U57" s="145"/>
      <c r="V57" s="146"/>
      <c r="W57" s="142"/>
      <c r="X57" s="145"/>
      <c r="Y57" s="145"/>
      <c r="Z57" s="146"/>
      <c r="AA57" s="142"/>
      <c r="AB57" s="145"/>
      <c r="AC57" s="145"/>
      <c r="AD5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7" s="142">
        <f>List[[#This Row],[Running Budget Total]]-List[[#This Row],[Cash Out Total]]</f>
        <v>250</v>
      </c>
      <c r="AF57" s="148" t="str">
        <f>IF(AND(List[[#This Row],[Remaining]]=0,NOT(List[[#This Row],[Running Budget Total]]=0)),Status1,
IF(AND(List[[#This Row],[Remaining]]&lt;0,NOT(List[[#This Row],[Running Budget Total]]=0)),Status2,
IF(AND(List[[#This Row],[Remaining]]=0),Status3,
List[[#This Row],[Spent %]] &amp; Status4)))</f>
        <v>0% paid</v>
      </c>
      <c r="AG57" s="149">
        <f>IFERROR(ROUND(100*List[[#This Row],[Cash Out Total]]/List[[#This Row],[Running Budget Total]],0),0)</f>
        <v>0</v>
      </c>
    </row>
    <row r="58" spans="1:33" s="165" customFormat="1" ht="40" customHeight="1" x14ac:dyDescent="0.2">
      <c r="A58" s="132" t="s">
        <v>99</v>
      </c>
      <c r="B58" s="133" t="s">
        <v>24</v>
      </c>
      <c r="C58" s="132" t="s">
        <v>12</v>
      </c>
      <c r="D58" s="133" t="s">
        <v>71</v>
      </c>
      <c r="E58" s="133" t="s">
        <v>590</v>
      </c>
      <c r="F58" s="134"/>
      <c r="G58" s="135" t="s">
        <v>47</v>
      </c>
      <c r="H58" s="136">
        <f>DisplayToUSD/(_xlfn.IFNA(INDEX('Quick Inputs- Constants'!$B$15:$C$18,MATCH(List[[#This Row],[Currency]],'Quick Inputs- Constants'!B$15:B$18,0),2),1))</f>
        <v>2.4330900243309003E-3</v>
      </c>
      <c r="I58" s="137">
        <v>1</v>
      </c>
      <c r="J58" s="138">
        <f>BatteryInverterNonVAT</f>
        <v>86183</v>
      </c>
      <c r="K58" s="139" t="s">
        <v>14</v>
      </c>
      <c r="L58" s="140">
        <f>List[[#This Row],[Exchange Rate]]*(1+IF(List[[#This Row],[Budget VAT]]="Yes",VATRate,0))*List[[#This Row],[Budget Quantity]]*List[[#This Row],[Budget Price]]</f>
        <v>209.69099756690997</v>
      </c>
      <c r="M58" s="164"/>
      <c r="N58" s="139"/>
      <c r="O58" s="139"/>
      <c r="P58" s="142">
        <f>IF(AND(ISBLANK(List[[#This Row],[Updated Quantity]]),ISBLANK(List[[#This Row],[Updated Price]]),ISBLANK(List[[#This Row],[Updated VAT]])),List[[#This Row],[Budget Total]],
List[[#This Row],[Exchange Rate]]*(1+IF(List[[#This Row],[Updated VAT]]="Yes",VATRate,0))*List[[#This Row],[Updated Quantity]]*List[[#This Row],[Updated Price]])</f>
        <v>209.69099756690997</v>
      </c>
      <c r="Q58" s="143">
        <f>100%</f>
        <v>1</v>
      </c>
      <c r="R58" s="144"/>
      <c r="S58" s="142"/>
      <c r="T58" s="139"/>
      <c r="U58" s="145"/>
      <c r="V58" s="146"/>
      <c r="W58" s="142"/>
      <c r="X58" s="145"/>
      <c r="Y58" s="145"/>
      <c r="Z58" s="146"/>
      <c r="AA58" s="142"/>
      <c r="AB58" s="145"/>
      <c r="AC58" s="145"/>
      <c r="AD5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8" s="142">
        <f>List[[#This Row],[Running Budget Total]]-List[[#This Row],[Cash Out Total]]</f>
        <v>209.69099756690997</v>
      </c>
      <c r="AF58" s="148" t="str">
        <f>IF(AND(List[[#This Row],[Remaining]]=0,NOT(List[[#This Row],[Running Budget Total]]=0)),Status1,
IF(AND(List[[#This Row],[Remaining]]&lt;0,NOT(List[[#This Row],[Running Budget Total]]=0)),Status2,
IF(AND(List[[#This Row],[Remaining]]=0),Status3,
List[[#This Row],[Spent %]] &amp; Status4)))</f>
        <v>0% paid</v>
      </c>
      <c r="AG58" s="149">
        <f>IFERROR(ROUND(100*List[[#This Row],[Cash Out Total]]/List[[#This Row],[Running Budget Total]],0),0)</f>
        <v>0</v>
      </c>
    </row>
    <row r="59" spans="1:33" s="165" customFormat="1" ht="40" customHeight="1" x14ac:dyDescent="0.2">
      <c r="A59" s="151" t="s">
        <v>99</v>
      </c>
      <c r="B59" s="152" t="s">
        <v>24</v>
      </c>
      <c r="C59" s="151" t="s">
        <v>12</v>
      </c>
      <c r="D59" s="152" t="s">
        <v>267</v>
      </c>
      <c r="E59" s="152" t="s">
        <v>596</v>
      </c>
      <c r="F59" s="153"/>
      <c r="G59" s="135" t="s">
        <v>47</v>
      </c>
      <c r="H59" s="155">
        <f>DisplayToUSD/(_xlfn.IFNA(INDEX('Quick Inputs- Constants'!$B$15:$C$18,MATCH(List[[#This Row],[Currency]],'Quick Inputs- Constants'!B$15:B$18,0),2),1))</f>
        <v>2.4330900243309003E-3</v>
      </c>
      <c r="I59" s="137">
        <v>1</v>
      </c>
      <c r="J59" s="156">
        <f>BatteryInverterPortFees</f>
        <v>218703.375</v>
      </c>
      <c r="K59" s="157" t="s">
        <v>14</v>
      </c>
      <c r="L59" s="158">
        <f>List[[#This Row],[Exchange Rate]]*(1+IF(List[[#This Row],[Budget VAT]]="Yes",VATRate,0))*List[[#This Row],[Budget Quantity]]*List[[#This Row],[Budget Price]]</f>
        <v>532.125</v>
      </c>
      <c r="M59" s="164"/>
      <c r="N59" s="157"/>
      <c r="O59" s="157"/>
      <c r="P59" s="159">
        <f>IF(AND(ISBLANK(List[[#This Row],[Updated Quantity]]),ISBLANK(List[[#This Row],[Updated Price]]),ISBLANK(List[[#This Row],[Updated VAT]])),List[[#This Row],[Budget Total]],
List[[#This Row],[Exchange Rate]]*(1+IF(List[[#This Row],[Updated VAT]]="Yes",VATRate,0))*List[[#This Row],[Updated Quantity]]*List[[#This Row],[Updated Price]])</f>
        <v>532.125</v>
      </c>
      <c r="Q59" s="143">
        <f>100%</f>
        <v>1</v>
      </c>
      <c r="R59" s="160"/>
      <c r="S59" s="159"/>
      <c r="T59" s="157"/>
      <c r="U59" s="161"/>
      <c r="V59" s="146"/>
      <c r="W59" s="159"/>
      <c r="X59" s="161"/>
      <c r="Y59" s="161"/>
      <c r="Z59" s="146"/>
      <c r="AA59" s="159"/>
      <c r="AB59" s="161"/>
      <c r="AC59" s="161"/>
      <c r="AD59"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9" s="159">
        <f>List[[#This Row],[Running Budget Total]]-List[[#This Row],[Cash Out Total]]</f>
        <v>532.125</v>
      </c>
      <c r="AF59" s="162" t="str">
        <f>IF(AND(List[[#This Row],[Remaining]]=0,NOT(List[[#This Row],[Running Budget Total]]=0)),Status1,
IF(AND(List[[#This Row],[Remaining]]&lt;0,NOT(List[[#This Row],[Running Budget Total]]=0)),Status2,
IF(AND(List[[#This Row],[Remaining]]=0),Status3,
List[[#This Row],[Spent %]] &amp; Status4)))</f>
        <v>0% paid</v>
      </c>
      <c r="AG59" s="163">
        <f>IFERROR(ROUND(100*List[[#This Row],[Cash Out Total]]/List[[#This Row],[Running Budget Total]],0),0)</f>
        <v>0</v>
      </c>
    </row>
    <row r="60" spans="1:33" s="165" customFormat="1" ht="40" customHeight="1" x14ac:dyDescent="0.2">
      <c r="A60" s="132" t="s">
        <v>99</v>
      </c>
      <c r="B60" s="133" t="s">
        <v>24</v>
      </c>
      <c r="C60" s="132" t="s">
        <v>12</v>
      </c>
      <c r="D60" s="133" t="s">
        <v>37</v>
      </c>
      <c r="E60" s="133" t="s">
        <v>590</v>
      </c>
      <c r="F60" s="134"/>
      <c r="G60" s="135" t="s">
        <v>47</v>
      </c>
      <c r="H60" s="136">
        <f>DisplayToUSD/(_xlfn.IFNA(INDEX('Quick Inputs- Constants'!$B$15:$C$18,MATCH(List[[#This Row],[Currency]],'Quick Inputs- Constants'!B$15:B$18,0),2),1))</f>
        <v>2.4330900243309003E-3</v>
      </c>
      <c r="I60" s="137">
        <v>1</v>
      </c>
      <c r="J60" s="138">
        <f>BatteryInverterVAT</f>
        <v>0</v>
      </c>
      <c r="K60" s="139" t="s">
        <v>100</v>
      </c>
      <c r="L60" s="140">
        <f>List[[#This Row],[Exchange Rate]]*(1+IF(List[[#This Row],[Budget VAT]]="Yes",VATRate,0))*List[[#This Row],[Budget Quantity]]*List[[#This Row],[Budget Price]]</f>
        <v>0</v>
      </c>
      <c r="M60" s="164"/>
      <c r="N60" s="139"/>
      <c r="O60" s="139"/>
      <c r="P60" s="159">
        <f>IF(AND(ISBLANK(List[[#This Row],[Updated Quantity]]),ISBLANK(List[[#This Row],[Updated Price]]),ISBLANK(List[[#This Row],[Updated VAT]])),List[[#This Row],[Budget Total]],
List[[#This Row],[Exchange Rate]]*(1+IF(List[[#This Row],[Updated VAT]]="Yes",VATRate,0))*List[[#This Row],[Updated Quantity]]*List[[#This Row],[Updated Price]])</f>
        <v>0</v>
      </c>
      <c r="Q60" s="143">
        <f>100%</f>
        <v>1</v>
      </c>
      <c r="R60" s="144"/>
      <c r="S60" s="142"/>
      <c r="T60" s="139"/>
      <c r="U60" s="145"/>
      <c r="V60" s="146"/>
      <c r="W60" s="142"/>
      <c r="X60" s="145"/>
      <c r="Y60" s="145"/>
      <c r="Z60" s="146"/>
      <c r="AA60" s="142"/>
      <c r="AB60" s="145"/>
      <c r="AC60" s="145"/>
      <c r="AD60"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0" s="142">
        <f>List[[#This Row],[Running Budget Total]]-List[[#This Row],[Cash Out Total]]</f>
        <v>0</v>
      </c>
      <c r="AF60" s="148" t="str">
        <f>IF(AND(List[[#This Row],[Remaining]]=0,NOT(List[[#This Row],[Running Budget Total]]=0)),Status1,
IF(AND(List[[#This Row],[Remaining]]&lt;0,NOT(List[[#This Row],[Running Budget Total]]=0)),Status2,
IF(AND(List[[#This Row],[Remaining]]=0),Status3,
List[[#This Row],[Spent %]] &amp; Status4)))</f>
        <v>Cancelled</v>
      </c>
      <c r="AG60" s="149">
        <f>IFERROR(ROUND(100*List[[#This Row],[Cash Out Total]]/List[[#This Row],[Running Budget Total]],0),0)</f>
        <v>0</v>
      </c>
    </row>
    <row r="61" spans="1:33" s="165" customFormat="1" ht="40" customHeight="1" x14ac:dyDescent="0.2">
      <c r="A61" s="132" t="s">
        <v>99</v>
      </c>
      <c r="B61" s="133" t="s">
        <v>24</v>
      </c>
      <c r="C61" s="132" t="s">
        <v>107</v>
      </c>
      <c r="D61" s="133" t="s">
        <v>284</v>
      </c>
      <c r="E61" s="133"/>
      <c r="F61" s="134"/>
      <c r="G61" s="135" t="s">
        <v>18</v>
      </c>
      <c r="H61" s="136">
        <f>DisplayToUSD/(_xlfn.IFNA(INDEX('Quick Inputs- Constants'!$B$15:$C$18,MATCH(List[[#This Row],[Currency]],'Quick Inputs- Constants'!B$15:B$18,0),2),1))</f>
        <v>1</v>
      </c>
      <c r="I61" s="137">
        <f>BatteryInverterCount</f>
        <v>1</v>
      </c>
      <c r="J61" s="138">
        <f>BatteryInverterPricePerUnit</f>
        <v>2600</v>
      </c>
      <c r="K61" s="139" t="s">
        <v>14</v>
      </c>
      <c r="L61" s="140">
        <f>List[[#This Row],[Exchange Rate]]*(1+IF(List[[#This Row],[Budget VAT]]="Yes",VATRate,0))*List[[#This Row],[Budget Quantity]]*List[[#This Row],[Budget Price]]</f>
        <v>2600</v>
      </c>
      <c r="M61" s="164"/>
      <c r="N61" s="139"/>
      <c r="O61" s="139"/>
      <c r="P61" s="159">
        <f>IF(AND(ISBLANK(List[[#This Row],[Updated Quantity]]),ISBLANK(List[[#This Row],[Updated Price]]),ISBLANK(List[[#This Row],[Updated VAT]])),List[[#This Row],[Budget Total]],
List[[#This Row],[Exchange Rate]]*(1+IF(List[[#This Row],[Updated VAT]]="Yes",VATRate,0))*List[[#This Row],[Updated Quantity]]*List[[#This Row],[Updated Price]])</f>
        <v>2600</v>
      </c>
      <c r="Q61" s="143">
        <f>100%</f>
        <v>1</v>
      </c>
      <c r="R61" s="144"/>
      <c r="S61" s="142"/>
      <c r="T61" s="139"/>
      <c r="U61" s="145"/>
      <c r="V61" s="146"/>
      <c r="W61" s="142"/>
      <c r="X61" s="145"/>
      <c r="Y61" s="145"/>
      <c r="Z61" s="146"/>
      <c r="AA61" s="142"/>
      <c r="AB61" s="145"/>
      <c r="AC61" s="145"/>
      <c r="AD61"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1" s="142">
        <f>List[[#This Row],[Running Budget Total]]-List[[#This Row],[Cash Out Total]]</f>
        <v>2600</v>
      </c>
      <c r="AF61" s="148" t="str">
        <f>IF(AND(List[[#This Row],[Remaining]]=0,NOT(List[[#This Row],[Running Budget Total]]=0)),Status1,
IF(AND(List[[#This Row],[Remaining]]&lt;0,NOT(List[[#This Row],[Running Budget Total]]=0)),Status2,
IF(AND(List[[#This Row],[Remaining]]=0),Status3,
List[[#This Row],[Spent %]] &amp; Status4)))</f>
        <v>0% paid</v>
      </c>
      <c r="AG61" s="149">
        <f>IFERROR(ROUND(100*List[[#This Row],[Cash Out Total]]/List[[#This Row],[Running Budget Total]],0),0)</f>
        <v>0</v>
      </c>
    </row>
    <row r="62" spans="1:33" s="165" customFormat="1" ht="40" customHeight="1" x14ac:dyDescent="0.2">
      <c r="A62" s="132" t="s">
        <v>99</v>
      </c>
      <c r="B62" s="133" t="s">
        <v>24</v>
      </c>
      <c r="C62" s="132" t="s">
        <v>16</v>
      </c>
      <c r="D62" s="133" t="s">
        <v>72</v>
      </c>
      <c r="E62" s="133"/>
      <c r="F62" s="171"/>
      <c r="G62" s="135" t="s">
        <v>18</v>
      </c>
      <c r="H62" s="136">
        <f>DisplayToUSD/(_xlfn.IFNA(INDEX('Quick Inputs- Constants'!$B$15:$C$18,MATCH(List[[#This Row],[Currency]],'Quick Inputs- Constants'!B$15:B$18,0),2),1))</f>
        <v>1</v>
      </c>
      <c r="I62" s="137">
        <f>BatteryInverterkWPerUnit*BatteryInverterCount</f>
        <v>15</v>
      </c>
      <c r="J62" s="138">
        <f>BatteryInverterShippingPricePerkW</f>
        <v>36</v>
      </c>
      <c r="K62" s="139" t="s">
        <v>14</v>
      </c>
      <c r="L62" s="140">
        <f>List[[#This Row],[Exchange Rate]]*(1+IF(List[[#This Row],[Budget VAT]]="Yes",VATRate,0))*List[[#This Row],[Budget Quantity]]*List[[#This Row],[Budget Price]]</f>
        <v>540</v>
      </c>
      <c r="M62" s="164"/>
      <c r="N62" s="139"/>
      <c r="O62" s="139"/>
      <c r="P62" s="159">
        <f>IF(AND(ISBLANK(List[[#This Row],[Updated Quantity]]),ISBLANK(List[[#This Row],[Updated Price]]),ISBLANK(List[[#This Row],[Updated VAT]])),List[[#This Row],[Budget Total]],
List[[#This Row],[Exchange Rate]]*(1+IF(List[[#This Row],[Updated VAT]]="Yes",VATRate,0))*List[[#This Row],[Updated Quantity]]*List[[#This Row],[Updated Price]])</f>
        <v>540</v>
      </c>
      <c r="Q62" s="143">
        <f>100%</f>
        <v>1</v>
      </c>
      <c r="R62" s="144"/>
      <c r="S62" s="142"/>
      <c r="T62" s="139"/>
      <c r="U62" s="145"/>
      <c r="V62" s="146"/>
      <c r="W62" s="142"/>
      <c r="X62" s="145"/>
      <c r="Y62" s="145"/>
      <c r="Z62" s="146"/>
      <c r="AA62" s="142"/>
      <c r="AB62" s="145"/>
      <c r="AC62" s="145"/>
      <c r="AD6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2" s="142">
        <f>List[[#This Row],[Running Budget Total]]-List[[#This Row],[Cash Out Total]]</f>
        <v>540</v>
      </c>
      <c r="AF62" s="148" t="str">
        <f>IF(AND(List[[#This Row],[Remaining]]=0,NOT(List[[#This Row],[Running Budget Total]]=0)),Status1,
IF(AND(List[[#This Row],[Remaining]]&lt;0,NOT(List[[#This Row],[Running Budget Total]]=0)),Status2,
IF(AND(List[[#This Row],[Remaining]]=0),Status3,
List[[#This Row],[Spent %]] &amp; Status4)))</f>
        <v>0% paid</v>
      </c>
      <c r="AG62" s="149">
        <f>IFERROR(ROUND(100*List[[#This Row],[Cash Out Total]]/List[[#This Row],[Running Budget Total]],0),0)</f>
        <v>0</v>
      </c>
    </row>
    <row r="63" spans="1:33" s="165" customFormat="1" ht="40" customHeight="1" x14ac:dyDescent="0.2">
      <c r="A63" s="132" t="s">
        <v>99</v>
      </c>
      <c r="B63" s="133" t="s">
        <v>25</v>
      </c>
      <c r="C63" s="132" t="s">
        <v>12</v>
      </c>
      <c r="D63" s="133" t="s">
        <v>71</v>
      </c>
      <c r="E63" s="133" t="s">
        <v>590</v>
      </c>
      <c r="F63" s="134"/>
      <c r="G63" s="135" t="s">
        <v>47</v>
      </c>
      <c r="H63" s="136">
        <f>DisplayToUSD/(_xlfn.IFNA(INDEX('Quick Inputs- Constants'!$B$15:$C$18,MATCH(List[[#This Row],[Currency]],'Quick Inputs- Constants'!B$15:B$18,0),2),1))</f>
        <v>2.4330900243309003E-3</v>
      </c>
      <c r="I63" s="137">
        <v>1</v>
      </c>
      <c r="J63" s="138">
        <f>PVCCNonVAT</f>
        <v>165792</v>
      </c>
      <c r="K63" s="139" t="s">
        <v>14</v>
      </c>
      <c r="L63" s="140">
        <f>List[[#This Row],[Exchange Rate]]*(1+IF(List[[#This Row],[Budget VAT]]="Yes",VATRate,0))*List[[#This Row],[Budget Quantity]]*List[[#This Row],[Budget Price]]</f>
        <v>403.38686131386862</v>
      </c>
      <c r="M63" s="164"/>
      <c r="N63" s="139"/>
      <c r="O63" s="139"/>
      <c r="P63" s="142">
        <f>IF(AND(ISBLANK(List[[#This Row],[Updated Quantity]]),ISBLANK(List[[#This Row],[Updated Price]]),ISBLANK(List[[#This Row],[Updated VAT]])),List[[#This Row],[Budget Total]],
List[[#This Row],[Exchange Rate]]*(1+IF(List[[#This Row],[Updated VAT]]="Yes",VATRate,0))*List[[#This Row],[Updated Quantity]]*List[[#This Row],[Updated Price]])</f>
        <v>403.38686131386862</v>
      </c>
      <c r="Q63" s="143">
        <f>100%</f>
        <v>1</v>
      </c>
      <c r="R63" s="144"/>
      <c r="S63" s="142"/>
      <c r="T63" s="139"/>
      <c r="U63" s="145"/>
      <c r="V63" s="146"/>
      <c r="W63" s="142"/>
      <c r="X63" s="145"/>
      <c r="Y63" s="145"/>
      <c r="Z63" s="146"/>
      <c r="AA63" s="142"/>
      <c r="AB63" s="145"/>
      <c r="AC63" s="145"/>
      <c r="AD63"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3" s="142">
        <f>List[[#This Row],[Running Budget Total]]-List[[#This Row],[Cash Out Total]]</f>
        <v>403.38686131386862</v>
      </c>
      <c r="AF63" s="148" t="str">
        <f>IF(AND(List[[#This Row],[Remaining]]=0,NOT(List[[#This Row],[Running Budget Total]]=0)),Status1,
IF(AND(List[[#This Row],[Remaining]]&lt;0,NOT(List[[#This Row],[Running Budget Total]]=0)),Status2,
IF(AND(List[[#This Row],[Remaining]]=0),Status3,
List[[#This Row],[Spent %]] &amp; Status4)))</f>
        <v>0% paid</v>
      </c>
      <c r="AG63" s="149">
        <f>IFERROR(ROUND(100*List[[#This Row],[Cash Out Total]]/List[[#This Row],[Running Budget Total]],0),0)</f>
        <v>0</v>
      </c>
    </row>
    <row r="64" spans="1:33" s="165" customFormat="1" ht="40" customHeight="1" x14ac:dyDescent="0.2">
      <c r="A64" s="132" t="s">
        <v>99</v>
      </c>
      <c r="B64" s="133" t="s">
        <v>25</v>
      </c>
      <c r="C64" s="132" t="s">
        <v>12</v>
      </c>
      <c r="D64" s="133" t="s">
        <v>37</v>
      </c>
      <c r="E64" s="133" t="s">
        <v>590</v>
      </c>
      <c r="F64" s="134"/>
      <c r="G64" s="135" t="s">
        <v>47</v>
      </c>
      <c r="H64" s="136">
        <f>DisplayToUSD/(_xlfn.IFNA(INDEX('Quick Inputs- Constants'!$B$15:$C$18,MATCH(List[[#This Row],[Currency]],'Quick Inputs- Constants'!B$15:B$18,0),2),1))</f>
        <v>2.4330900243309003E-3</v>
      </c>
      <c r="I64" s="137">
        <v>1</v>
      </c>
      <c r="J64" s="138">
        <f>PVCCVAT</f>
        <v>0</v>
      </c>
      <c r="K64" s="139" t="s">
        <v>100</v>
      </c>
      <c r="L64" s="140">
        <f>List[[#This Row],[Exchange Rate]]*(1+IF(List[[#This Row],[Budget VAT]]="Yes",VATRate,0))*List[[#This Row],[Budget Quantity]]*List[[#This Row],[Budget Price]]</f>
        <v>0</v>
      </c>
      <c r="M64" s="164"/>
      <c r="N64" s="139"/>
      <c r="O64" s="139"/>
      <c r="P64" s="159">
        <f>IF(AND(ISBLANK(List[[#This Row],[Updated Quantity]]),ISBLANK(List[[#This Row],[Updated Price]]),ISBLANK(List[[#This Row],[Updated VAT]])),List[[#This Row],[Budget Total]],
List[[#This Row],[Exchange Rate]]*(1+IF(List[[#This Row],[Updated VAT]]="Yes",VATRate,0))*List[[#This Row],[Updated Quantity]]*List[[#This Row],[Updated Price]])</f>
        <v>0</v>
      </c>
      <c r="Q64" s="143">
        <f>100%</f>
        <v>1</v>
      </c>
      <c r="R64" s="144"/>
      <c r="S64" s="142"/>
      <c r="T64" s="139"/>
      <c r="U64" s="145"/>
      <c r="V64" s="146"/>
      <c r="W64" s="142"/>
      <c r="X64" s="145"/>
      <c r="Y64" s="145"/>
      <c r="Z64" s="146"/>
      <c r="AA64" s="142"/>
      <c r="AB64" s="145"/>
      <c r="AC64" s="145"/>
      <c r="AD64"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4" s="142">
        <f>List[[#This Row],[Running Budget Total]]-List[[#This Row],[Cash Out Total]]</f>
        <v>0</v>
      </c>
      <c r="AF64" s="148" t="str">
        <f>IF(AND(List[[#This Row],[Remaining]]=0,NOT(List[[#This Row],[Running Budget Total]]=0)),Status1,
IF(AND(List[[#This Row],[Remaining]]&lt;0,NOT(List[[#This Row],[Running Budget Total]]=0)),Status2,
IF(AND(List[[#This Row],[Remaining]]=0),Status3,
List[[#This Row],[Spent %]] &amp; Status4)))</f>
        <v>Cancelled</v>
      </c>
      <c r="AG64" s="149">
        <f>IFERROR(ROUND(100*List[[#This Row],[Cash Out Total]]/List[[#This Row],[Running Budget Total]],0),0)</f>
        <v>0</v>
      </c>
    </row>
    <row r="65" spans="1:33" ht="40" customHeight="1" x14ac:dyDescent="0.2">
      <c r="A65" s="73" t="s">
        <v>14</v>
      </c>
      <c r="B65" s="74" t="s">
        <v>25</v>
      </c>
      <c r="C65" s="73" t="s">
        <v>107</v>
      </c>
      <c r="D65" s="74" t="s">
        <v>285</v>
      </c>
      <c r="E65" s="74"/>
      <c r="F65" s="76"/>
      <c r="G65" s="75" t="s">
        <v>18</v>
      </c>
      <c r="H65" s="77">
        <f>DisplayToUSD/(_xlfn.IFNA(INDEX('Quick Inputs- Constants'!$B$15:$C$18,MATCH(List[[#This Row],[Currency]],'Quick Inputs- Constants'!B$15:B$18,0),2),1))</f>
        <v>1</v>
      </c>
      <c r="I65" s="62">
        <v>0</v>
      </c>
      <c r="J65" s="78">
        <v>0</v>
      </c>
      <c r="K65" s="79" t="s">
        <v>14</v>
      </c>
      <c r="L65" s="80">
        <f>List[[#This Row],[Exchange Rate]]*(1+IF(List[[#This Row],[Budget VAT]]="Yes",VATRate,0))*List[[#This Row],[Budget Quantity]]*List[[#This Row],[Budget Price]]</f>
        <v>0</v>
      </c>
      <c r="M65" s="63"/>
      <c r="N65" s="79"/>
      <c r="O65" s="79"/>
      <c r="P65" s="81">
        <f>IF(AND(ISBLANK(List[[#This Row],[Updated Quantity]]),ISBLANK(List[[#This Row],[Updated Price]]),ISBLANK(List[[#This Row],[Updated VAT]])),List[[#This Row],[Budget Total]],
List[[#This Row],[Exchange Rate]]*(1+IF(List[[#This Row],[Updated VAT]]="Yes",VATRate,0))*List[[#This Row],[Updated Quantity]]*List[[#This Row],[Updated Price]])</f>
        <v>0</v>
      </c>
      <c r="Q65" s="87">
        <f>100%</f>
        <v>1</v>
      </c>
      <c r="R65" s="82"/>
      <c r="S65" s="83"/>
      <c r="T65" s="79"/>
      <c r="U65" s="84"/>
      <c r="V65" s="64"/>
      <c r="W65" s="83"/>
      <c r="X65" s="84"/>
      <c r="Y65" s="84"/>
      <c r="Z65" s="64"/>
      <c r="AA65" s="83"/>
      <c r="AB65" s="84"/>
      <c r="AC65" s="84"/>
      <c r="AD6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5" s="81">
        <f>List[[#This Row],[Running Budget Total]]-List[[#This Row],[Cash Out Total]]</f>
        <v>0</v>
      </c>
      <c r="AF65" s="85" t="str">
        <f>IF(AND(List[[#This Row],[Remaining]]=0,NOT(List[[#This Row],[Running Budget Total]]=0)),Status1,
IF(AND(List[[#This Row],[Remaining]]&lt;0,NOT(List[[#This Row],[Running Budget Total]]=0)),Status2,
IF(AND(List[[#This Row],[Remaining]]=0),Status3,
List[[#This Row],[Spent %]] &amp; Status4)))</f>
        <v>Cancelled</v>
      </c>
      <c r="AG65" s="86">
        <f>IFERROR(ROUND(100*List[[#This Row],[Cash Out Total]]/List[[#This Row],[Running Budget Total]],0),0)</f>
        <v>0</v>
      </c>
    </row>
    <row r="66" spans="1:33" s="165" customFormat="1" ht="40" customHeight="1" x14ac:dyDescent="0.2">
      <c r="A66" s="132" t="s">
        <v>99</v>
      </c>
      <c r="B66" s="133" t="s">
        <v>25</v>
      </c>
      <c r="C66" s="132" t="s">
        <v>107</v>
      </c>
      <c r="D66" s="133" t="s">
        <v>499</v>
      </c>
      <c r="E66" s="133"/>
      <c r="F66" s="134"/>
      <c r="G66" s="135" t="s">
        <v>18</v>
      </c>
      <c r="H66" s="136">
        <f>DisplayToUSD/(_xlfn.IFNA(INDEX('Quick Inputs- Constants'!$B$15:$C$18,MATCH(List[[#This Row],[Currency]],'Quick Inputs- Constants'!B$15:B$18,0),2),1))</f>
        <v>1</v>
      </c>
      <c r="I66" s="137">
        <f>PVCCCount</f>
        <v>10</v>
      </c>
      <c r="J66" s="138">
        <f>PVCCPricePerUnit</f>
        <v>588.88</v>
      </c>
      <c r="K66" s="139" t="s">
        <v>14</v>
      </c>
      <c r="L66" s="140">
        <f>List[[#This Row],[Exchange Rate]]*(1+IF(List[[#This Row],[Budget VAT]]="Yes",VATRate,0))*List[[#This Row],[Budget Quantity]]*List[[#This Row],[Budget Price]]</f>
        <v>5888.8</v>
      </c>
      <c r="M66" s="164"/>
      <c r="N66" s="139"/>
      <c r="O66" s="139"/>
      <c r="P66" s="159">
        <f>IF(AND(ISBLANK(List[[#This Row],[Updated Quantity]]),ISBLANK(List[[#This Row],[Updated Price]]),ISBLANK(List[[#This Row],[Updated VAT]])),List[[#This Row],[Budget Total]],
List[[#This Row],[Exchange Rate]]*(1+IF(List[[#This Row],[Updated VAT]]="Yes",VATRate,0))*List[[#This Row],[Updated Quantity]]*List[[#This Row],[Updated Price]])</f>
        <v>5888.8</v>
      </c>
      <c r="Q66" s="143">
        <f>100%</f>
        <v>1</v>
      </c>
      <c r="R66" s="144"/>
      <c r="S66" s="142"/>
      <c r="T66" s="139"/>
      <c r="U66" s="145"/>
      <c r="V66" s="146"/>
      <c r="W66" s="142"/>
      <c r="X66" s="145"/>
      <c r="Y66" s="145"/>
      <c r="Z66" s="146"/>
      <c r="AA66" s="142"/>
      <c r="AB66" s="145"/>
      <c r="AC66" s="145"/>
      <c r="AD66"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6" s="142">
        <f>List[[#This Row],[Running Budget Total]]-List[[#This Row],[Cash Out Total]]</f>
        <v>5888.8</v>
      </c>
      <c r="AF66" s="148" t="str">
        <f>IF(AND(List[[#This Row],[Remaining]]=0,NOT(List[[#This Row],[Running Budget Total]]=0)),Status1,
IF(AND(List[[#This Row],[Remaining]]&lt;0,NOT(List[[#This Row],[Running Budget Total]]=0)),Status2,
IF(AND(List[[#This Row],[Remaining]]=0),Status3,
List[[#This Row],[Spent %]] &amp; Status4)))</f>
        <v>0% paid</v>
      </c>
      <c r="AG66" s="149">
        <f>IFERROR(ROUND(100*List[[#This Row],[Cash Out Total]]/List[[#This Row],[Running Budget Total]],0),0)</f>
        <v>0</v>
      </c>
    </row>
    <row r="67" spans="1:33" ht="40" customHeight="1" x14ac:dyDescent="0.2">
      <c r="A67" s="11" t="s">
        <v>14</v>
      </c>
      <c r="B67" s="22" t="s">
        <v>26</v>
      </c>
      <c r="C67" s="11" t="s">
        <v>21</v>
      </c>
      <c r="D67" s="22" t="s">
        <v>210</v>
      </c>
      <c r="E67" s="22"/>
      <c r="F67" s="21" t="s">
        <v>104</v>
      </c>
      <c r="G67" s="51" t="s">
        <v>47</v>
      </c>
      <c r="H67" s="37">
        <f>DisplayToUSD/(_xlfn.IFNA(INDEX('Quick Inputs- Constants'!$B$15:$C$18,MATCH(List[[#This Row],[Currency]],'Quick Inputs- Constants'!B$15:B$18,0),2),1))</f>
        <v>2.4330900243309003E-3</v>
      </c>
      <c r="I67" s="62">
        <v>1</v>
      </c>
      <c r="J67" s="52">
        <v>400000</v>
      </c>
      <c r="K67" s="53" t="s">
        <v>14</v>
      </c>
      <c r="L67" s="54">
        <f>List[[#This Row],[Exchange Rate]]*(1+IF(List[[#This Row],[Budget VAT]]="Yes",VATRate,0))*List[[#This Row],[Budget Quantity]]*List[[#This Row],[Budget Price]]</f>
        <v>973.23600973236012</v>
      </c>
      <c r="M67" s="63"/>
      <c r="N67" s="53"/>
      <c r="O67" s="53"/>
      <c r="P67" s="35">
        <f>IF(AND(ISBLANK(List[[#This Row],[Updated Quantity]]),ISBLANK(List[[#This Row],[Updated Price]]),ISBLANK(List[[#This Row],[Updated VAT]])),List[[#This Row],[Budget Total]],
List[[#This Row],[Exchange Rate]]*(1+IF(List[[#This Row],[Updated VAT]]="Yes",VATRate,0))*List[[#This Row],[Updated Quantity]]*List[[#This Row],[Updated Price]])</f>
        <v>973.23600973236012</v>
      </c>
      <c r="Q67" s="87">
        <f>100%</f>
        <v>1</v>
      </c>
      <c r="R67" s="61"/>
      <c r="S67" s="55"/>
      <c r="T67" s="53"/>
      <c r="U67" s="56"/>
      <c r="V67" s="64"/>
      <c r="W67" s="55"/>
      <c r="X67" s="56"/>
      <c r="Y67" s="56"/>
      <c r="Z67" s="64"/>
      <c r="AA67" s="55"/>
      <c r="AB67" s="56"/>
      <c r="AC67" s="56"/>
      <c r="AD6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7" s="35">
        <f>List[[#This Row],[Running Budget Total]]-List[[#This Row],[Cash Out Total]]</f>
        <v>973.23600973236012</v>
      </c>
      <c r="AF67" s="36" t="str">
        <f>IF(AND(List[[#This Row],[Remaining]]=0,NOT(List[[#This Row],[Running Budget Total]]=0)),Status1,
IF(AND(List[[#This Row],[Remaining]]&lt;0,NOT(List[[#This Row],[Running Budget Total]]=0)),Status2,
IF(AND(List[[#This Row],[Remaining]]=0),Status3,
List[[#This Row],[Spent %]] &amp; Status4)))</f>
        <v>0% paid</v>
      </c>
      <c r="AG67" s="57">
        <f>IFERROR(ROUND(100*List[[#This Row],[Cash Out Total]]/List[[#This Row],[Running Budget Total]],0),0)</f>
        <v>0</v>
      </c>
    </row>
    <row r="68" spans="1:33" ht="40" customHeight="1" x14ac:dyDescent="0.2">
      <c r="A68" s="11" t="s">
        <v>14</v>
      </c>
      <c r="B68" s="22" t="s">
        <v>26</v>
      </c>
      <c r="C68" s="11" t="s">
        <v>106</v>
      </c>
      <c r="D68" s="22" t="s">
        <v>581</v>
      </c>
      <c r="E68" s="22" t="s">
        <v>586</v>
      </c>
      <c r="F68" s="21"/>
      <c r="G68" s="51" t="s">
        <v>47</v>
      </c>
      <c r="H68" s="37">
        <f>DisplayToUSD/(_xlfn.IFNA(INDEX('Quick Inputs- Constants'!$B$15:$C$18,MATCH(List[[#This Row],[Currency]],'Quick Inputs- Constants'!B$15:B$18,0),2),1))</f>
        <v>2.4330900243309003E-3</v>
      </c>
      <c r="I68" s="62">
        <v>1</v>
      </c>
      <c r="J68" s="52">
        <v>150000</v>
      </c>
      <c r="K68" s="53" t="s">
        <v>14</v>
      </c>
      <c r="L68" s="54">
        <f>List[[#This Row],[Exchange Rate]]*(1+IF(List[[#This Row],[Budget VAT]]="Yes",VATRate,0))*List[[#This Row],[Budget Quantity]]*List[[#This Row],[Budget Price]]</f>
        <v>364.96350364963507</v>
      </c>
      <c r="M68" s="63"/>
      <c r="N68" s="53"/>
      <c r="O68" s="53"/>
      <c r="P68" s="35">
        <f>IF(AND(ISBLANK(List[[#This Row],[Updated Quantity]]),ISBLANK(List[[#This Row],[Updated Price]]),ISBLANK(List[[#This Row],[Updated VAT]])),List[[#This Row],[Budget Total]],
List[[#This Row],[Exchange Rate]]*(1+IF(List[[#This Row],[Updated VAT]]="Yes",VATRate,0))*List[[#This Row],[Updated Quantity]]*List[[#This Row],[Updated Price]])</f>
        <v>364.96350364963507</v>
      </c>
      <c r="Q68" s="87">
        <f>100%</f>
        <v>1</v>
      </c>
      <c r="R68" s="61"/>
      <c r="S68" s="55"/>
      <c r="T68" s="53"/>
      <c r="U68" s="56"/>
      <c r="V68" s="64"/>
      <c r="W68" s="55"/>
      <c r="X68" s="56"/>
      <c r="Y68" s="56"/>
      <c r="Z68" s="64"/>
      <c r="AA68" s="55"/>
      <c r="AB68" s="56"/>
      <c r="AC68" s="56"/>
      <c r="AD6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8" s="35">
        <f>List[[#This Row],[Running Budget Total]]-List[[#This Row],[Cash Out Total]]</f>
        <v>364.96350364963507</v>
      </c>
      <c r="AF68" s="36" t="str">
        <f>IF(AND(List[[#This Row],[Remaining]]=0,NOT(List[[#This Row],[Running Budget Total]]=0)),Status1,
IF(AND(List[[#This Row],[Remaining]]&lt;0,NOT(List[[#This Row],[Running Budget Total]]=0)),Status2,
IF(AND(List[[#This Row],[Remaining]]=0),Status3,
List[[#This Row],[Spent %]] &amp; Status4)))</f>
        <v>0% paid</v>
      </c>
      <c r="AG68" s="57">
        <f>IFERROR(ROUND(100*List[[#This Row],[Cash Out Total]]/List[[#This Row],[Running Budget Total]],0),0)</f>
        <v>0</v>
      </c>
    </row>
    <row r="69" spans="1:33" ht="40" customHeight="1" x14ac:dyDescent="0.2">
      <c r="A69" s="11" t="s">
        <v>14</v>
      </c>
      <c r="B69" s="22" t="s">
        <v>26</v>
      </c>
      <c r="C69" s="11" t="s">
        <v>106</v>
      </c>
      <c r="D69" s="22" t="s">
        <v>582</v>
      </c>
      <c r="E69" s="22" t="s">
        <v>587</v>
      </c>
      <c r="F69" s="21"/>
      <c r="G69" s="51" t="s">
        <v>47</v>
      </c>
      <c r="H69" s="37">
        <f>DisplayToUSD/(_xlfn.IFNA(INDEX('Quick Inputs- Constants'!$B$15:$C$18,MATCH(List[[#This Row],[Currency]],'Quick Inputs- Constants'!B$15:B$18,0),2),1))</f>
        <v>2.4330900243309003E-3</v>
      </c>
      <c r="I69" s="62">
        <v>1</v>
      </c>
      <c r="J69" s="52">
        <v>900500</v>
      </c>
      <c r="K69" s="53" t="s">
        <v>99</v>
      </c>
      <c r="L69" s="54">
        <f>List[[#This Row],[Exchange Rate]]*(1+IF(List[[#This Row],[Budget VAT]]="Yes",VATRate,0))*List[[#This Row],[Budget Quantity]]*List[[#This Row],[Budget Price]]</f>
        <v>2355.3223844282238</v>
      </c>
      <c r="M69" s="63"/>
      <c r="N69" s="53"/>
      <c r="O69" s="53"/>
      <c r="P69" s="35">
        <f>IF(AND(ISBLANK(List[[#This Row],[Updated Quantity]]),ISBLANK(List[[#This Row],[Updated Price]]),ISBLANK(List[[#This Row],[Updated VAT]])),List[[#This Row],[Budget Total]],
List[[#This Row],[Exchange Rate]]*(1+IF(List[[#This Row],[Updated VAT]]="Yes",VATRate,0))*List[[#This Row],[Updated Quantity]]*List[[#This Row],[Updated Price]])</f>
        <v>2355.3223844282238</v>
      </c>
      <c r="Q69" s="87">
        <f>100%</f>
        <v>1</v>
      </c>
      <c r="R69" s="61"/>
      <c r="S69" s="55"/>
      <c r="T69" s="53"/>
      <c r="U69" s="56"/>
      <c r="V69" s="64"/>
      <c r="W69" s="55"/>
      <c r="X69" s="56"/>
      <c r="Y69" s="56"/>
      <c r="Z69" s="64"/>
      <c r="AA69" s="55"/>
      <c r="AB69" s="56"/>
      <c r="AC69" s="56"/>
      <c r="AD6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9" s="35">
        <f>List[[#This Row],[Running Budget Total]]-List[[#This Row],[Cash Out Total]]</f>
        <v>2355.3223844282238</v>
      </c>
      <c r="AF69" s="36" t="str">
        <f>IF(AND(List[[#This Row],[Remaining]]=0,NOT(List[[#This Row],[Running Budget Total]]=0)),Status1,
IF(AND(List[[#This Row],[Remaining]]&lt;0,NOT(List[[#This Row],[Running Budget Total]]=0)),Status2,
IF(AND(List[[#This Row],[Remaining]]=0),Status3,
List[[#This Row],[Spent %]] &amp; Status4)))</f>
        <v>0% paid</v>
      </c>
      <c r="AG69" s="57">
        <f>IFERROR(ROUND(100*List[[#This Row],[Cash Out Total]]/List[[#This Row],[Running Budget Total]],0),0)</f>
        <v>0</v>
      </c>
    </row>
    <row r="70" spans="1:33" ht="40" customHeight="1" x14ac:dyDescent="0.2">
      <c r="A70" s="11" t="s">
        <v>14</v>
      </c>
      <c r="B70" s="22" t="s">
        <v>26</v>
      </c>
      <c r="C70" s="11" t="s">
        <v>106</v>
      </c>
      <c r="D70" s="22" t="s">
        <v>583</v>
      </c>
      <c r="E70" s="22" t="s">
        <v>586</v>
      </c>
      <c r="F70" s="21"/>
      <c r="G70" s="51" t="s">
        <v>47</v>
      </c>
      <c r="H70" s="37">
        <f>DisplayToUSD/(_xlfn.IFNA(INDEX('Quick Inputs- Constants'!$B$15:$C$18,MATCH(List[[#This Row],[Currency]],'Quick Inputs- Constants'!B$15:B$18,0),2),1))</f>
        <v>2.4330900243309003E-3</v>
      </c>
      <c r="I70" s="62">
        <v>1</v>
      </c>
      <c r="J70" s="52">
        <v>80000</v>
      </c>
      <c r="K70" s="53" t="s">
        <v>14</v>
      </c>
      <c r="L70" s="54">
        <f>List[[#This Row],[Exchange Rate]]*(1+IF(List[[#This Row],[Budget VAT]]="Yes",VATRate,0))*List[[#This Row],[Budget Quantity]]*List[[#This Row],[Budget Price]]</f>
        <v>194.64720194647202</v>
      </c>
      <c r="M70" s="63"/>
      <c r="N70" s="53"/>
      <c r="O70" s="53"/>
      <c r="P70" s="35">
        <f>IF(AND(ISBLANK(List[[#This Row],[Updated Quantity]]),ISBLANK(List[[#This Row],[Updated Price]]),ISBLANK(List[[#This Row],[Updated VAT]])),List[[#This Row],[Budget Total]],
List[[#This Row],[Exchange Rate]]*(1+IF(List[[#This Row],[Updated VAT]]="Yes",VATRate,0))*List[[#This Row],[Updated Quantity]]*List[[#This Row],[Updated Price]])</f>
        <v>194.64720194647202</v>
      </c>
      <c r="Q70" s="87">
        <f>100%</f>
        <v>1</v>
      </c>
      <c r="R70" s="61"/>
      <c r="S70" s="55"/>
      <c r="T70" s="53"/>
      <c r="U70" s="56"/>
      <c r="V70" s="64"/>
      <c r="W70" s="55"/>
      <c r="X70" s="56"/>
      <c r="Y70" s="56"/>
      <c r="Z70" s="64"/>
      <c r="AA70" s="55"/>
      <c r="AB70" s="56"/>
      <c r="AC70" s="56"/>
      <c r="AD7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0" s="35">
        <f>List[[#This Row],[Running Budget Total]]-List[[#This Row],[Cash Out Total]]</f>
        <v>194.64720194647202</v>
      </c>
      <c r="AF70" s="36" t="str">
        <f>IF(AND(List[[#This Row],[Remaining]]=0,NOT(List[[#This Row],[Running Budget Total]]=0)),Status1,
IF(AND(List[[#This Row],[Remaining]]&lt;0,NOT(List[[#This Row],[Running Budget Total]]=0)),Status2,
IF(AND(List[[#This Row],[Remaining]]=0),Status3,
List[[#This Row],[Spent %]] &amp; Status4)))</f>
        <v>0% paid</v>
      </c>
      <c r="AG70" s="57">
        <f>IFERROR(ROUND(100*List[[#This Row],[Cash Out Total]]/List[[#This Row],[Running Budget Total]],0),0)</f>
        <v>0</v>
      </c>
    </row>
    <row r="71" spans="1:33" ht="40" customHeight="1" x14ac:dyDescent="0.2">
      <c r="A71" s="11" t="s">
        <v>14</v>
      </c>
      <c r="B71" s="22" t="s">
        <v>26</v>
      </c>
      <c r="C71" s="11" t="s">
        <v>106</v>
      </c>
      <c r="D71" s="22" t="s">
        <v>584</v>
      </c>
      <c r="E71" s="22"/>
      <c r="F71" s="21"/>
      <c r="G71" s="51" t="s">
        <v>47</v>
      </c>
      <c r="H71" s="37">
        <f>DisplayToUSD/(_xlfn.IFNA(INDEX('Quick Inputs- Constants'!$B$15:$C$18,MATCH(List[[#This Row],[Currency]],'Quick Inputs- Constants'!B$15:B$18,0),2),1))</f>
        <v>2.4330900243309003E-3</v>
      </c>
      <c r="I71" s="62">
        <v>0</v>
      </c>
      <c r="J71" s="52">
        <v>0</v>
      </c>
      <c r="K71" s="53" t="s">
        <v>14</v>
      </c>
      <c r="L71" s="54">
        <f>List[[#This Row],[Exchange Rate]]*(1+IF(List[[#This Row],[Budget VAT]]="Yes",VATRate,0))*List[[#This Row],[Budget Quantity]]*List[[#This Row],[Budget Price]]</f>
        <v>0</v>
      </c>
      <c r="M71" s="63"/>
      <c r="N71" s="53"/>
      <c r="O71" s="53"/>
      <c r="P71" s="35">
        <f>IF(AND(ISBLANK(List[[#This Row],[Updated Quantity]]),ISBLANK(List[[#This Row],[Updated Price]]),ISBLANK(List[[#This Row],[Updated VAT]])),List[[#This Row],[Budget Total]],
List[[#This Row],[Exchange Rate]]*(1+IF(List[[#This Row],[Updated VAT]]="Yes",VATRate,0))*List[[#This Row],[Updated Quantity]]*List[[#This Row],[Updated Price]])</f>
        <v>0</v>
      </c>
      <c r="Q71" s="87">
        <f>100%</f>
        <v>1</v>
      </c>
      <c r="R71" s="61"/>
      <c r="S71" s="55"/>
      <c r="T71" s="53"/>
      <c r="U71" s="56"/>
      <c r="V71" s="64"/>
      <c r="W71" s="55"/>
      <c r="X71" s="56"/>
      <c r="Y71" s="56"/>
      <c r="Z71" s="64"/>
      <c r="AA71" s="55"/>
      <c r="AB71" s="56"/>
      <c r="AC71" s="56"/>
      <c r="AD7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1" s="35">
        <f>List[[#This Row],[Running Budget Total]]-List[[#This Row],[Cash Out Total]]</f>
        <v>0</v>
      </c>
      <c r="AF71" s="36" t="str">
        <f>IF(AND(List[[#This Row],[Remaining]]=0,NOT(List[[#This Row],[Running Budget Total]]=0)),Status1,
IF(AND(List[[#This Row],[Remaining]]&lt;0,NOT(List[[#This Row],[Running Budget Total]]=0)),Status2,
IF(AND(List[[#This Row],[Remaining]]=0),Status3,
List[[#This Row],[Spent %]] &amp; Status4)))</f>
        <v>Cancelled</v>
      </c>
      <c r="AG71" s="57">
        <f>IFERROR(ROUND(100*List[[#This Row],[Cash Out Total]]/List[[#This Row],[Running Budget Total]],0),0)</f>
        <v>0</v>
      </c>
    </row>
    <row r="72" spans="1:33" ht="40" customHeight="1" x14ac:dyDescent="0.2">
      <c r="A72" s="11" t="s">
        <v>14</v>
      </c>
      <c r="B72" s="22" t="s">
        <v>26</v>
      </c>
      <c r="C72" s="11" t="s">
        <v>106</v>
      </c>
      <c r="D72" s="22" t="s">
        <v>585</v>
      </c>
      <c r="E72" s="22" t="s">
        <v>588</v>
      </c>
      <c r="F72" s="21"/>
      <c r="G72" s="51" t="s">
        <v>47</v>
      </c>
      <c r="H72" s="37">
        <f>DisplayToUSD/(_xlfn.IFNA(INDEX('Quick Inputs- Constants'!$B$15:$C$18,MATCH(List[[#This Row],[Currency]],'Quick Inputs- Constants'!B$15:B$18,0),2),1))</f>
        <v>2.4330900243309003E-3</v>
      </c>
      <c r="I72" s="62">
        <v>1</v>
      </c>
      <c r="J72" s="52">
        <v>80000</v>
      </c>
      <c r="K72" s="53" t="s">
        <v>14</v>
      </c>
      <c r="L72" s="54">
        <f>List[[#This Row],[Exchange Rate]]*(1+IF(List[[#This Row],[Budget VAT]]="Yes",VATRate,0))*List[[#This Row],[Budget Quantity]]*List[[#This Row],[Budget Price]]</f>
        <v>194.64720194647202</v>
      </c>
      <c r="M72" s="63"/>
      <c r="N72" s="53"/>
      <c r="O72" s="53"/>
      <c r="P72" s="35">
        <f>IF(AND(ISBLANK(List[[#This Row],[Updated Quantity]]),ISBLANK(List[[#This Row],[Updated Price]]),ISBLANK(List[[#This Row],[Updated VAT]])),List[[#This Row],[Budget Total]],
List[[#This Row],[Exchange Rate]]*(1+IF(List[[#This Row],[Updated VAT]]="Yes",VATRate,0))*List[[#This Row],[Updated Quantity]]*List[[#This Row],[Updated Price]])</f>
        <v>194.64720194647202</v>
      </c>
      <c r="Q72" s="87">
        <f>100%</f>
        <v>1</v>
      </c>
      <c r="R72" s="61"/>
      <c r="S72" s="55"/>
      <c r="T72" s="53"/>
      <c r="U72" s="56"/>
      <c r="V72" s="64"/>
      <c r="W72" s="55"/>
      <c r="X72" s="56"/>
      <c r="Y72" s="56"/>
      <c r="Z72" s="64"/>
      <c r="AA72" s="55"/>
      <c r="AB72" s="56"/>
      <c r="AC72" s="56"/>
      <c r="AD7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2" s="35">
        <f>List[[#This Row],[Running Budget Total]]-List[[#This Row],[Cash Out Total]]</f>
        <v>194.64720194647202</v>
      </c>
      <c r="AF72" s="36" t="str">
        <f>IF(AND(List[[#This Row],[Remaining]]=0,NOT(List[[#This Row],[Running Budget Total]]=0)),Status1,
IF(AND(List[[#This Row],[Remaining]]&lt;0,NOT(List[[#This Row],[Running Budget Total]]=0)),Status2,
IF(AND(List[[#This Row],[Remaining]]=0),Status3,
List[[#This Row],[Spent %]] &amp; Status4)))</f>
        <v>0% paid</v>
      </c>
      <c r="AG72" s="57">
        <f>IFERROR(ROUND(100*List[[#This Row],[Cash Out Total]]/List[[#This Row],[Running Budget Total]],0),0)</f>
        <v>0</v>
      </c>
    </row>
    <row r="73" spans="1:33" ht="40" customHeight="1" x14ac:dyDescent="0.2">
      <c r="A73" s="11" t="s">
        <v>14</v>
      </c>
      <c r="B73" s="22" t="s">
        <v>27</v>
      </c>
      <c r="C73" s="11" t="s">
        <v>21</v>
      </c>
      <c r="D73" s="22" t="s">
        <v>21</v>
      </c>
      <c r="E73" s="22"/>
      <c r="F73" s="21" t="s">
        <v>237</v>
      </c>
      <c r="G73" s="51" t="s">
        <v>47</v>
      </c>
      <c r="H73" s="37">
        <f>DisplayToUSD/(_xlfn.IFNA(INDEX('Quick Inputs- Constants'!$B$15:$C$18,MATCH(List[[#This Row],[Currency]],'Quick Inputs- Constants'!B$15:B$18,0),2),1))</f>
        <v>2.4330900243309003E-3</v>
      </c>
      <c r="I73" s="62">
        <v>1</v>
      </c>
      <c r="J73" s="52">
        <v>75000</v>
      </c>
      <c r="K73" s="53" t="s">
        <v>14</v>
      </c>
      <c r="L73" s="54">
        <f>List[[#This Row],[Exchange Rate]]*(1+IF(List[[#This Row],[Budget VAT]]="Yes",VATRate,0))*List[[#This Row],[Budget Quantity]]*List[[#This Row],[Budget Price]]</f>
        <v>182.48175182481754</v>
      </c>
      <c r="M73" s="63"/>
      <c r="N73" s="53"/>
      <c r="O73" s="53"/>
      <c r="P73" s="35">
        <f>IF(AND(ISBLANK(List[[#This Row],[Updated Quantity]]),ISBLANK(List[[#This Row],[Updated Price]]),ISBLANK(List[[#This Row],[Updated VAT]])),List[[#This Row],[Budget Total]],
List[[#This Row],[Exchange Rate]]*(1+IF(List[[#This Row],[Updated VAT]]="Yes",VATRate,0))*List[[#This Row],[Updated Quantity]]*List[[#This Row],[Updated Price]])</f>
        <v>182.48175182481754</v>
      </c>
      <c r="Q73" s="87">
        <f>100%</f>
        <v>1</v>
      </c>
      <c r="R73" s="61"/>
      <c r="S73" s="55"/>
      <c r="T73" s="53"/>
      <c r="U73" s="56"/>
      <c r="V73" s="64"/>
      <c r="W73" s="55"/>
      <c r="X73" s="56"/>
      <c r="Y73" s="56"/>
      <c r="Z73" s="64"/>
      <c r="AA73" s="55"/>
      <c r="AB73" s="56"/>
      <c r="AC73" s="56"/>
      <c r="AD7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3" s="35">
        <f>List[[#This Row],[Running Budget Total]]-List[[#This Row],[Cash Out Total]]</f>
        <v>182.48175182481754</v>
      </c>
      <c r="AF73" s="36" t="str">
        <f>IF(AND(List[[#This Row],[Remaining]]=0,NOT(List[[#This Row],[Running Budget Total]]=0)),Status1,
IF(AND(List[[#This Row],[Remaining]]&lt;0,NOT(List[[#This Row],[Running Budget Total]]=0)),Status2,
IF(AND(List[[#This Row],[Remaining]]=0),Status3,
List[[#This Row],[Spent %]] &amp; Status4)))</f>
        <v>0% paid</v>
      </c>
      <c r="AG73" s="57">
        <f>IFERROR(ROUND(100*List[[#This Row],[Cash Out Total]]/List[[#This Row],[Running Budget Total]],0),0)</f>
        <v>0</v>
      </c>
    </row>
    <row r="74" spans="1:33" ht="40" customHeight="1" x14ac:dyDescent="0.2">
      <c r="A74" s="11" t="s">
        <v>14</v>
      </c>
      <c r="B74" s="22" t="s">
        <v>27</v>
      </c>
      <c r="C74" s="11" t="s">
        <v>19</v>
      </c>
      <c r="D74" s="22" t="s">
        <v>82</v>
      </c>
      <c r="E74" s="22"/>
      <c r="F74" s="21"/>
      <c r="G74" s="51" t="s">
        <v>47</v>
      </c>
      <c r="H74" s="37">
        <f>DisplayToUSD/(_xlfn.IFNA(INDEX('Quick Inputs- Constants'!$B$15:$C$18,MATCH(List[[#This Row],[Currency]],'Quick Inputs- Constants'!B$15:B$18,0),2),1))</f>
        <v>2.4330900243309003E-3</v>
      </c>
      <c r="I74" s="62">
        <v>2</v>
      </c>
      <c r="J74" s="52">
        <v>14000</v>
      </c>
      <c r="K74" s="53" t="s">
        <v>14</v>
      </c>
      <c r="L74" s="54">
        <f>List[[#This Row],[Exchange Rate]]*(1+IF(List[[#This Row],[Budget VAT]]="Yes",VATRate,0))*List[[#This Row],[Budget Quantity]]*List[[#This Row],[Budget Price]]</f>
        <v>68.126520681265205</v>
      </c>
      <c r="M74" s="63"/>
      <c r="N74" s="53"/>
      <c r="O74" s="53"/>
      <c r="P74" s="35">
        <f>IF(AND(ISBLANK(List[[#This Row],[Updated Quantity]]),ISBLANK(List[[#This Row],[Updated Price]]),ISBLANK(List[[#This Row],[Updated VAT]])),List[[#This Row],[Budget Total]],
List[[#This Row],[Exchange Rate]]*(1+IF(List[[#This Row],[Updated VAT]]="Yes",VATRate,0))*List[[#This Row],[Updated Quantity]]*List[[#This Row],[Updated Price]])</f>
        <v>68.126520681265205</v>
      </c>
      <c r="Q74" s="87">
        <f>100%</f>
        <v>1</v>
      </c>
      <c r="R74" s="61"/>
      <c r="S74" s="55"/>
      <c r="T74" s="53"/>
      <c r="U74" s="56"/>
      <c r="V74" s="64"/>
      <c r="W74" s="55"/>
      <c r="X74" s="56"/>
      <c r="Y74" s="56"/>
      <c r="Z74" s="64"/>
      <c r="AA74" s="55"/>
      <c r="AB74" s="56"/>
      <c r="AC74" s="56"/>
      <c r="AD7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4" s="35">
        <f>List[[#This Row],[Running Budget Total]]-List[[#This Row],[Cash Out Total]]</f>
        <v>68.126520681265205</v>
      </c>
      <c r="AF74" s="36" t="str">
        <f>IF(AND(List[[#This Row],[Remaining]]=0,NOT(List[[#This Row],[Running Budget Total]]=0)),Status1,
IF(AND(List[[#This Row],[Remaining]]&lt;0,NOT(List[[#This Row],[Running Budget Total]]=0)),Status2,
IF(AND(List[[#This Row],[Remaining]]=0),Status3,
List[[#This Row],[Spent %]] &amp; Status4)))</f>
        <v>0% paid</v>
      </c>
      <c r="AG74" s="57">
        <f>IFERROR(ROUND(100*List[[#This Row],[Cash Out Total]]/List[[#This Row],[Running Budget Total]],0),0)</f>
        <v>0</v>
      </c>
    </row>
    <row r="75" spans="1:33" ht="40" customHeight="1" x14ac:dyDescent="0.2">
      <c r="A75" s="11" t="s">
        <v>14</v>
      </c>
      <c r="B75" s="74" t="s">
        <v>27</v>
      </c>
      <c r="C75" s="11" t="s">
        <v>19</v>
      </c>
      <c r="D75" s="58" t="s">
        <v>376</v>
      </c>
      <c r="E75" s="22"/>
      <c r="F75" s="21"/>
      <c r="G75" s="51" t="s">
        <v>47</v>
      </c>
      <c r="H75" s="37">
        <f>DisplayToUSD/(_xlfn.IFNA(INDEX('Quick Inputs- Constants'!$B$15:$C$18,MATCH(List[[#This Row],[Currency]],'Quick Inputs- Constants'!B$15:B$18,0),2),1))</f>
        <v>2.4330900243309003E-3</v>
      </c>
      <c r="I75" s="62">
        <v>1</v>
      </c>
      <c r="J75" s="52">
        <v>17500</v>
      </c>
      <c r="K75" s="53" t="s">
        <v>14</v>
      </c>
      <c r="L75" s="54">
        <f>List[[#This Row],[Exchange Rate]]*(1+IF(List[[#This Row],[Budget VAT]]="Yes",VATRate,0))*List[[#This Row],[Budget Quantity]]*List[[#This Row],[Budget Price]]</f>
        <v>42.579075425790755</v>
      </c>
      <c r="M75" s="63"/>
      <c r="N75" s="53"/>
      <c r="O75" s="53"/>
      <c r="P75" s="35">
        <f>IF(AND(ISBLANK(List[[#This Row],[Updated Quantity]]),ISBLANK(List[[#This Row],[Updated Price]]),ISBLANK(List[[#This Row],[Updated VAT]])),List[[#This Row],[Budget Total]],
List[[#This Row],[Exchange Rate]]*(1+IF(List[[#This Row],[Updated VAT]]="Yes",VATRate,0))*List[[#This Row],[Updated Quantity]]*List[[#This Row],[Updated Price]])</f>
        <v>42.579075425790755</v>
      </c>
      <c r="Q75" s="87">
        <f>100%</f>
        <v>1</v>
      </c>
      <c r="R75" s="61"/>
      <c r="S75" s="55"/>
      <c r="T75" s="53"/>
      <c r="U75" s="56"/>
      <c r="V75" s="64"/>
      <c r="W75" s="55"/>
      <c r="X75" s="56"/>
      <c r="Y75" s="56"/>
      <c r="Z75" s="64"/>
      <c r="AA75" s="55"/>
      <c r="AB75" s="56"/>
      <c r="AC75" s="56"/>
      <c r="AD7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5" s="35">
        <f>List[[#This Row],[Running Budget Total]]-List[[#This Row],[Cash Out Total]]</f>
        <v>42.579075425790755</v>
      </c>
      <c r="AF75" s="36" t="str">
        <f>IF(AND(List[[#This Row],[Remaining]]=0,NOT(List[[#This Row],[Running Budget Total]]=0)),Status1,
IF(AND(List[[#This Row],[Remaining]]&lt;0,NOT(List[[#This Row],[Running Budget Total]]=0)),Status2,
IF(AND(List[[#This Row],[Remaining]]=0),Status3,
List[[#This Row],[Spent %]] &amp; Status4)))</f>
        <v>0% paid</v>
      </c>
      <c r="AG75" s="57">
        <f>IFERROR(ROUND(100*List[[#This Row],[Cash Out Total]]/List[[#This Row],[Running Budget Total]],0),0)</f>
        <v>0</v>
      </c>
    </row>
    <row r="76" spans="1:33" ht="40" customHeight="1" x14ac:dyDescent="0.2">
      <c r="A76" s="11" t="s">
        <v>14</v>
      </c>
      <c r="B76" s="22" t="s">
        <v>27</v>
      </c>
      <c r="C76" s="11" t="s">
        <v>19</v>
      </c>
      <c r="D76" s="58" t="s">
        <v>377</v>
      </c>
      <c r="E76" s="22"/>
      <c r="F76" s="21"/>
      <c r="G76" s="51" t="s">
        <v>47</v>
      </c>
      <c r="H76" s="37">
        <f>DisplayToUSD/(_xlfn.IFNA(INDEX('Quick Inputs- Constants'!$B$15:$C$18,MATCH(List[[#This Row],[Currency]],'Quick Inputs- Constants'!B$15:B$18,0),2),1))</f>
        <v>2.4330900243309003E-3</v>
      </c>
      <c r="I76" s="62">
        <v>1</v>
      </c>
      <c r="J76" s="52">
        <v>17500</v>
      </c>
      <c r="K76" s="53" t="s">
        <v>14</v>
      </c>
      <c r="L76" s="54">
        <f>List[[#This Row],[Exchange Rate]]*(1+IF(List[[#This Row],[Budget VAT]]="Yes",VATRate,0))*List[[#This Row],[Budget Quantity]]*List[[#This Row],[Budget Price]]</f>
        <v>42.579075425790755</v>
      </c>
      <c r="M76" s="63"/>
      <c r="N76" s="53"/>
      <c r="O76" s="53"/>
      <c r="P76" s="35">
        <f>IF(AND(ISBLANK(List[[#This Row],[Updated Quantity]]),ISBLANK(List[[#This Row],[Updated Price]]),ISBLANK(List[[#This Row],[Updated VAT]])),List[[#This Row],[Budget Total]],
List[[#This Row],[Exchange Rate]]*(1+IF(List[[#This Row],[Updated VAT]]="Yes",VATRate,0))*List[[#This Row],[Updated Quantity]]*List[[#This Row],[Updated Price]])</f>
        <v>42.579075425790755</v>
      </c>
      <c r="Q76" s="87">
        <f>100%</f>
        <v>1</v>
      </c>
      <c r="R76" s="61"/>
      <c r="S76" s="55"/>
      <c r="T76" s="53"/>
      <c r="U76" s="56"/>
      <c r="V76" s="64"/>
      <c r="W76" s="55"/>
      <c r="X76" s="56"/>
      <c r="Y76" s="56"/>
      <c r="Z76" s="64"/>
      <c r="AA76" s="55"/>
      <c r="AB76" s="56"/>
      <c r="AC76" s="56"/>
      <c r="AD7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6" s="35">
        <f>List[[#This Row],[Running Budget Total]]-List[[#This Row],[Cash Out Total]]</f>
        <v>42.579075425790755</v>
      </c>
      <c r="AF76" s="36" t="str">
        <f>IF(AND(List[[#This Row],[Remaining]]=0,NOT(List[[#This Row],[Running Budget Total]]=0)),Status1,
IF(AND(List[[#This Row],[Remaining]]&lt;0,NOT(List[[#This Row],[Running Budget Total]]=0)),Status2,
IF(AND(List[[#This Row],[Remaining]]=0),Status3,
List[[#This Row],[Spent %]] &amp; Status4)))</f>
        <v>0% paid</v>
      </c>
      <c r="AG76" s="57">
        <f>IFERROR(ROUND(100*List[[#This Row],[Cash Out Total]]/List[[#This Row],[Running Budget Total]],0),0)</f>
        <v>0</v>
      </c>
    </row>
    <row r="77" spans="1:33" ht="40" customHeight="1" x14ac:dyDescent="0.2">
      <c r="A77" s="11" t="s">
        <v>14</v>
      </c>
      <c r="B77" s="22" t="s">
        <v>27</v>
      </c>
      <c r="C77" s="11" t="s">
        <v>107</v>
      </c>
      <c r="D77" s="58" t="s">
        <v>352</v>
      </c>
      <c r="E77" s="22"/>
      <c r="F77" s="21" t="s">
        <v>353</v>
      </c>
      <c r="G77" s="51" t="s">
        <v>47</v>
      </c>
      <c r="H77" s="37">
        <f>DisplayToUSD/(_xlfn.IFNA(INDEX('Quick Inputs- Constants'!$B$15:$C$18,MATCH(List[[#This Row],[Currency]],'Quick Inputs- Constants'!B$15:B$18,0),2),1))</f>
        <v>2.4330900243309003E-3</v>
      </c>
      <c r="I77" s="62">
        <v>1</v>
      </c>
      <c r="J77" s="52">
        <v>17500</v>
      </c>
      <c r="K77" s="53" t="s">
        <v>99</v>
      </c>
      <c r="L77" s="54">
        <f>List[[#This Row],[Exchange Rate]]*(1+IF(List[[#This Row],[Budget VAT]]="Yes",VATRate,0))*List[[#This Row],[Budget Quantity]]*List[[#This Row],[Budget Price]]</f>
        <v>45.772506082725059</v>
      </c>
      <c r="M77" s="63"/>
      <c r="N77" s="53"/>
      <c r="O77" s="53"/>
      <c r="P77" s="35">
        <f>IF(AND(ISBLANK(List[[#This Row],[Updated Quantity]]),ISBLANK(List[[#This Row],[Updated Price]]),ISBLANK(List[[#This Row],[Updated VAT]])),List[[#This Row],[Budget Total]],
List[[#This Row],[Exchange Rate]]*(1+IF(List[[#This Row],[Updated VAT]]="Yes",VATRate,0))*List[[#This Row],[Updated Quantity]]*List[[#This Row],[Updated Price]])</f>
        <v>45.772506082725059</v>
      </c>
      <c r="Q77" s="87">
        <f>100%</f>
        <v>1</v>
      </c>
      <c r="R77" s="61"/>
      <c r="S77" s="55"/>
      <c r="T77" s="53"/>
      <c r="U77" s="56"/>
      <c r="V77" s="64"/>
      <c r="W77" s="55"/>
      <c r="X77" s="56"/>
      <c r="Y77" s="56"/>
      <c r="Z77" s="64"/>
      <c r="AA77" s="55"/>
      <c r="AB77" s="56"/>
      <c r="AC77" s="56"/>
      <c r="AD7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7" s="35">
        <f>List[[#This Row],[Running Budget Total]]-List[[#This Row],[Cash Out Total]]</f>
        <v>45.772506082725059</v>
      </c>
      <c r="AF77" s="36" t="str">
        <f>IF(AND(List[[#This Row],[Remaining]]=0,NOT(List[[#This Row],[Running Budget Total]]=0)),Status1,
IF(AND(List[[#This Row],[Remaining]]&lt;0,NOT(List[[#This Row],[Running Budget Total]]=0)),Status2,
IF(AND(List[[#This Row],[Remaining]]=0),Status3,
List[[#This Row],[Spent %]] &amp; Status4)))</f>
        <v>0% paid</v>
      </c>
      <c r="AG77" s="57">
        <f>IFERROR(ROUND(100*List[[#This Row],[Cash Out Total]]/List[[#This Row],[Running Budget Total]],0),0)</f>
        <v>0</v>
      </c>
    </row>
    <row r="78" spans="1:33" ht="40" customHeight="1" x14ac:dyDescent="0.2">
      <c r="A78" s="11" t="s">
        <v>14</v>
      </c>
      <c r="B78" s="22" t="s">
        <v>27</v>
      </c>
      <c r="C78" s="11" t="s">
        <v>107</v>
      </c>
      <c r="D78" s="58" t="s">
        <v>229</v>
      </c>
      <c r="E78" s="22"/>
      <c r="F78" s="21"/>
      <c r="G78" s="51" t="s">
        <v>47</v>
      </c>
      <c r="H78" s="37">
        <f>DisplayToUSD/(_xlfn.IFNA(INDEX('Quick Inputs- Constants'!$B$15:$C$18,MATCH(List[[#This Row],[Currency]],'Quick Inputs- Constants'!B$15:B$18,0),2),1))</f>
        <v>2.4330900243309003E-3</v>
      </c>
      <c r="I78" s="62">
        <v>1</v>
      </c>
      <c r="J78" s="52">
        <v>14000</v>
      </c>
      <c r="K78" s="53" t="s">
        <v>99</v>
      </c>
      <c r="L78" s="54">
        <f>List[[#This Row],[Exchange Rate]]*(1+IF(List[[#This Row],[Budget VAT]]="Yes",VATRate,0))*List[[#This Row],[Budget Quantity]]*List[[#This Row],[Budget Price]]</f>
        <v>36.618004866180044</v>
      </c>
      <c r="M78" s="63"/>
      <c r="N78" s="53"/>
      <c r="O78" s="53"/>
      <c r="P78" s="35">
        <f>IF(AND(ISBLANK(List[[#This Row],[Updated Quantity]]),ISBLANK(List[[#This Row],[Updated Price]]),ISBLANK(List[[#This Row],[Updated VAT]])),List[[#This Row],[Budget Total]],
List[[#This Row],[Exchange Rate]]*(1+IF(List[[#This Row],[Updated VAT]]="Yes",VATRate,0))*List[[#This Row],[Updated Quantity]]*List[[#This Row],[Updated Price]])</f>
        <v>36.618004866180044</v>
      </c>
      <c r="Q78" s="87">
        <f>100%</f>
        <v>1</v>
      </c>
      <c r="R78" s="61"/>
      <c r="S78" s="55"/>
      <c r="T78" s="53"/>
      <c r="U78" s="56"/>
      <c r="V78" s="64"/>
      <c r="W78" s="55"/>
      <c r="X78" s="56"/>
      <c r="Y78" s="56"/>
      <c r="Z78" s="64"/>
      <c r="AA78" s="55"/>
      <c r="AB78" s="56"/>
      <c r="AC78" s="56"/>
      <c r="AD7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8" s="35">
        <f>List[[#This Row],[Running Budget Total]]-List[[#This Row],[Cash Out Total]]</f>
        <v>36.618004866180044</v>
      </c>
      <c r="AF78" s="36" t="str">
        <f>IF(AND(List[[#This Row],[Remaining]]=0,NOT(List[[#This Row],[Running Budget Total]]=0)),Status1,
IF(AND(List[[#This Row],[Remaining]]&lt;0,NOT(List[[#This Row],[Running Budget Total]]=0)),Status2,
IF(AND(List[[#This Row],[Remaining]]=0),Status3,
List[[#This Row],[Spent %]] &amp; Status4)))</f>
        <v>0% paid</v>
      </c>
      <c r="AG78" s="57">
        <f>IFERROR(ROUND(100*List[[#This Row],[Cash Out Total]]/List[[#This Row],[Running Budget Total]],0),0)</f>
        <v>0</v>
      </c>
    </row>
    <row r="79" spans="1:33" ht="40" customHeight="1" x14ac:dyDescent="0.2">
      <c r="A79" s="73" t="s">
        <v>209</v>
      </c>
      <c r="B79" s="74" t="s">
        <v>27</v>
      </c>
      <c r="C79" s="73" t="s">
        <v>107</v>
      </c>
      <c r="D79" s="74" t="s">
        <v>318</v>
      </c>
      <c r="E79" s="74"/>
      <c r="F79" s="76" t="s">
        <v>350</v>
      </c>
      <c r="G79" s="75" t="s">
        <v>47</v>
      </c>
      <c r="H79" s="77">
        <f>DisplayToUSD/(_xlfn.IFNA(INDEX('Quick Inputs- Constants'!$B$15:$C$18,MATCH(List[[#This Row],[Currency]],'Quick Inputs- Constants'!B$15:B$18,0),2),1))</f>
        <v>2.4330900243309003E-3</v>
      </c>
      <c r="I79" s="62">
        <f>0*BatteryCount</f>
        <v>0</v>
      </c>
      <c r="J79" s="78">
        <v>0</v>
      </c>
      <c r="K79" s="79" t="s">
        <v>99</v>
      </c>
      <c r="L79" s="80">
        <f>List[[#This Row],[Exchange Rate]]*(1+IF(List[[#This Row],[Budget VAT]]="Yes",VATRate,0))*List[[#This Row],[Budget Quantity]]*List[[#This Row],[Budget Price]]</f>
        <v>0</v>
      </c>
      <c r="M79" s="63"/>
      <c r="N79" s="79"/>
      <c r="O79" s="79"/>
      <c r="P79" s="35">
        <f>IF(AND(ISBLANK(List[[#This Row],[Updated Quantity]]),ISBLANK(List[[#This Row],[Updated Price]]),ISBLANK(List[[#This Row],[Updated VAT]])),List[[#This Row],[Budget Total]],
List[[#This Row],[Exchange Rate]]*(1+IF(List[[#This Row],[Updated VAT]]="Yes",VATRate,0))*List[[#This Row],[Updated Quantity]]*List[[#This Row],[Updated Price]])</f>
        <v>0</v>
      </c>
      <c r="Q79" s="87">
        <f>100%</f>
        <v>1</v>
      </c>
      <c r="R79" s="82"/>
      <c r="S79" s="83"/>
      <c r="T79" s="79"/>
      <c r="U79" s="84"/>
      <c r="V79" s="64"/>
      <c r="W79" s="83"/>
      <c r="X79" s="84"/>
      <c r="Y79" s="84"/>
      <c r="Z79" s="64"/>
      <c r="AA79" s="83"/>
      <c r="AB79" s="84"/>
      <c r="AC79" s="84"/>
      <c r="AD7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9" s="81">
        <f>List[[#This Row],[Running Budget Total]]-List[[#This Row],[Cash Out Total]]</f>
        <v>0</v>
      </c>
      <c r="AF79" s="85" t="str">
        <f>IF(AND(List[[#This Row],[Remaining]]=0,NOT(List[[#This Row],[Running Budget Total]]=0)),Status1,
IF(AND(List[[#This Row],[Remaining]]&lt;0,NOT(List[[#This Row],[Running Budget Total]]=0)),Status2,
IF(AND(List[[#This Row],[Remaining]]=0),Status3,
List[[#This Row],[Spent %]] &amp; Status4)))</f>
        <v>Cancelled</v>
      </c>
      <c r="AG79" s="86">
        <f>IFERROR(ROUND(100*List[[#This Row],[Cash Out Total]]/List[[#This Row],[Running Budget Total]],0),0)</f>
        <v>0</v>
      </c>
    </row>
    <row r="80" spans="1:33" ht="40" customHeight="1" x14ac:dyDescent="0.2">
      <c r="A80" s="73" t="s">
        <v>209</v>
      </c>
      <c r="B80" s="74" t="s">
        <v>27</v>
      </c>
      <c r="C80" s="73" t="s">
        <v>107</v>
      </c>
      <c r="D80" s="74" t="s">
        <v>319</v>
      </c>
      <c r="E80" s="74"/>
      <c r="F80" s="76"/>
      <c r="G80" s="75" t="s">
        <v>47</v>
      </c>
      <c r="H80" s="77">
        <f>DisplayToUSD/(_xlfn.IFNA(INDEX('Quick Inputs- Constants'!$B$15:$C$18,MATCH(List[[#This Row],[Currency]],'Quick Inputs- Constants'!B$15:B$18,0),2),1))</f>
        <v>2.4330900243309003E-3</v>
      </c>
      <c r="I80" s="62">
        <f>1*BatteryInverterCount</f>
        <v>1</v>
      </c>
      <c r="J80" s="78">
        <v>2000</v>
      </c>
      <c r="K80" s="79" t="s">
        <v>99</v>
      </c>
      <c r="L80" s="80">
        <f>List[[#This Row],[Exchange Rate]]*(1+IF(List[[#This Row],[Budget VAT]]="Yes",VATRate,0))*List[[#This Row],[Budget Quantity]]*List[[#This Row],[Budget Price]]</f>
        <v>5.2311435523114351</v>
      </c>
      <c r="M80" s="63"/>
      <c r="N80" s="79"/>
      <c r="O80" s="79"/>
      <c r="P80" s="35">
        <f>IF(AND(ISBLANK(List[[#This Row],[Updated Quantity]]),ISBLANK(List[[#This Row],[Updated Price]]),ISBLANK(List[[#This Row],[Updated VAT]])),List[[#This Row],[Budget Total]],
List[[#This Row],[Exchange Rate]]*(1+IF(List[[#This Row],[Updated VAT]]="Yes",VATRate,0))*List[[#This Row],[Updated Quantity]]*List[[#This Row],[Updated Price]])</f>
        <v>5.2311435523114351</v>
      </c>
      <c r="Q80" s="87">
        <f>100%</f>
        <v>1</v>
      </c>
      <c r="R80" s="82"/>
      <c r="S80" s="83"/>
      <c r="T80" s="79"/>
      <c r="U80" s="84"/>
      <c r="V80" s="64"/>
      <c r="W80" s="83"/>
      <c r="X80" s="84"/>
      <c r="Y80" s="84"/>
      <c r="Z80" s="64"/>
      <c r="AA80" s="83"/>
      <c r="AB80" s="84"/>
      <c r="AC80" s="84"/>
      <c r="AD8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0" s="81">
        <f>List[[#This Row],[Running Budget Total]]-List[[#This Row],[Cash Out Total]]</f>
        <v>5.2311435523114351</v>
      </c>
      <c r="AF80" s="85" t="str">
        <f>IF(AND(List[[#This Row],[Remaining]]=0,NOT(List[[#This Row],[Running Budget Total]]=0)),Status1,
IF(AND(List[[#This Row],[Remaining]]&lt;0,NOT(List[[#This Row],[Running Budget Total]]=0)),Status2,
IF(AND(List[[#This Row],[Remaining]]=0),Status3,
List[[#This Row],[Spent %]] &amp; Status4)))</f>
        <v>0% paid</v>
      </c>
      <c r="AG80" s="86">
        <f>IFERROR(ROUND(100*List[[#This Row],[Cash Out Total]]/List[[#This Row],[Running Budget Total]],0),0)</f>
        <v>0</v>
      </c>
    </row>
    <row r="81" spans="1:33" ht="40" customHeight="1" x14ac:dyDescent="0.2">
      <c r="A81" s="73" t="s">
        <v>209</v>
      </c>
      <c r="B81" s="74" t="s">
        <v>27</v>
      </c>
      <c r="C81" s="73" t="s">
        <v>107</v>
      </c>
      <c r="D81" s="74" t="s">
        <v>320</v>
      </c>
      <c r="E81" s="74"/>
      <c r="F81" s="76"/>
      <c r="G81" s="75" t="s">
        <v>47</v>
      </c>
      <c r="H81" s="77">
        <f>DisplayToUSD/(_xlfn.IFNA(INDEX('Quick Inputs- Constants'!$B$15:$C$18,MATCH(List[[#This Row],[Currency]],'Quick Inputs- Constants'!B$15:B$18,0),2),1))</f>
        <v>2.4330900243309003E-3</v>
      </c>
      <c r="I81" s="62">
        <f>3*BatteryInverterCount</f>
        <v>3</v>
      </c>
      <c r="J81" s="78">
        <v>2000</v>
      </c>
      <c r="K81" s="79" t="s">
        <v>99</v>
      </c>
      <c r="L81" s="80">
        <f>List[[#This Row],[Exchange Rate]]*(1+IF(List[[#This Row],[Budget VAT]]="Yes",VATRate,0))*List[[#This Row],[Budget Quantity]]*List[[#This Row],[Budget Price]]</f>
        <v>15.693430656934307</v>
      </c>
      <c r="M81" s="63"/>
      <c r="N81" s="79"/>
      <c r="O81" s="79"/>
      <c r="P81" s="35">
        <f>IF(AND(ISBLANK(List[[#This Row],[Updated Quantity]]),ISBLANK(List[[#This Row],[Updated Price]]),ISBLANK(List[[#This Row],[Updated VAT]])),List[[#This Row],[Budget Total]],
List[[#This Row],[Exchange Rate]]*(1+IF(List[[#This Row],[Updated VAT]]="Yes",VATRate,0))*List[[#This Row],[Updated Quantity]]*List[[#This Row],[Updated Price]])</f>
        <v>15.693430656934307</v>
      </c>
      <c r="Q81" s="87">
        <f>100%</f>
        <v>1</v>
      </c>
      <c r="R81" s="82"/>
      <c r="S81" s="83"/>
      <c r="T81" s="79"/>
      <c r="U81" s="84"/>
      <c r="V81" s="64"/>
      <c r="W81" s="83"/>
      <c r="X81" s="84"/>
      <c r="Y81" s="84"/>
      <c r="Z81" s="64"/>
      <c r="AA81" s="83"/>
      <c r="AB81" s="84"/>
      <c r="AC81" s="84"/>
      <c r="AD8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1" s="81">
        <f>List[[#This Row],[Running Budget Total]]-List[[#This Row],[Cash Out Total]]</f>
        <v>15.693430656934307</v>
      </c>
      <c r="AF81" s="85" t="str">
        <f>IF(AND(List[[#This Row],[Remaining]]=0,NOT(List[[#This Row],[Running Budget Total]]=0)),Status1,
IF(AND(List[[#This Row],[Remaining]]&lt;0,NOT(List[[#This Row],[Running Budget Total]]=0)),Status2,
IF(AND(List[[#This Row],[Remaining]]=0),Status3,
List[[#This Row],[Spent %]] &amp; Status4)))</f>
        <v>0% paid</v>
      </c>
      <c r="AG81" s="86">
        <f>IFERROR(ROUND(100*List[[#This Row],[Cash Out Total]]/List[[#This Row],[Running Budget Total]],0),0)</f>
        <v>0</v>
      </c>
    </row>
    <row r="82" spans="1:33" ht="40" customHeight="1" x14ac:dyDescent="0.2">
      <c r="A82" s="73" t="s">
        <v>209</v>
      </c>
      <c r="B82" s="74" t="s">
        <v>27</v>
      </c>
      <c r="C82" s="73" t="s">
        <v>107</v>
      </c>
      <c r="D82" s="74" t="s">
        <v>321</v>
      </c>
      <c r="E82" s="74"/>
      <c r="F82" s="76"/>
      <c r="G82" s="75" t="s">
        <v>47</v>
      </c>
      <c r="H82" s="77">
        <f>DisplayToUSD/(_xlfn.IFNA(INDEX('Quick Inputs- Constants'!$B$15:$C$18,MATCH(List[[#This Row],[Currency]],'Quick Inputs- Constants'!B$15:B$18,0),2),1))</f>
        <v>2.4330900243309003E-3</v>
      </c>
      <c r="I82" s="62">
        <f>BatteryInverterCount</f>
        <v>1</v>
      </c>
      <c r="J82" s="78">
        <v>700</v>
      </c>
      <c r="K82" s="79" t="s">
        <v>99</v>
      </c>
      <c r="L82" s="80">
        <f>List[[#This Row],[Exchange Rate]]*(1+IF(List[[#This Row],[Budget VAT]]="Yes",VATRate,0))*List[[#This Row],[Budget Quantity]]*List[[#This Row],[Budget Price]]</f>
        <v>1.8309002433090023</v>
      </c>
      <c r="M82" s="63"/>
      <c r="N82" s="79"/>
      <c r="O82" s="79"/>
      <c r="P82" s="35">
        <f>IF(AND(ISBLANK(List[[#This Row],[Updated Quantity]]),ISBLANK(List[[#This Row],[Updated Price]]),ISBLANK(List[[#This Row],[Updated VAT]])),List[[#This Row],[Budget Total]],
List[[#This Row],[Exchange Rate]]*(1+IF(List[[#This Row],[Updated VAT]]="Yes",VATRate,0))*List[[#This Row],[Updated Quantity]]*List[[#This Row],[Updated Price]])</f>
        <v>1.8309002433090023</v>
      </c>
      <c r="Q82" s="87">
        <f>100%</f>
        <v>1</v>
      </c>
      <c r="R82" s="82"/>
      <c r="S82" s="83"/>
      <c r="T82" s="79"/>
      <c r="U82" s="84"/>
      <c r="V82" s="64"/>
      <c r="W82" s="83"/>
      <c r="X82" s="84"/>
      <c r="Y82" s="84"/>
      <c r="Z82" s="64"/>
      <c r="AA82" s="83"/>
      <c r="AB82" s="84"/>
      <c r="AC82" s="84"/>
      <c r="AD8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2" s="81">
        <f>List[[#This Row],[Running Budget Total]]-List[[#This Row],[Cash Out Total]]</f>
        <v>1.8309002433090023</v>
      </c>
      <c r="AF82" s="85" t="str">
        <f>IF(AND(List[[#This Row],[Remaining]]=0,NOT(List[[#This Row],[Running Budget Total]]=0)),Status1,
IF(AND(List[[#This Row],[Remaining]]&lt;0,NOT(List[[#This Row],[Running Budget Total]]=0)),Status2,
IF(AND(List[[#This Row],[Remaining]]=0),Status3,
List[[#This Row],[Spent %]] &amp; Status4)))</f>
        <v>0% paid</v>
      </c>
      <c r="AG82" s="86">
        <f>IFERROR(ROUND(100*List[[#This Row],[Cash Out Total]]/List[[#This Row],[Running Budget Total]],0),0)</f>
        <v>0</v>
      </c>
    </row>
    <row r="83" spans="1:33" ht="40" customHeight="1" x14ac:dyDescent="0.2">
      <c r="A83" s="73" t="s">
        <v>14</v>
      </c>
      <c r="B83" s="74" t="s">
        <v>27</v>
      </c>
      <c r="C83" s="73" t="s">
        <v>107</v>
      </c>
      <c r="D83" s="74" t="s">
        <v>322</v>
      </c>
      <c r="E83" s="74"/>
      <c r="F83" s="76"/>
      <c r="G83" s="75" t="s">
        <v>47</v>
      </c>
      <c r="H83" s="77">
        <f>DisplayToUSD/(_xlfn.IFNA(INDEX('Quick Inputs- Constants'!$B$15:$C$18,MATCH(List[[#This Row],[Currency]],'Quick Inputs- Constants'!B$15:B$18,0),2),1))</f>
        <v>2.4330900243309003E-3</v>
      </c>
      <c r="I83" s="62">
        <v>1</v>
      </c>
      <c r="J83" s="78">
        <v>17500</v>
      </c>
      <c r="K83" s="79" t="s">
        <v>14</v>
      </c>
      <c r="L83" s="80">
        <f>List[[#This Row],[Exchange Rate]]*(1+IF(List[[#This Row],[Budget VAT]]="Yes",VATRate,0))*List[[#This Row],[Budget Quantity]]*List[[#This Row],[Budget Price]]</f>
        <v>42.579075425790755</v>
      </c>
      <c r="M83" s="63"/>
      <c r="N83" s="79"/>
      <c r="O83" s="79"/>
      <c r="P83" s="35">
        <f>IF(AND(ISBLANK(List[[#This Row],[Updated Quantity]]),ISBLANK(List[[#This Row],[Updated Price]]),ISBLANK(List[[#This Row],[Updated VAT]])),List[[#This Row],[Budget Total]],
List[[#This Row],[Exchange Rate]]*(1+IF(List[[#This Row],[Updated VAT]]="Yes",VATRate,0))*List[[#This Row],[Updated Quantity]]*List[[#This Row],[Updated Price]])</f>
        <v>42.579075425790755</v>
      </c>
      <c r="Q83" s="87">
        <f>100%</f>
        <v>1</v>
      </c>
      <c r="R83" s="82"/>
      <c r="S83" s="83"/>
      <c r="T83" s="79"/>
      <c r="U83" s="84"/>
      <c r="V83" s="64"/>
      <c r="W83" s="83"/>
      <c r="X83" s="84"/>
      <c r="Y83" s="84"/>
      <c r="Z83" s="64"/>
      <c r="AA83" s="83"/>
      <c r="AB83" s="84"/>
      <c r="AC83" s="84"/>
      <c r="AD8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3" s="81">
        <f>List[[#This Row],[Running Budget Total]]-List[[#This Row],[Cash Out Total]]</f>
        <v>42.579075425790755</v>
      </c>
      <c r="AF83" s="85" t="str">
        <f>IF(AND(List[[#This Row],[Remaining]]=0,NOT(List[[#This Row],[Running Budget Total]]=0)),Status1,
IF(AND(List[[#This Row],[Remaining]]&lt;0,NOT(List[[#This Row],[Running Budget Total]]=0)),Status2,
IF(AND(List[[#This Row],[Remaining]]=0),Status3,
List[[#This Row],[Spent %]] &amp; Status4)))</f>
        <v>0% paid</v>
      </c>
      <c r="AG83" s="86">
        <f>IFERROR(ROUND(100*List[[#This Row],[Cash Out Total]]/List[[#This Row],[Running Budget Total]],0),0)</f>
        <v>0</v>
      </c>
    </row>
    <row r="84" spans="1:33" ht="40" customHeight="1" x14ac:dyDescent="0.2">
      <c r="A84" s="73" t="s">
        <v>209</v>
      </c>
      <c r="B84" s="74" t="s">
        <v>27</v>
      </c>
      <c r="C84" s="73" t="s">
        <v>107</v>
      </c>
      <c r="D84" s="74" t="s">
        <v>323</v>
      </c>
      <c r="E84" s="74"/>
      <c r="F84" s="76"/>
      <c r="G84" s="75" t="s">
        <v>47</v>
      </c>
      <c r="H84" s="77">
        <f>DisplayToUSD/(_xlfn.IFNA(INDEX('Quick Inputs- Constants'!$B$15:$C$18,MATCH(List[[#This Row],[Currency]],'Quick Inputs- Constants'!B$15:B$18,0),2),1))</f>
        <v>2.4330900243309003E-3</v>
      </c>
      <c r="I84" s="62">
        <f>BatteryCount*4</f>
        <v>40</v>
      </c>
      <c r="J84" s="78">
        <v>1000</v>
      </c>
      <c r="K84" s="79" t="s">
        <v>99</v>
      </c>
      <c r="L84" s="80">
        <f>List[[#This Row],[Exchange Rate]]*(1+IF(List[[#This Row],[Budget VAT]]="Yes",VATRate,0))*List[[#This Row],[Budget Quantity]]*List[[#This Row],[Budget Price]]</f>
        <v>104.6228710462287</v>
      </c>
      <c r="M84" s="63"/>
      <c r="N84" s="79"/>
      <c r="O84" s="79"/>
      <c r="P84" s="35">
        <f>IF(AND(ISBLANK(List[[#This Row],[Updated Quantity]]),ISBLANK(List[[#This Row],[Updated Price]]),ISBLANK(List[[#This Row],[Updated VAT]])),List[[#This Row],[Budget Total]],
List[[#This Row],[Exchange Rate]]*(1+IF(List[[#This Row],[Updated VAT]]="Yes",VATRate,0))*List[[#This Row],[Updated Quantity]]*List[[#This Row],[Updated Price]])</f>
        <v>104.6228710462287</v>
      </c>
      <c r="Q84" s="87">
        <f>100%</f>
        <v>1</v>
      </c>
      <c r="R84" s="82"/>
      <c r="S84" s="83"/>
      <c r="T84" s="79"/>
      <c r="U84" s="84"/>
      <c r="V84" s="64"/>
      <c r="W84" s="83"/>
      <c r="X84" s="84"/>
      <c r="Y84" s="84"/>
      <c r="Z84" s="64"/>
      <c r="AA84" s="83"/>
      <c r="AB84" s="84"/>
      <c r="AC84" s="84"/>
      <c r="AD8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4" s="81">
        <f>List[[#This Row],[Running Budget Total]]-List[[#This Row],[Cash Out Total]]</f>
        <v>104.6228710462287</v>
      </c>
      <c r="AF84" s="85" t="str">
        <f>IF(AND(List[[#This Row],[Remaining]]=0,NOT(List[[#This Row],[Running Budget Total]]=0)),Status1,
IF(AND(List[[#This Row],[Remaining]]&lt;0,NOT(List[[#This Row],[Running Budget Total]]=0)),Status2,
IF(AND(List[[#This Row],[Remaining]]=0),Status3,
List[[#This Row],[Spent %]] &amp; Status4)))</f>
        <v>0% paid</v>
      </c>
      <c r="AG84" s="86">
        <f>IFERROR(ROUND(100*List[[#This Row],[Cash Out Total]]/List[[#This Row],[Running Budget Total]],0),0)</f>
        <v>0</v>
      </c>
    </row>
    <row r="85" spans="1:33" ht="40" customHeight="1" x14ac:dyDescent="0.2">
      <c r="A85" s="73" t="s">
        <v>209</v>
      </c>
      <c r="B85" s="74" t="s">
        <v>27</v>
      </c>
      <c r="C85" s="73" t="s">
        <v>107</v>
      </c>
      <c r="D85" s="74" t="s">
        <v>324</v>
      </c>
      <c r="E85" s="74"/>
      <c r="F85" s="76"/>
      <c r="G85" s="75" t="s">
        <v>47</v>
      </c>
      <c r="H85" s="77">
        <f>DisplayToUSD/(_xlfn.IFNA(INDEX('Quick Inputs- Constants'!$B$15:$C$18,MATCH(List[[#This Row],[Currency]],'Quick Inputs- Constants'!B$15:B$18,0),2),1))</f>
        <v>2.4330900243309003E-3</v>
      </c>
      <c r="I85" s="62">
        <f>BatteryLugsPerUnit*BatteryCount</f>
        <v>40</v>
      </c>
      <c r="J85" s="78">
        <v>400</v>
      </c>
      <c r="K85" s="79" t="s">
        <v>99</v>
      </c>
      <c r="L85" s="80">
        <f>List[[#This Row],[Exchange Rate]]*(1+IF(List[[#This Row],[Budget VAT]]="Yes",VATRate,0))*List[[#This Row],[Budget Quantity]]*List[[#This Row],[Budget Price]]</f>
        <v>41.849148418491481</v>
      </c>
      <c r="M85" s="63"/>
      <c r="N85" s="79"/>
      <c r="O85" s="79"/>
      <c r="P85" s="35">
        <f>IF(AND(ISBLANK(List[[#This Row],[Updated Quantity]]),ISBLANK(List[[#This Row],[Updated Price]]),ISBLANK(List[[#This Row],[Updated VAT]])),List[[#This Row],[Budget Total]],
List[[#This Row],[Exchange Rate]]*(1+IF(List[[#This Row],[Updated VAT]]="Yes",VATRate,0))*List[[#This Row],[Updated Quantity]]*List[[#This Row],[Updated Price]])</f>
        <v>41.849148418491481</v>
      </c>
      <c r="Q85" s="87">
        <f>100%</f>
        <v>1</v>
      </c>
      <c r="R85" s="82"/>
      <c r="S85" s="83"/>
      <c r="T85" s="79"/>
      <c r="U85" s="84"/>
      <c r="V85" s="64"/>
      <c r="W85" s="83"/>
      <c r="X85" s="84"/>
      <c r="Y85" s="84"/>
      <c r="Z85" s="64"/>
      <c r="AA85" s="83"/>
      <c r="AB85" s="84"/>
      <c r="AC85" s="84"/>
      <c r="AD8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5" s="81">
        <f>List[[#This Row],[Running Budget Total]]-List[[#This Row],[Cash Out Total]]</f>
        <v>41.849148418491481</v>
      </c>
      <c r="AF85" s="85" t="str">
        <f>IF(AND(List[[#This Row],[Remaining]]=0,NOT(List[[#This Row],[Running Budget Total]]=0)),Status1,
IF(AND(List[[#This Row],[Remaining]]&lt;0,NOT(List[[#This Row],[Running Budget Total]]=0)),Status2,
IF(AND(List[[#This Row],[Remaining]]=0),Status3,
List[[#This Row],[Spent %]] &amp; Status4)))</f>
        <v>0% paid</v>
      </c>
      <c r="AG85" s="86">
        <f>IFERROR(ROUND(100*List[[#This Row],[Cash Out Total]]/List[[#This Row],[Running Budget Total]],0),0)</f>
        <v>0</v>
      </c>
    </row>
    <row r="86" spans="1:33" ht="40" customHeight="1" x14ac:dyDescent="0.2">
      <c r="A86" s="73" t="s">
        <v>209</v>
      </c>
      <c r="B86" s="74" t="s">
        <v>27</v>
      </c>
      <c r="C86" s="73" t="s">
        <v>107</v>
      </c>
      <c r="D86" s="74" t="s">
        <v>325</v>
      </c>
      <c r="E86" s="74"/>
      <c r="F86" s="76"/>
      <c r="G86" s="75" t="s">
        <v>47</v>
      </c>
      <c r="H86" s="77">
        <f>DisplayToUSD/(_xlfn.IFNA(INDEX('Quick Inputs- Constants'!$B$15:$C$18,MATCH(List[[#This Row],[Currency]],'Quick Inputs- Constants'!B$15:B$18,0),2),1))</f>
        <v>2.4330900243309003E-3</v>
      </c>
      <c r="I86" s="62">
        <f>PVCCCount</f>
        <v>10</v>
      </c>
      <c r="J86" s="78">
        <v>400</v>
      </c>
      <c r="K86" s="79" t="s">
        <v>99</v>
      </c>
      <c r="L86" s="80">
        <f>List[[#This Row],[Exchange Rate]]*(1+IF(List[[#This Row],[Budget VAT]]="Yes",VATRate,0))*List[[#This Row],[Budget Quantity]]*List[[#This Row],[Budget Price]]</f>
        <v>10.46228710462287</v>
      </c>
      <c r="M86" s="63"/>
      <c r="N86" s="79"/>
      <c r="O86" s="79"/>
      <c r="P86" s="35">
        <f>IF(AND(ISBLANK(List[[#This Row],[Updated Quantity]]),ISBLANK(List[[#This Row],[Updated Price]]),ISBLANK(List[[#This Row],[Updated VAT]])),List[[#This Row],[Budget Total]],
List[[#This Row],[Exchange Rate]]*(1+IF(List[[#This Row],[Updated VAT]]="Yes",VATRate,0))*List[[#This Row],[Updated Quantity]]*List[[#This Row],[Updated Price]])</f>
        <v>10.46228710462287</v>
      </c>
      <c r="Q86" s="87">
        <f>100%</f>
        <v>1</v>
      </c>
      <c r="R86" s="82"/>
      <c r="S86" s="83"/>
      <c r="T86" s="79"/>
      <c r="U86" s="84"/>
      <c r="V86" s="64"/>
      <c r="W86" s="83"/>
      <c r="X86" s="84"/>
      <c r="Y86" s="84"/>
      <c r="Z86" s="64"/>
      <c r="AA86" s="83"/>
      <c r="AB86" s="84"/>
      <c r="AC86" s="84"/>
      <c r="AD8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6" s="81">
        <f>List[[#This Row],[Running Budget Total]]-List[[#This Row],[Cash Out Total]]</f>
        <v>10.46228710462287</v>
      </c>
      <c r="AF86" s="85" t="str">
        <f>IF(AND(List[[#This Row],[Remaining]]=0,NOT(List[[#This Row],[Running Budget Total]]=0)),Status1,
IF(AND(List[[#This Row],[Remaining]]&lt;0,NOT(List[[#This Row],[Running Budget Total]]=0)),Status2,
IF(AND(List[[#This Row],[Remaining]]=0),Status3,
List[[#This Row],[Spent %]] &amp; Status4)))</f>
        <v>0% paid</v>
      </c>
      <c r="AG86" s="86">
        <f>IFERROR(ROUND(100*List[[#This Row],[Cash Out Total]]/List[[#This Row],[Running Budget Total]],0),0)</f>
        <v>0</v>
      </c>
    </row>
    <row r="87" spans="1:33" ht="40" customHeight="1" x14ac:dyDescent="0.2">
      <c r="A87" s="73" t="s">
        <v>209</v>
      </c>
      <c r="B87" s="74" t="s">
        <v>27</v>
      </c>
      <c r="C87" s="73" t="s">
        <v>107</v>
      </c>
      <c r="D87" s="74" t="s">
        <v>326</v>
      </c>
      <c r="E87" s="74"/>
      <c r="F87" s="76"/>
      <c r="G87" s="75" t="s">
        <v>47</v>
      </c>
      <c r="H87" s="77">
        <f>DisplayToUSD/(_xlfn.IFNA(INDEX('Quick Inputs- Constants'!$B$15:$C$18,MATCH(List[[#This Row],[Currency]],'Quick Inputs- Constants'!B$15:B$18,0),2),1))</f>
        <v>2.4330900243309003E-3</v>
      </c>
      <c r="I87" s="62">
        <f>2*PVCCCount</f>
        <v>20</v>
      </c>
      <c r="J87" s="78">
        <v>1200</v>
      </c>
      <c r="K87" s="79" t="s">
        <v>99</v>
      </c>
      <c r="L87" s="80">
        <f>List[[#This Row],[Exchange Rate]]*(1+IF(List[[#This Row],[Budget VAT]]="Yes",VATRate,0))*List[[#This Row],[Budget Quantity]]*List[[#This Row],[Budget Price]]</f>
        <v>62.773722627737214</v>
      </c>
      <c r="M87" s="63"/>
      <c r="N87" s="79"/>
      <c r="O87" s="79"/>
      <c r="P87" s="35">
        <f>IF(AND(ISBLANK(List[[#This Row],[Updated Quantity]]),ISBLANK(List[[#This Row],[Updated Price]]),ISBLANK(List[[#This Row],[Updated VAT]])),List[[#This Row],[Budget Total]],
List[[#This Row],[Exchange Rate]]*(1+IF(List[[#This Row],[Updated VAT]]="Yes",VATRate,0))*List[[#This Row],[Updated Quantity]]*List[[#This Row],[Updated Price]])</f>
        <v>62.773722627737214</v>
      </c>
      <c r="Q87" s="87">
        <f>100%</f>
        <v>1</v>
      </c>
      <c r="R87" s="82"/>
      <c r="S87" s="83"/>
      <c r="T87" s="79"/>
      <c r="U87" s="84"/>
      <c r="V87" s="64"/>
      <c r="W87" s="83"/>
      <c r="X87" s="84"/>
      <c r="Y87" s="84"/>
      <c r="Z87" s="64"/>
      <c r="AA87" s="83"/>
      <c r="AB87" s="84"/>
      <c r="AC87" s="84"/>
      <c r="AD8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7" s="81">
        <f>List[[#This Row],[Running Budget Total]]-List[[#This Row],[Cash Out Total]]</f>
        <v>62.773722627737214</v>
      </c>
      <c r="AF87" s="85" t="str">
        <f>IF(AND(List[[#This Row],[Remaining]]=0,NOT(List[[#This Row],[Running Budget Total]]=0)),Status1,
IF(AND(List[[#This Row],[Remaining]]&lt;0,NOT(List[[#This Row],[Running Budget Total]]=0)),Status2,
IF(AND(List[[#This Row],[Remaining]]=0),Status3,
List[[#This Row],[Spent %]] &amp; Status4)))</f>
        <v>0% paid</v>
      </c>
      <c r="AG87" s="86">
        <f>IFERROR(ROUND(100*List[[#This Row],[Cash Out Total]]/List[[#This Row],[Running Budget Total]],0),0)</f>
        <v>0</v>
      </c>
    </row>
    <row r="88" spans="1:33" ht="40" customHeight="1" x14ac:dyDescent="0.2">
      <c r="A88" s="11" t="s">
        <v>209</v>
      </c>
      <c r="B88" s="22" t="s">
        <v>27</v>
      </c>
      <c r="C88" s="11" t="s">
        <v>107</v>
      </c>
      <c r="D88" s="58" t="s">
        <v>235</v>
      </c>
      <c r="E88" s="22"/>
      <c r="F88" s="66" t="s">
        <v>354</v>
      </c>
      <c r="G88" s="51" t="s">
        <v>47</v>
      </c>
      <c r="H88" s="37">
        <f>DisplayToUSD/(_xlfn.IFNA(INDEX('Quick Inputs- Constants'!$B$15:$C$18,MATCH(List[[#This Row],[Currency]],'Quick Inputs- Constants'!B$15:B$18,0),2),1))</f>
        <v>2.4330900243309003E-3</v>
      </c>
      <c r="I88" s="62">
        <f>PVCCCount*10*2</f>
        <v>200</v>
      </c>
      <c r="J88" s="52">
        <v>700</v>
      </c>
      <c r="K88" s="53" t="s">
        <v>99</v>
      </c>
      <c r="L88" s="54">
        <f>List[[#This Row],[Exchange Rate]]*(1+IF(List[[#This Row],[Budget VAT]]="Yes",VATRate,0))*List[[#This Row],[Budget Quantity]]*List[[#This Row],[Budget Price]]</f>
        <v>366.18004866180041</v>
      </c>
      <c r="M88" s="63"/>
      <c r="N88" s="53"/>
      <c r="O88" s="53"/>
      <c r="P88" s="35">
        <f>IF(AND(ISBLANK(List[[#This Row],[Updated Quantity]]),ISBLANK(List[[#This Row],[Updated Price]]),ISBLANK(List[[#This Row],[Updated VAT]])),List[[#This Row],[Budget Total]],
List[[#This Row],[Exchange Rate]]*(1+IF(List[[#This Row],[Updated VAT]]="Yes",VATRate,0))*List[[#This Row],[Updated Quantity]]*List[[#This Row],[Updated Price]])</f>
        <v>366.18004866180041</v>
      </c>
      <c r="Q88" s="87">
        <f>100%</f>
        <v>1</v>
      </c>
      <c r="R88" s="61"/>
      <c r="S88" s="55"/>
      <c r="T88" s="53"/>
      <c r="U88" s="56"/>
      <c r="V88" s="64"/>
      <c r="W88" s="55"/>
      <c r="X88" s="56"/>
      <c r="Y88" s="56"/>
      <c r="Z88" s="64"/>
      <c r="AA88" s="55"/>
      <c r="AB88" s="56"/>
      <c r="AC88" s="56"/>
      <c r="AD8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8" s="35">
        <f>List[[#This Row],[Running Budget Total]]-List[[#This Row],[Cash Out Total]]</f>
        <v>366.18004866180041</v>
      </c>
      <c r="AF88" s="36" t="str">
        <f>IF(AND(List[[#This Row],[Remaining]]=0,NOT(List[[#This Row],[Running Budget Total]]=0)),Status1,
IF(AND(List[[#This Row],[Remaining]]&lt;0,NOT(List[[#This Row],[Running Budget Total]]=0)),Status2,
IF(AND(List[[#This Row],[Remaining]]=0),Status3,
List[[#This Row],[Spent %]] &amp; Status4)))</f>
        <v>0% paid</v>
      </c>
      <c r="AG88" s="57">
        <f>IFERROR(ROUND(100*List[[#This Row],[Cash Out Total]]/List[[#This Row],[Running Budget Total]],0),0)</f>
        <v>0</v>
      </c>
    </row>
    <row r="89" spans="1:33" ht="40" customHeight="1" x14ac:dyDescent="0.2">
      <c r="A89" s="11" t="s">
        <v>14</v>
      </c>
      <c r="B89" s="22" t="s">
        <v>27</v>
      </c>
      <c r="C89" s="11" t="s">
        <v>107</v>
      </c>
      <c r="D89" s="58" t="s">
        <v>597</v>
      </c>
      <c r="E89" s="22"/>
      <c r="F89" s="66"/>
      <c r="G89" s="51" t="s">
        <v>47</v>
      </c>
      <c r="H89" s="37">
        <f>DisplayToUSD/(_xlfn.IFNA(INDEX('Quick Inputs- Constants'!$B$15:$C$18,MATCH(List[[#This Row],[Currency]],'Quick Inputs- Constants'!B$15:B$18,0),2),1))</f>
        <v>2.4330900243309003E-3</v>
      </c>
      <c r="I89" s="62">
        <v>1</v>
      </c>
      <c r="J89" s="52">
        <v>80000</v>
      </c>
      <c r="K89" s="53" t="s">
        <v>99</v>
      </c>
      <c r="L89" s="54">
        <f>List[[#This Row],[Exchange Rate]]*(1+IF(List[[#This Row],[Budget VAT]]="Yes",VATRate,0))*List[[#This Row],[Budget Quantity]]*List[[#This Row],[Budget Price]]</f>
        <v>209.24574209245739</v>
      </c>
      <c r="M89" s="63"/>
      <c r="N89" s="53"/>
      <c r="O89" s="53"/>
      <c r="P89" s="35">
        <f>IF(AND(ISBLANK(List[[#This Row],[Updated Quantity]]),ISBLANK(List[[#This Row],[Updated Price]]),ISBLANK(List[[#This Row],[Updated VAT]])),List[[#This Row],[Budget Total]],
List[[#This Row],[Exchange Rate]]*(1+IF(List[[#This Row],[Updated VAT]]="Yes",VATRate,0))*List[[#This Row],[Updated Quantity]]*List[[#This Row],[Updated Price]])</f>
        <v>209.24574209245739</v>
      </c>
      <c r="Q89" s="87">
        <f>100%</f>
        <v>1</v>
      </c>
      <c r="R89" s="61"/>
      <c r="S89" s="55"/>
      <c r="T89" s="53"/>
      <c r="U89" s="56"/>
      <c r="V89" s="64"/>
      <c r="W89" s="55"/>
      <c r="X89" s="56"/>
      <c r="Y89" s="56"/>
      <c r="Z89" s="64"/>
      <c r="AA89" s="55"/>
      <c r="AB89" s="56"/>
      <c r="AC89" s="56"/>
      <c r="AD8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9" s="35">
        <f>List[[#This Row],[Running Budget Total]]-List[[#This Row],[Cash Out Total]]</f>
        <v>209.24574209245739</v>
      </c>
      <c r="AF89" s="36" t="str">
        <f>IF(AND(List[[#This Row],[Remaining]]=0,NOT(List[[#This Row],[Running Budget Total]]=0)),Status1,
IF(AND(List[[#This Row],[Remaining]]&lt;0,NOT(List[[#This Row],[Running Budget Total]]=0)),Status2,
IF(AND(List[[#This Row],[Remaining]]=0),Status3,
List[[#This Row],[Spent %]] &amp; Status4)))</f>
        <v>0% paid</v>
      </c>
      <c r="AG89" s="57">
        <f>IFERROR(ROUND(100*List[[#This Row],[Cash Out Total]]/List[[#This Row],[Running Budget Total]],0),0)</f>
        <v>0</v>
      </c>
    </row>
    <row r="90" spans="1:33" ht="40" customHeight="1" x14ac:dyDescent="0.2">
      <c r="A90" s="73" t="s">
        <v>14</v>
      </c>
      <c r="B90" s="74" t="s">
        <v>27</v>
      </c>
      <c r="C90" s="73" t="s">
        <v>107</v>
      </c>
      <c r="D90" s="74" t="s">
        <v>327</v>
      </c>
      <c r="E90" s="74"/>
      <c r="F90" s="76"/>
      <c r="G90" s="75" t="s">
        <v>47</v>
      </c>
      <c r="H90" s="77">
        <f>DisplayToUSD/(_xlfn.IFNA(INDEX('Quick Inputs- Constants'!$B$15:$C$18,MATCH(List[[#This Row],[Currency]],'Quick Inputs- Constants'!B$15:B$18,0),2),1))</f>
        <v>2.4330900243309003E-3</v>
      </c>
      <c r="I90" s="62">
        <v>2</v>
      </c>
      <c r="J90" s="78">
        <v>35000</v>
      </c>
      <c r="K90" s="79" t="s">
        <v>99</v>
      </c>
      <c r="L90" s="80">
        <f>List[[#This Row],[Exchange Rate]]*(1+IF(List[[#This Row],[Budget VAT]]="Yes",VATRate,0))*List[[#This Row],[Budget Quantity]]*List[[#This Row],[Budget Price]]</f>
        <v>183.09002433090023</v>
      </c>
      <c r="M90" s="63"/>
      <c r="N90" s="79"/>
      <c r="O90" s="79"/>
      <c r="P90" s="35">
        <f>IF(AND(ISBLANK(List[[#This Row],[Updated Quantity]]),ISBLANK(List[[#This Row],[Updated Price]]),ISBLANK(List[[#This Row],[Updated VAT]])),List[[#This Row],[Budget Total]],
List[[#This Row],[Exchange Rate]]*(1+IF(List[[#This Row],[Updated VAT]]="Yes",VATRate,0))*List[[#This Row],[Updated Quantity]]*List[[#This Row],[Updated Price]])</f>
        <v>183.09002433090023</v>
      </c>
      <c r="Q90" s="87">
        <f>100%</f>
        <v>1</v>
      </c>
      <c r="R90" s="82"/>
      <c r="S90" s="83"/>
      <c r="T90" s="79"/>
      <c r="U90" s="84"/>
      <c r="V90" s="64"/>
      <c r="W90" s="83"/>
      <c r="X90" s="84"/>
      <c r="Y90" s="84"/>
      <c r="Z90" s="64"/>
      <c r="AA90" s="83"/>
      <c r="AB90" s="84"/>
      <c r="AC90" s="84"/>
      <c r="AD9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0" s="81">
        <f>List[[#This Row],[Running Budget Total]]-List[[#This Row],[Cash Out Total]]</f>
        <v>183.09002433090023</v>
      </c>
      <c r="AF90" s="85" t="str">
        <f>IF(AND(List[[#This Row],[Remaining]]=0,NOT(List[[#This Row],[Running Budget Total]]=0)),Status1,
IF(AND(List[[#This Row],[Remaining]]&lt;0,NOT(List[[#This Row],[Running Budget Total]]=0)),Status2,
IF(AND(List[[#This Row],[Remaining]]=0),Status3,
List[[#This Row],[Spent %]] &amp; Status4)))</f>
        <v>0% paid</v>
      </c>
      <c r="AG90" s="86">
        <f>IFERROR(ROUND(100*List[[#This Row],[Cash Out Total]]/List[[#This Row],[Running Budget Total]],0),0)</f>
        <v>0</v>
      </c>
    </row>
    <row r="91" spans="1:33" ht="40" customHeight="1" x14ac:dyDescent="0.2">
      <c r="A91" s="11" t="s">
        <v>14</v>
      </c>
      <c r="B91" s="22" t="s">
        <v>27</v>
      </c>
      <c r="C91" s="11" t="s">
        <v>107</v>
      </c>
      <c r="D91" s="22" t="s">
        <v>351</v>
      </c>
      <c r="E91" s="22"/>
      <c r="F91" s="21"/>
      <c r="G91" s="51" t="s">
        <v>47</v>
      </c>
      <c r="H91" s="37">
        <f>DisplayToUSD/(_xlfn.IFNA(INDEX('Quick Inputs- Constants'!$B$15:$C$18,MATCH(List[[#This Row],[Currency]],'Quick Inputs- Constants'!B$15:B$18,0),2),1))</f>
        <v>2.4330900243309003E-3</v>
      </c>
      <c r="I91" s="62">
        <v>2</v>
      </c>
      <c r="J91" s="52">
        <v>115000</v>
      </c>
      <c r="K91" s="53" t="s">
        <v>14</v>
      </c>
      <c r="L91" s="54">
        <f>List[[#This Row],[Exchange Rate]]*(1+IF(List[[#This Row],[Budget VAT]]="Yes",VATRate,0))*List[[#This Row],[Budget Quantity]]*List[[#This Row],[Budget Price]]</f>
        <v>559.6107055961071</v>
      </c>
      <c r="M91" s="63"/>
      <c r="N91" s="53"/>
      <c r="O91" s="53"/>
      <c r="P91" s="35">
        <f>IF(AND(ISBLANK(List[[#This Row],[Updated Quantity]]),ISBLANK(List[[#This Row],[Updated Price]]),ISBLANK(List[[#This Row],[Updated VAT]])),List[[#This Row],[Budget Total]],
List[[#This Row],[Exchange Rate]]*(1+IF(List[[#This Row],[Updated VAT]]="Yes",VATRate,0))*List[[#This Row],[Updated Quantity]]*List[[#This Row],[Updated Price]])</f>
        <v>559.6107055961071</v>
      </c>
      <c r="Q91" s="87">
        <f>100%</f>
        <v>1</v>
      </c>
      <c r="R91" s="61"/>
      <c r="S91" s="55"/>
      <c r="T91" s="53"/>
      <c r="U91" s="56"/>
      <c r="V91" s="64"/>
      <c r="W91" s="55"/>
      <c r="X91" s="56"/>
      <c r="Y91" s="56"/>
      <c r="Z91" s="64"/>
      <c r="AA91" s="55"/>
      <c r="AB91" s="56"/>
      <c r="AC91" s="56"/>
      <c r="AD9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1" s="35">
        <f>List[[#This Row],[Running Budget Total]]-List[[#This Row],[Cash Out Total]]</f>
        <v>559.6107055961071</v>
      </c>
      <c r="AF91" s="36" t="str">
        <f>IF(AND(List[[#This Row],[Remaining]]=0,NOT(List[[#This Row],[Running Budget Total]]=0)),Status1,
IF(AND(List[[#This Row],[Remaining]]&lt;0,NOT(List[[#This Row],[Running Budget Total]]=0)),Status2,
IF(AND(List[[#This Row],[Remaining]]=0),Status3,
List[[#This Row],[Spent %]] &amp; Status4)))</f>
        <v>0% paid</v>
      </c>
      <c r="AG91" s="57">
        <f>IFERROR(ROUND(100*List[[#This Row],[Cash Out Total]]/List[[#This Row],[Running Budget Total]],0),0)</f>
        <v>0</v>
      </c>
    </row>
    <row r="92" spans="1:33" ht="40" customHeight="1" x14ac:dyDescent="0.2">
      <c r="A92" s="11" t="s">
        <v>209</v>
      </c>
      <c r="B92" s="22" t="s">
        <v>27</v>
      </c>
      <c r="C92" s="11" t="s">
        <v>107</v>
      </c>
      <c r="D92" s="22" t="s">
        <v>80</v>
      </c>
      <c r="E92" s="22"/>
      <c r="F92" s="21"/>
      <c r="G92" s="51" t="s">
        <v>47</v>
      </c>
      <c r="H92" s="37">
        <f>DisplayToUSD/(_xlfn.IFNA(INDEX('Quick Inputs- Constants'!$B$15:$C$18,MATCH(List[[#This Row],[Currency]],'Quick Inputs- Constants'!B$15:B$18,0),2),1))</f>
        <v>2.4330900243309003E-3</v>
      </c>
      <c r="I92" s="62">
        <f>BatteryInverterCount+2</f>
        <v>3</v>
      </c>
      <c r="J92" s="52">
        <v>1000</v>
      </c>
      <c r="K92" s="53" t="s">
        <v>99</v>
      </c>
      <c r="L92" s="54">
        <f>List[[#This Row],[Exchange Rate]]*(1+IF(List[[#This Row],[Budget VAT]]="Yes",VATRate,0))*List[[#This Row],[Budget Quantity]]*List[[#This Row],[Budget Price]]</f>
        <v>7.8467153284671536</v>
      </c>
      <c r="M92" s="63"/>
      <c r="N92" s="53"/>
      <c r="O92" s="53"/>
      <c r="P92" s="35">
        <f>IF(AND(ISBLANK(List[[#This Row],[Updated Quantity]]),ISBLANK(List[[#This Row],[Updated Price]]),ISBLANK(List[[#This Row],[Updated VAT]])),List[[#This Row],[Budget Total]],
List[[#This Row],[Exchange Rate]]*(1+IF(List[[#This Row],[Updated VAT]]="Yes",VATRate,0))*List[[#This Row],[Updated Quantity]]*List[[#This Row],[Updated Price]])</f>
        <v>7.8467153284671536</v>
      </c>
      <c r="Q92" s="87">
        <f>100%</f>
        <v>1</v>
      </c>
      <c r="R92" s="61"/>
      <c r="S92" s="55"/>
      <c r="T92" s="53"/>
      <c r="U92" s="56"/>
      <c r="V92" s="64"/>
      <c r="W92" s="55"/>
      <c r="X92" s="56"/>
      <c r="Y92" s="56"/>
      <c r="Z92" s="64"/>
      <c r="AA92" s="55"/>
      <c r="AB92" s="56"/>
      <c r="AC92" s="56"/>
      <c r="AD9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2" s="35">
        <f>List[[#This Row],[Running Budget Total]]-List[[#This Row],[Cash Out Total]]</f>
        <v>7.8467153284671536</v>
      </c>
      <c r="AF92" s="36" t="str">
        <f>IF(AND(List[[#This Row],[Remaining]]=0,NOT(List[[#This Row],[Running Budget Total]]=0)),Status1,
IF(AND(List[[#This Row],[Remaining]]&lt;0,NOT(List[[#This Row],[Running Budget Total]]=0)),Status2,
IF(AND(List[[#This Row],[Remaining]]=0),Status3,
List[[#This Row],[Spent %]] &amp; Status4)))</f>
        <v>0% paid</v>
      </c>
      <c r="AG92" s="57">
        <f>IFERROR(ROUND(100*List[[#This Row],[Cash Out Total]]/List[[#This Row],[Running Budget Total]],0),0)</f>
        <v>0</v>
      </c>
    </row>
    <row r="93" spans="1:33" ht="40" customHeight="1" x14ac:dyDescent="0.2">
      <c r="A93" s="73" t="s">
        <v>14</v>
      </c>
      <c r="B93" s="74" t="s">
        <v>27</v>
      </c>
      <c r="C93" s="73" t="s">
        <v>107</v>
      </c>
      <c r="D93" s="89" t="s">
        <v>328</v>
      </c>
      <c r="E93" s="74"/>
      <c r="F93" s="21"/>
      <c r="G93" s="75" t="s">
        <v>47</v>
      </c>
      <c r="H93" s="77">
        <f>DisplayToUSD/(_xlfn.IFNA(INDEX('Quick Inputs- Constants'!$B$15:$C$18,MATCH(List[[#This Row],[Currency]],'Quick Inputs- Constants'!B$15:B$18,0),2),1))</f>
        <v>2.4330900243309003E-3</v>
      </c>
      <c r="I93" s="62">
        <v>1</v>
      </c>
      <c r="J93" s="78">
        <v>40000</v>
      </c>
      <c r="K93" s="79" t="s">
        <v>99</v>
      </c>
      <c r="L93" s="80">
        <f>List[[#This Row],[Exchange Rate]]*(1+IF(List[[#This Row],[Budget VAT]]="Yes",VATRate,0))*List[[#This Row],[Budget Quantity]]*List[[#This Row],[Budget Price]]</f>
        <v>104.6228710462287</v>
      </c>
      <c r="M93" s="63"/>
      <c r="N93" s="79"/>
      <c r="O93" s="79"/>
      <c r="P93" s="35">
        <f>IF(AND(ISBLANK(List[[#This Row],[Updated Quantity]]),ISBLANK(List[[#This Row],[Updated Price]]),ISBLANK(List[[#This Row],[Updated VAT]])),List[[#This Row],[Budget Total]],
List[[#This Row],[Exchange Rate]]*(1+IF(List[[#This Row],[Updated VAT]]="Yes",VATRate,0))*List[[#This Row],[Updated Quantity]]*List[[#This Row],[Updated Price]])</f>
        <v>104.6228710462287</v>
      </c>
      <c r="Q93" s="87">
        <f>100%</f>
        <v>1</v>
      </c>
      <c r="R93" s="82"/>
      <c r="S93" s="83"/>
      <c r="T93" s="79"/>
      <c r="U93" s="84"/>
      <c r="V93" s="64"/>
      <c r="W93" s="83"/>
      <c r="X93" s="84"/>
      <c r="Y93" s="84"/>
      <c r="Z93" s="64"/>
      <c r="AA93" s="83"/>
      <c r="AB93" s="84"/>
      <c r="AC93" s="84"/>
      <c r="AD9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3" s="81">
        <f>List[[#This Row],[Running Budget Total]]-List[[#This Row],[Cash Out Total]]</f>
        <v>104.6228710462287</v>
      </c>
      <c r="AF93" s="85" t="str">
        <f>IF(AND(List[[#This Row],[Remaining]]=0,NOT(List[[#This Row],[Running Budget Total]]=0)),Status1,
IF(AND(List[[#This Row],[Remaining]]&lt;0,NOT(List[[#This Row],[Running Budget Total]]=0)),Status2,
IF(AND(List[[#This Row],[Remaining]]=0),Status3,
List[[#This Row],[Spent %]] &amp; Status4)))</f>
        <v>0% paid</v>
      </c>
      <c r="AG93" s="86">
        <f>IFERROR(ROUND(100*List[[#This Row],[Cash Out Total]]/List[[#This Row],[Running Budget Total]],0),0)</f>
        <v>0</v>
      </c>
    </row>
    <row r="94" spans="1:33" ht="40" customHeight="1" x14ac:dyDescent="0.2">
      <c r="A94" s="73" t="s">
        <v>14</v>
      </c>
      <c r="B94" s="74" t="s">
        <v>27</v>
      </c>
      <c r="C94" s="73" t="s">
        <v>107</v>
      </c>
      <c r="D94" s="74" t="s">
        <v>329</v>
      </c>
      <c r="E94" s="74"/>
      <c r="F94" s="76"/>
      <c r="G94" s="75" t="s">
        <v>47</v>
      </c>
      <c r="H94" s="77">
        <f>DisplayToUSD/(_xlfn.IFNA(INDEX('Quick Inputs- Constants'!$B$15:$C$18,MATCH(List[[#This Row],[Currency]],'Quick Inputs- Constants'!B$15:B$18,0),2),1))</f>
        <v>2.4330900243309003E-3</v>
      </c>
      <c r="I94" s="62">
        <v>1</v>
      </c>
      <c r="J94" s="78">
        <v>800</v>
      </c>
      <c r="K94" s="79" t="s">
        <v>99</v>
      </c>
      <c r="L94" s="80">
        <f>List[[#This Row],[Exchange Rate]]*(1+IF(List[[#This Row],[Budget VAT]]="Yes",VATRate,0))*List[[#This Row],[Budget Quantity]]*List[[#This Row],[Budget Price]]</f>
        <v>2.0924574209245739</v>
      </c>
      <c r="M94" s="63"/>
      <c r="N94" s="79"/>
      <c r="O94" s="79"/>
      <c r="P94" s="35">
        <f>IF(AND(ISBLANK(List[[#This Row],[Updated Quantity]]),ISBLANK(List[[#This Row],[Updated Price]]),ISBLANK(List[[#This Row],[Updated VAT]])),List[[#This Row],[Budget Total]],
List[[#This Row],[Exchange Rate]]*(1+IF(List[[#This Row],[Updated VAT]]="Yes",VATRate,0))*List[[#This Row],[Updated Quantity]]*List[[#This Row],[Updated Price]])</f>
        <v>2.0924574209245739</v>
      </c>
      <c r="Q94" s="87">
        <f>100%</f>
        <v>1</v>
      </c>
      <c r="R94" s="82"/>
      <c r="S94" s="83"/>
      <c r="T94" s="79"/>
      <c r="U94" s="84"/>
      <c r="V94" s="64"/>
      <c r="W94" s="83"/>
      <c r="X94" s="84"/>
      <c r="Y94" s="84"/>
      <c r="Z94" s="64"/>
      <c r="AA94" s="83"/>
      <c r="AB94" s="84"/>
      <c r="AC94" s="84"/>
      <c r="AD9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4" s="81">
        <f>List[[#This Row],[Running Budget Total]]-List[[#This Row],[Cash Out Total]]</f>
        <v>2.0924574209245739</v>
      </c>
      <c r="AF94" s="85" t="str">
        <f>IF(AND(List[[#This Row],[Remaining]]=0,NOT(List[[#This Row],[Running Budget Total]]=0)),Status1,
IF(AND(List[[#This Row],[Remaining]]&lt;0,NOT(List[[#This Row],[Running Budget Total]]=0)),Status2,
IF(AND(List[[#This Row],[Remaining]]=0),Status3,
List[[#This Row],[Spent %]] &amp; Status4)))</f>
        <v>0% paid</v>
      </c>
      <c r="AG94" s="86">
        <f>IFERROR(ROUND(100*List[[#This Row],[Cash Out Total]]/List[[#This Row],[Running Budget Total]],0),0)</f>
        <v>0</v>
      </c>
    </row>
    <row r="95" spans="1:33" ht="40" customHeight="1" x14ac:dyDescent="0.2">
      <c r="A95" s="73" t="s">
        <v>14</v>
      </c>
      <c r="B95" s="74" t="s">
        <v>27</v>
      </c>
      <c r="C95" s="73" t="s">
        <v>107</v>
      </c>
      <c r="D95" s="74" t="s">
        <v>330</v>
      </c>
      <c r="E95" s="74"/>
      <c r="F95" s="76" t="s">
        <v>500</v>
      </c>
      <c r="G95" s="75" t="s">
        <v>47</v>
      </c>
      <c r="H95" s="77">
        <f>DisplayToUSD/(_xlfn.IFNA(INDEX('Quick Inputs- Constants'!$B$15:$C$18,MATCH(List[[#This Row],[Currency]],'Quick Inputs- Constants'!B$15:B$18,0),2),1))</f>
        <v>2.4330900243309003E-3</v>
      </c>
      <c r="I95" s="62">
        <v>0</v>
      </c>
      <c r="J95" s="78">
        <v>0</v>
      </c>
      <c r="K95" s="79" t="s">
        <v>14</v>
      </c>
      <c r="L95" s="80">
        <f>List[[#This Row],[Exchange Rate]]*(1+IF(List[[#This Row],[Budget VAT]]="Yes",VATRate,0))*List[[#This Row],[Budget Quantity]]*List[[#This Row],[Budget Price]]</f>
        <v>0</v>
      </c>
      <c r="M95" s="63"/>
      <c r="N95" s="79"/>
      <c r="O95" s="79"/>
      <c r="P95" s="35">
        <f>IF(AND(ISBLANK(List[[#This Row],[Updated Quantity]]),ISBLANK(List[[#This Row],[Updated Price]]),ISBLANK(List[[#This Row],[Updated VAT]])),List[[#This Row],[Budget Total]],
List[[#This Row],[Exchange Rate]]*(1+IF(List[[#This Row],[Updated VAT]]="Yes",VATRate,0))*List[[#This Row],[Updated Quantity]]*List[[#This Row],[Updated Price]])</f>
        <v>0</v>
      </c>
      <c r="Q95" s="87">
        <f>100%</f>
        <v>1</v>
      </c>
      <c r="R95" s="82"/>
      <c r="S95" s="83"/>
      <c r="T95" s="79"/>
      <c r="U95" s="84"/>
      <c r="V95" s="64"/>
      <c r="W95" s="83"/>
      <c r="X95" s="84"/>
      <c r="Y95" s="84"/>
      <c r="Z95" s="64"/>
      <c r="AA95" s="83"/>
      <c r="AB95" s="84"/>
      <c r="AC95" s="84"/>
      <c r="AD9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5" s="81">
        <f>List[[#This Row],[Running Budget Total]]-List[[#This Row],[Cash Out Total]]</f>
        <v>0</v>
      </c>
      <c r="AF95" s="85" t="str">
        <f>IF(AND(List[[#This Row],[Remaining]]=0,NOT(List[[#This Row],[Running Budget Total]]=0)),Status1,
IF(AND(List[[#This Row],[Remaining]]&lt;0,NOT(List[[#This Row],[Running Budget Total]]=0)),Status2,
IF(AND(List[[#This Row],[Remaining]]=0),Status3,
List[[#This Row],[Spent %]] &amp; Status4)))</f>
        <v>Cancelled</v>
      </c>
      <c r="AG95" s="86">
        <f>IFERROR(ROUND(100*List[[#This Row],[Cash Out Total]]/List[[#This Row],[Running Budget Total]],0),0)</f>
        <v>0</v>
      </c>
    </row>
    <row r="96" spans="1:33" ht="40" customHeight="1" x14ac:dyDescent="0.2">
      <c r="A96" s="11" t="s">
        <v>14</v>
      </c>
      <c r="B96" s="22" t="s">
        <v>27</v>
      </c>
      <c r="C96" s="11" t="s">
        <v>107</v>
      </c>
      <c r="D96" s="22" t="s">
        <v>224</v>
      </c>
      <c r="E96" s="22"/>
      <c r="F96" s="21" t="s">
        <v>104</v>
      </c>
      <c r="G96" s="51" t="s">
        <v>47</v>
      </c>
      <c r="H96" s="37">
        <f>DisplayToUSD/(_xlfn.IFNA(INDEX('Quick Inputs- Constants'!$B$15:$C$18,MATCH(List[[#This Row],[Currency]],'Quick Inputs- Constants'!B$15:B$18,0),2),1))</f>
        <v>2.4330900243309003E-3</v>
      </c>
      <c r="I96" s="62">
        <v>10</v>
      </c>
      <c r="J96" s="52">
        <v>2000</v>
      </c>
      <c r="K96" s="53" t="s">
        <v>99</v>
      </c>
      <c r="L96" s="54">
        <f>List[[#This Row],[Exchange Rate]]*(1+IF(List[[#This Row],[Budget VAT]]="Yes",VATRate,0))*List[[#This Row],[Budget Quantity]]*List[[#This Row],[Budget Price]]</f>
        <v>52.311435523114348</v>
      </c>
      <c r="M96" s="63"/>
      <c r="N96" s="53"/>
      <c r="O96" s="53"/>
      <c r="P96" s="35">
        <f>IF(AND(ISBLANK(List[[#This Row],[Updated Quantity]]),ISBLANK(List[[#This Row],[Updated Price]]),ISBLANK(List[[#This Row],[Updated VAT]])),List[[#This Row],[Budget Total]],
List[[#This Row],[Exchange Rate]]*(1+IF(List[[#This Row],[Updated VAT]]="Yes",VATRate,0))*List[[#This Row],[Updated Quantity]]*List[[#This Row],[Updated Price]])</f>
        <v>52.311435523114348</v>
      </c>
      <c r="Q96" s="87">
        <f>100%</f>
        <v>1</v>
      </c>
      <c r="R96" s="61"/>
      <c r="S96" s="55"/>
      <c r="T96" s="53"/>
      <c r="U96" s="56"/>
      <c r="V96" s="64"/>
      <c r="W96" s="55"/>
      <c r="X96" s="56"/>
      <c r="Y96" s="56"/>
      <c r="Z96" s="64"/>
      <c r="AA96" s="55"/>
      <c r="AB96" s="56"/>
      <c r="AC96" s="56"/>
      <c r="AD9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6" s="35">
        <f>List[[#This Row],[Running Budget Total]]-List[[#This Row],[Cash Out Total]]</f>
        <v>52.311435523114348</v>
      </c>
      <c r="AF96" s="36" t="str">
        <f>IF(AND(List[[#This Row],[Remaining]]=0,NOT(List[[#This Row],[Running Budget Total]]=0)),Status1,
IF(AND(List[[#This Row],[Remaining]]&lt;0,NOT(List[[#This Row],[Running Budget Total]]=0)),Status2,
IF(AND(List[[#This Row],[Remaining]]=0),Status3,
List[[#This Row],[Spent %]] &amp; Status4)))</f>
        <v>0% paid</v>
      </c>
      <c r="AG96" s="57">
        <f>IFERROR(ROUND(100*List[[#This Row],[Cash Out Total]]/List[[#This Row],[Running Budget Total]],0),0)</f>
        <v>0</v>
      </c>
    </row>
    <row r="97" spans="1:33" ht="40" customHeight="1" x14ac:dyDescent="0.2">
      <c r="A97" s="11" t="s">
        <v>14</v>
      </c>
      <c r="B97" s="22" t="s">
        <v>27</v>
      </c>
      <c r="C97" s="11" t="s">
        <v>107</v>
      </c>
      <c r="D97" s="22" t="s">
        <v>103</v>
      </c>
      <c r="E97" s="22"/>
      <c r="F97" s="21"/>
      <c r="G97" s="51" t="s">
        <v>47</v>
      </c>
      <c r="H97" s="37">
        <f>DisplayToUSD/(_xlfn.IFNA(INDEX('Quick Inputs- Constants'!$B$15:$C$18,MATCH(List[[#This Row],[Currency]],'Quick Inputs- Constants'!B$15:B$18,0),2),1))</f>
        <v>2.4330900243309003E-3</v>
      </c>
      <c r="I97" s="62">
        <v>1</v>
      </c>
      <c r="J97" s="52">
        <v>20000</v>
      </c>
      <c r="K97" s="53" t="s">
        <v>99</v>
      </c>
      <c r="L97" s="54">
        <f>List[[#This Row],[Exchange Rate]]*(1+IF(List[[#This Row],[Budget VAT]]="Yes",VATRate,0))*List[[#This Row],[Budget Quantity]]*List[[#This Row],[Budget Price]]</f>
        <v>52.311435523114348</v>
      </c>
      <c r="M97" s="63"/>
      <c r="N97" s="53"/>
      <c r="O97" s="53"/>
      <c r="P97" s="35">
        <f>IF(AND(ISBLANK(List[[#This Row],[Updated Quantity]]),ISBLANK(List[[#This Row],[Updated Price]]),ISBLANK(List[[#This Row],[Updated VAT]])),List[[#This Row],[Budget Total]],
List[[#This Row],[Exchange Rate]]*(1+IF(List[[#This Row],[Updated VAT]]="Yes",VATRate,0))*List[[#This Row],[Updated Quantity]]*List[[#This Row],[Updated Price]])</f>
        <v>52.311435523114348</v>
      </c>
      <c r="Q97" s="87">
        <f>100%</f>
        <v>1</v>
      </c>
      <c r="R97" s="61"/>
      <c r="S97" s="55"/>
      <c r="T97" s="53"/>
      <c r="U97" s="56"/>
      <c r="V97" s="64"/>
      <c r="W97" s="55"/>
      <c r="X97" s="56"/>
      <c r="Y97" s="56"/>
      <c r="Z97" s="64"/>
      <c r="AA97" s="55"/>
      <c r="AB97" s="56"/>
      <c r="AC97" s="56"/>
      <c r="AD9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7" s="35">
        <f>List[[#This Row],[Running Budget Total]]-List[[#This Row],[Cash Out Total]]</f>
        <v>52.311435523114348</v>
      </c>
      <c r="AF97" s="36" t="str">
        <f>IF(AND(List[[#This Row],[Remaining]]=0,NOT(List[[#This Row],[Running Budget Total]]=0)),Status1,
IF(AND(List[[#This Row],[Remaining]]&lt;0,NOT(List[[#This Row],[Running Budget Total]]=0)),Status2,
IF(AND(List[[#This Row],[Remaining]]=0),Status3,
List[[#This Row],[Spent %]] &amp; Status4)))</f>
        <v>0% paid</v>
      </c>
      <c r="AG97" s="57">
        <f>IFERROR(ROUND(100*List[[#This Row],[Cash Out Total]]/List[[#This Row],[Running Budget Total]],0),0)</f>
        <v>0</v>
      </c>
    </row>
    <row r="98" spans="1:33" ht="40" customHeight="1" x14ac:dyDescent="0.2">
      <c r="A98" s="11" t="s">
        <v>209</v>
      </c>
      <c r="B98" s="22" t="s">
        <v>27</v>
      </c>
      <c r="C98" s="11" t="s">
        <v>107</v>
      </c>
      <c r="D98" s="22" t="s">
        <v>81</v>
      </c>
      <c r="E98" s="22"/>
      <c r="F98" s="21"/>
      <c r="G98" s="51" t="s">
        <v>47</v>
      </c>
      <c r="H98" s="37">
        <f>DisplayToUSD/(_xlfn.IFNA(INDEX('Quick Inputs- Constants'!$B$15:$C$18,MATCH(List[[#This Row],[Currency]],'Quick Inputs- Constants'!B$15:B$18,0),2),1))</f>
        <v>2.4330900243309003E-3</v>
      </c>
      <c r="I98" s="62">
        <f>PVStringCount</f>
        <v>30</v>
      </c>
      <c r="J98" s="52">
        <v>1500</v>
      </c>
      <c r="K98" s="53" t="s">
        <v>99</v>
      </c>
      <c r="L98" s="54">
        <f>List[[#This Row],[Exchange Rate]]*(1+IF(List[[#This Row],[Budget VAT]]="Yes",VATRate,0))*List[[#This Row],[Budget Quantity]]*List[[#This Row],[Budget Price]]</f>
        <v>117.70072992700727</v>
      </c>
      <c r="M98" s="63"/>
      <c r="N98" s="53"/>
      <c r="O98" s="53"/>
      <c r="P98" s="35">
        <f>IF(AND(ISBLANK(List[[#This Row],[Updated Quantity]]),ISBLANK(List[[#This Row],[Updated Price]]),ISBLANK(List[[#This Row],[Updated VAT]])),List[[#This Row],[Budget Total]],
List[[#This Row],[Exchange Rate]]*(1+IF(List[[#This Row],[Updated VAT]]="Yes",VATRate,0))*List[[#This Row],[Updated Quantity]]*List[[#This Row],[Updated Price]])</f>
        <v>117.70072992700727</v>
      </c>
      <c r="Q98" s="87">
        <f>100%</f>
        <v>1</v>
      </c>
      <c r="R98" s="61"/>
      <c r="S98" s="55"/>
      <c r="T98" s="53"/>
      <c r="U98" s="56"/>
      <c r="V98" s="64"/>
      <c r="W98" s="55"/>
      <c r="X98" s="56"/>
      <c r="Y98" s="56"/>
      <c r="Z98" s="64"/>
      <c r="AA98" s="55"/>
      <c r="AB98" s="56"/>
      <c r="AC98" s="56"/>
      <c r="AD9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8" s="35">
        <f>List[[#This Row],[Running Budget Total]]-List[[#This Row],[Cash Out Total]]</f>
        <v>117.70072992700727</v>
      </c>
      <c r="AF98" s="36" t="str">
        <f>IF(AND(List[[#This Row],[Remaining]]=0,NOT(List[[#This Row],[Running Budget Total]]=0)),Status1,
IF(AND(List[[#This Row],[Remaining]]&lt;0,NOT(List[[#This Row],[Running Budget Total]]=0)),Status2,
IF(AND(List[[#This Row],[Remaining]]=0),Status3,
List[[#This Row],[Spent %]] &amp; Status4)))</f>
        <v>0% paid</v>
      </c>
      <c r="AG98" s="57">
        <f>IFERROR(ROUND(100*List[[#This Row],[Cash Out Total]]/List[[#This Row],[Running Budget Total]],0),0)</f>
        <v>0</v>
      </c>
    </row>
    <row r="99" spans="1:33" ht="40" customHeight="1" x14ac:dyDescent="0.2">
      <c r="A99" s="11" t="s">
        <v>209</v>
      </c>
      <c r="B99" s="22" t="s">
        <v>27</v>
      </c>
      <c r="C99" s="11" t="s">
        <v>107</v>
      </c>
      <c r="D99" s="58" t="s">
        <v>231</v>
      </c>
      <c r="E99" s="22"/>
      <c r="F99" s="21"/>
      <c r="G99" s="51" t="s">
        <v>47</v>
      </c>
      <c r="H99" s="37">
        <f>DisplayToUSD/(_xlfn.IFNA(INDEX('Quick Inputs- Constants'!$B$15:$C$18,MATCH(List[[#This Row],[Currency]],'Quick Inputs- Constants'!B$15:B$18,0),2),1))</f>
        <v>2.4330900243309003E-3</v>
      </c>
      <c r="I99" s="62">
        <f>PVCCCount</f>
        <v>10</v>
      </c>
      <c r="J99" s="52">
        <v>15000</v>
      </c>
      <c r="K99" s="53" t="s">
        <v>99</v>
      </c>
      <c r="L99" s="54">
        <f>List[[#This Row],[Exchange Rate]]*(1+IF(List[[#This Row],[Budget VAT]]="Yes",VATRate,0))*List[[#This Row],[Budget Quantity]]*List[[#This Row],[Budget Price]]</f>
        <v>392.3357664233576</v>
      </c>
      <c r="M99" s="63"/>
      <c r="N99" s="53"/>
      <c r="O99" s="53"/>
      <c r="P99" s="35">
        <f>IF(AND(ISBLANK(List[[#This Row],[Updated Quantity]]),ISBLANK(List[[#This Row],[Updated Price]]),ISBLANK(List[[#This Row],[Updated VAT]])),List[[#This Row],[Budget Total]],
List[[#This Row],[Exchange Rate]]*(1+IF(List[[#This Row],[Updated VAT]]="Yes",VATRate,0))*List[[#This Row],[Updated Quantity]]*List[[#This Row],[Updated Price]])</f>
        <v>392.3357664233576</v>
      </c>
      <c r="Q99" s="87">
        <f>100%</f>
        <v>1</v>
      </c>
      <c r="R99" s="61"/>
      <c r="S99" s="55"/>
      <c r="T99" s="53"/>
      <c r="U99" s="56"/>
      <c r="V99" s="64"/>
      <c r="W99" s="55"/>
      <c r="X99" s="56"/>
      <c r="Y99" s="56"/>
      <c r="Z99" s="64"/>
      <c r="AA99" s="55"/>
      <c r="AB99" s="56"/>
      <c r="AC99" s="56"/>
      <c r="AD9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9" s="35">
        <f>List[[#This Row],[Running Budget Total]]-List[[#This Row],[Cash Out Total]]</f>
        <v>392.3357664233576</v>
      </c>
      <c r="AF99" s="36" t="str">
        <f>IF(AND(List[[#This Row],[Remaining]]=0,NOT(List[[#This Row],[Running Budget Total]]=0)),Status1,
IF(AND(List[[#This Row],[Remaining]]&lt;0,NOT(List[[#This Row],[Running Budget Total]]=0)),Status2,
IF(AND(List[[#This Row],[Remaining]]=0),Status3,
List[[#This Row],[Spent %]] &amp; Status4)))</f>
        <v>0% paid</v>
      </c>
      <c r="AG99" s="57">
        <f>IFERROR(ROUND(100*List[[#This Row],[Cash Out Total]]/List[[#This Row],[Running Budget Total]],0),0)</f>
        <v>0</v>
      </c>
    </row>
    <row r="100" spans="1:33" ht="40" customHeight="1" x14ac:dyDescent="0.2">
      <c r="A100" s="11" t="s">
        <v>14</v>
      </c>
      <c r="B100" s="22" t="s">
        <v>27</v>
      </c>
      <c r="C100" s="11" t="s">
        <v>107</v>
      </c>
      <c r="D100" s="58" t="s">
        <v>501</v>
      </c>
      <c r="E100" s="22"/>
      <c r="F100" s="21"/>
      <c r="G100" s="51" t="s">
        <v>47</v>
      </c>
      <c r="H100" s="37">
        <f>DisplayToUSD/(_xlfn.IFNA(INDEX('Quick Inputs- Constants'!$B$15:$C$18,MATCH(List[[#This Row],[Currency]],'Quick Inputs- Constants'!B$15:B$18,0),2),1))</f>
        <v>2.4330900243309003E-3</v>
      </c>
      <c r="I100" s="62">
        <v>50</v>
      </c>
      <c r="J100" s="52">
        <v>1300</v>
      </c>
      <c r="K100" s="53" t="s">
        <v>99</v>
      </c>
      <c r="L100" s="54">
        <f>List[[#This Row],[Exchange Rate]]*(1+IF(List[[#This Row],[Budget VAT]]="Yes",VATRate,0))*List[[#This Row],[Budget Quantity]]*List[[#This Row],[Budget Price]]</f>
        <v>170.01216545012161</v>
      </c>
      <c r="M100" s="63"/>
      <c r="N100" s="53"/>
      <c r="O100" s="53"/>
      <c r="P100" s="35">
        <f>IF(AND(ISBLANK(List[[#This Row],[Updated Quantity]]),ISBLANK(List[[#This Row],[Updated Price]]),ISBLANK(List[[#This Row],[Updated VAT]])),List[[#This Row],[Budget Total]],
List[[#This Row],[Exchange Rate]]*(1+IF(List[[#This Row],[Updated VAT]]="Yes",VATRate,0))*List[[#This Row],[Updated Quantity]]*List[[#This Row],[Updated Price]])</f>
        <v>170.01216545012161</v>
      </c>
      <c r="Q100" s="87">
        <f>100%</f>
        <v>1</v>
      </c>
      <c r="R100" s="61"/>
      <c r="S100" s="55"/>
      <c r="T100" s="53"/>
      <c r="U100" s="56"/>
      <c r="V100" s="64"/>
      <c r="W100" s="55"/>
      <c r="X100" s="56"/>
      <c r="Y100" s="56"/>
      <c r="Z100" s="64"/>
      <c r="AA100" s="55"/>
      <c r="AB100" s="56"/>
      <c r="AC100" s="56"/>
      <c r="AD10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0" s="35">
        <f>List[[#This Row],[Running Budget Total]]-List[[#This Row],[Cash Out Total]]</f>
        <v>170.01216545012161</v>
      </c>
      <c r="AF100" s="36" t="str">
        <f>IF(AND(List[[#This Row],[Remaining]]=0,NOT(List[[#This Row],[Running Budget Total]]=0)),Status1,
IF(AND(List[[#This Row],[Remaining]]&lt;0,NOT(List[[#This Row],[Running Budget Total]]=0)),Status2,
IF(AND(List[[#This Row],[Remaining]]=0),Status3,
List[[#This Row],[Spent %]] &amp; Status4)))</f>
        <v>0% paid</v>
      </c>
      <c r="AG100" s="57">
        <f>IFERROR(ROUND(100*List[[#This Row],[Cash Out Total]]/List[[#This Row],[Running Budget Total]],0),0)</f>
        <v>0</v>
      </c>
    </row>
    <row r="101" spans="1:33" ht="40" customHeight="1" x14ac:dyDescent="0.2">
      <c r="A101" s="11" t="s">
        <v>209</v>
      </c>
      <c r="B101" s="22" t="s">
        <v>27</v>
      </c>
      <c r="C101" s="11" t="s">
        <v>107</v>
      </c>
      <c r="D101" s="58" t="s">
        <v>234</v>
      </c>
      <c r="E101" s="22"/>
      <c r="F101" s="21"/>
      <c r="G101" s="51" t="s">
        <v>47</v>
      </c>
      <c r="H101" s="37">
        <f>DisplayToUSD/(_xlfn.IFNA(INDEX('Quick Inputs- Constants'!$B$15:$C$18,MATCH(List[[#This Row],[Currency]],'Quick Inputs- Constants'!B$15:B$18,0),2),1))</f>
        <v>2.4330900243309003E-3</v>
      </c>
      <c r="I101" s="62">
        <f>(1/3)*PVStringCount*(3+6+9+1+1)*1.2</f>
        <v>240</v>
      </c>
      <c r="J101" s="52">
        <v>300</v>
      </c>
      <c r="K101" s="53" t="s">
        <v>99</v>
      </c>
      <c r="L101" s="54">
        <f>List[[#This Row],[Exchange Rate]]*(1+IF(List[[#This Row],[Budget VAT]]="Yes",VATRate,0))*List[[#This Row],[Budget Quantity]]*List[[#This Row],[Budget Price]]</f>
        <v>188.32116788321164</v>
      </c>
      <c r="M101" s="63"/>
      <c r="N101" s="53"/>
      <c r="O101" s="53"/>
      <c r="P101" s="35">
        <f>IF(AND(ISBLANK(List[[#This Row],[Updated Quantity]]),ISBLANK(List[[#This Row],[Updated Price]]),ISBLANK(List[[#This Row],[Updated VAT]])),List[[#This Row],[Budget Total]],
List[[#This Row],[Exchange Rate]]*(1+IF(List[[#This Row],[Updated VAT]]="Yes",VATRate,0))*List[[#This Row],[Updated Quantity]]*List[[#This Row],[Updated Price]])</f>
        <v>188.32116788321164</v>
      </c>
      <c r="Q101" s="87">
        <f>100%</f>
        <v>1</v>
      </c>
      <c r="R101" s="61"/>
      <c r="S101" s="55"/>
      <c r="T101" s="53"/>
      <c r="U101" s="56"/>
      <c r="V101" s="64"/>
      <c r="W101" s="55"/>
      <c r="X101" s="56"/>
      <c r="Y101" s="56"/>
      <c r="Z101" s="64"/>
      <c r="AA101" s="55"/>
      <c r="AB101" s="56"/>
      <c r="AC101" s="56"/>
      <c r="AD10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1" s="35">
        <f>List[[#This Row],[Running Budget Total]]-List[[#This Row],[Cash Out Total]]</f>
        <v>188.32116788321164</v>
      </c>
      <c r="AF101" s="36" t="str">
        <f>IF(AND(List[[#This Row],[Remaining]]=0,NOT(List[[#This Row],[Running Budget Total]]=0)),Status1,
IF(AND(List[[#This Row],[Remaining]]&lt;0,NOT(List[[#This Row],[Running Budget Total]]=0)),Status2,
IF(AND(List[[#This Row],[Remaining]]=0),Status3,
List[[#This Row],[Spent %]] &amp; Status4)))</f>
        <v>0% paid</v>
      </c>
      <c r="AG101" s="57">
        <f>IFERROR(ROUND(100*List[[#This Row],[Cash Out Total]]/List[[#This Row],[Running Budget Total]],0),0)</f>
        <v>0</v>
      </c>
    </row>
    <row r="102" spans="1:33" ht="40" customHeight="1" x14ac:dyDescent="0.2">
      <c r="A102" s="73" t="s">
        <v>14</v>
      </c>
      <c r="B102" s="74" t="s">
        <v>27</v>
      </c>
      <c r="C102" s="73" t="s">
        <v>107</v>
      </c>
      <c r="D102" s="74" t="s">
        <v>599</v>
      </c>
      <c r="E102" s="74"/>
      <c r="F102" s="76"/>
      <c r="G102" s="75" t="s">
        <v>18</v>
      </c>
      <c r="H102" s="77">
        <f>DisplayToUSD/(_xlfn.IFNA(INDEX('Quick Inputs- Constants'!$B$15:$C$18,MATCH(List[[#This Row],[Currency]],'Quick Inputs- Constants'!B$15:B$18,0),2),1))</f>
        <v>1</v>
      </c>
      <c r="I102" s="62">
        <v>1</v>
      </c>
      <c r="J102" s="78">
        <v>392.52</v>
      </c>
      <c r="K102" s="79" t="s">
        <v>14</v>
      </c>
      <c r="L102" s="80">
        <f>List[[#This Row],[Exchange Rate]]*(1+IF(List[[#This Row],[Budget VAT]]="Yes",VATRate,0))*List[[#This Row],[Budget Quantity]]*List[[#This Row],[Budget Price]]</f>
        <v>392.52</v>
      </c>
      <c r="M102" s="63"/>
      <c r="N102" s="79"/>
      <c r="O102" s="79"/>
      <c r="P102" s="35">
        <f>IF(AND(ISBLANK(List[[#This Row],[Updated Quantity]]),ISBLANK(List[[#This Row],[Updated Price]]),ISBLANK(List[[#This Row],[Updated VAT]])),List[[#This Row],[Budget Total]],
List[[#This Row],[Exchange Rate]]*(1+IF(List[[#This Row],[Updated VAT]]="Yes",VATRate,0))*List[[#This Row],[Updated Quantity]]*List[[#This Row],[Updated Price]])</f>
        <v>392.52</v>
      </c>
      <c r="Q102" s="87">
        <f>100%</f>
        <v>1</v>
      </c>
      <c r="R102" s="82"/>
      <c r="S102" s="83"/>
      <c r="T102" s="79"/>
      <c r="U102" s="84"/>
      <c r="V102" s="64"/>
      <c r="W102" s="83"/>
      <c r="X102" s="84"/>
      <c r="Y102" s="84"/>
      <c r="Z102" s="64"/>
      <c r="AA102" s="83"/>
      <c r="AB102" s="84"/>
      <c r="AC102" s="84"/>
      <c r="AD10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2" s="81">
        <f>List[[#This Row],[Running Budget Total]]-List[[#This Row],[Cash Out Total]]</f>
        <v>392.52</v>
      </c>
      <c r="AF102" s="85" t="str">
        <f>IF(AND(List[[#This Row],[Remaining]]=0,NOT(List[[#This Row],[Running Budget Total]]=0)),Status1,
IF(AND(List[[#This Row],[Remaining]]&lt;0,NOT(List[[#This Row],[Running Budget Total]]=0)),Status2,
IF(AND(List[[#This Row],[Remaining]]=0),Status3,
List[[#This Row],[Spent %]] &amp; Status4)))</f>
        <v>0% paid</v>
      </c>
      <c r="AG102" s="86">
        <f>IFERROR(ROUND(100*List[[#This Row],[Cash Out Total]]/List[[#This Row],[Running Budget Total]],0),0)</f>
        <v>0</v>
      </c>
    </row>
    <row r="103" spans="1:33" ht="40" customHeight="1" x14ac:dyDescent="0.2">
      <c r="A103" s="11" t="s">
        <v>14</v>
      </c>
      <c r="B103" s="22" t="s">
        <v>27</v>
      </c>
      <c r="C103" s="11" t="s">
        <v>107</v>
      </c>
      <c r="D103" s="58" t="s">
        <v>232</v>
      </c>
      <c r="E103" s="22"/>
      <c r="F103" s="21"/>
      <c r="G103" s="51" t="s">
        <v>47</v>
      </c>
      <c r="H103" s="37">
        <f>DisplayToUSD/(_xlfn.IFNA(INDEX('Quick Inputs- Constants'!$B$15:$C$18,MATCH(List[[#This Row],[Currency]],'Quick Inputs- Constants'!B$15:B$18,0),2),1))</f>
        <v>2.4330900243309003E-3</v>
      </c>
      <c r="I103" s="62">
        <v>20</v>
      </c>
      <c r="J103" s="52">
        <v>16000</v>
      </c>
      <c r="K103" s="53" t="s">
        <v>99</v>
      </c>
      <c r="L103" s="54">
        <f>List[[#This Row],[Exchange Rate]]*(1+IF(List[[#This Row],[Budget VAT]]="Yes",VATRate,0))*List[[#This Row],[Budget Quantity]]*List[[#This Row],[Budget Price]]</f>
        <v>836.98296836982956</v>
      </c>
      <c r="M103" s="63"/>
      <c r="N103" s="53"/>
      <c r="O103" s="53"/>
      <c r="P103" s="35">
        <f>IF(AND(ISBLANK(List[[#This Row],[Updated Quantity]]),ISBLANK(List[[#This Row],[Updated Price]]),ISBLANK(List[[#This Row],[Updated VAT]])),List[[#This Row],[Budget Total]],
List[[#This Row],[Exchange Rate]]*(1+IF(List[[#This Row],[Updated VAT]]="Yes",VATRate,0))*List[[#This Row],[Updated Quantity]]*List[[#This Row],[Updated Price]])</f>
        <v>836.98296836982956</v>
      </c>
      <c r="Q103" s="87">
        <f>100%</f>
        <v>1</v>
      </c>
      <c r="R103" s="61"/>
      <c r="S103" s="55"/>
      <c r="T103" s="53"/>
      <c r="U103" s="56"/>
      <c r="V103" s="64"/>
      <c r="W103" s="55"/>
      <c r="X103" s="56"/>
      <c r="Y103" s="56"/>
      <c r="Z103" s="64"/>
      <c r="AA103" s="55"/>
      <c r="AB103" s="56"/>
      <c r="AC103" s="56"/>
      <c r="AD10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3" s="35">
        <f>List[[#This Row],[Running Budget Total]]-List[[#This Row],[Cash Out Total]]</f>
        <v>836.98296836982956</v>
      </c>
      <c r="AF103" s="36" t="str">
        <f>IF(AND(List[[#This Row],[Remaining]]=0,NOT(List[[#This Row],[Running Budget Total]]=0)),Status1,
IF(AND(List[[#This Row],[Remaining]]&lt;0,NOT(List[[#This Row],[Running Budget Total]]=0)),Status2,
IF(AND(List[[#This Row],[Remaining]]=0),Status3,
List[[#This Row],[Spent %]] &amp; Status4)))</f>
        <v>0% paid</v>
      </c>
      <c r="AG103" s="57">
        <f>IFERROR(ROUND(100*List[[#This Row],[Cash Out Total]]/List[[#This Row],[Running Budget Total]],0),0)</f>
        <v>0</v>
      </c>
    </row>
    <row r="104" spans="1:33" ht="40" customHeight="1" x14ac:dyDescent="0.2">
      <c r="A104" s="73" t="s">
        <v>14</v>
      </c>
      <c r="B104" s="74" t="s">
        <v>28</v>
      </c>
      <c r="C104" s="73" t="s">
        <v>19</v>
      </c>
      <c r="D104" s="89" t="s">
        <v>286</v>
      </c>
      <c r="E104" s="74"/>
      <c r="F104" s="21"/>
      <c r="G104" s="75" t="s">
        <v>47</v>
      </c>
      <c r="H104" s="77">
        <f>DisplayToUSD/(_xlfn.IFNA(INDEX('Quick Inputs- Constants'!$B$15:$C$18,MATCH(List[[#This Row],[Currency]],'Quick Inputs- Constants'!B$15:B$18,0),2),1))</f>
        <v>2.4330900243309003E-3</v>
      </c>
      <c r="I104" s="62">
        <v>1</v>
      </c>
      <c r="J104" s="78">
        <v>70000</v>
      </c>
      <c r="K104" s="79" t="s">
        <v>14</v>
      </c>
      <c r="L104" s="80">
        <f>List[[#This Row],[Exchange Rate]]*(1+IF(List[[#This Row],[Budget VAT]]="Yes",VATRate,0))*List[[#This Row],[Budget Quantity]]*List[[#This Row],[Budget Price]]</f>
        <v>170.31630170316302</v>
      </c>
      <c r="M104" s="63"/>
      <c r="N104" s="79"/>
      <c r="O104" s="79"/>
      <c r="P104" s="81">
        <f>IF(AND(ISBLANK(List[[#This Row],[Updated Quantity]]),ISBLANK(List[[#This Row],[Updated Price]]),ISBLANK(List[[#This Row],[Updated VAT]])),List[[#This Row],[Budget Total]],
List[[#This Row],[Exchange Rate]]*(1+IF(List[[#This Row],[Updated VAT]]="Yes",VATRate,0))*List[[#This Row],[Updated Quantity]]*List[[#This Row],[Updated Price]])</f>
        <v>170.31630170316302</v>
      </c>
      <c r="Q104" s="87">
        <f>100%</f>
        <v>1</v>
      </c>
      <c r="R104" s="82"/>
      <c r="S104" s="83"/>
      <c r="T104" s="79"/>
      <c r="U104" s="84"/>
      <c r="V104" s="64"/>
      <c r="W104" s="83"/>
      <c r="X104" s="84"/>
      <c r="Y104" s="84"/>
      <c r="Z104" s="64"/>
      <c r="AA104" s="83"/>
      <c r="AB104" s="84"/>
      <c r="AC104" s="84"/>
      <c r="AD10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4" s="81">
        <f>List[[#This Row],[Running Budget Total]]-List[[#This Row],[Cash Out Total]]</f>
        <v>170.31630170316302</v>
      </c>
      <c r="AF104" s="85" t="str">
        <f>IF(AND(List[[#This Row],[Remaining]]=0,NOT(List[[#This Row],[Running Budget Total]]=0)),Status1,
IF(AND(List[[#This Row],[Remaining]]&lt;0,NOT(List[[#This Row],[Running Budget Total]]=0)),Status2,
IF(AND(List[[#This Row],[Remaining]]=0),Status3,
List[[#This Row],[Spent %]] &amp; Status4)))</f>
        <v>0% paid</v>
      </c>
      <c r="AG104" s="86">
        <f>IFERROR(ROUND(100*List[[#This Row],[Cash Out Total]]/List[[#This Row],[Running Budget Total]],0),0)</f>
        <v>0</v>
      </c>
    </row>
    <row r="105" spans="1:33" ht="40" customHeight="1" x14ac:dyDescent="0.2">
      <c r="A105" s="73" t="s">
        <v>14</v>
      </c>
      <c r="B105" s="74" t="s">
        <v>28</v>
      </c>
      <c r="C105" s="73" t="s">
        <v>19</v>
      </c>
      <c r="D105" s="74" t="s">
        <v>211</v>
      </c>
      <c r="E105" s="74"/>
      <c r="F105" s="76"/>
      <c r="G105" s="75" t="s">
        <v>47</v>
      </c>
      <c r="H105" s="77">
        <f>DisplayToUSD/(_xlfn.IFNA(INDEX('Quick Inputs- Constants'!$B$15:$C$18,MATCH(List[[#This Row],[Currency]],'Quick Inputs- Constants'!B$15:B$18,0),2),1))</f>
        <v>2.4330900243309003E-3</v>
      </c>
      <c r="I105" s="62">
        <v>1</v>
      </c>
      <c r="J105" s="78">
        <v>50000</v>
      </c>
      <c r="K105" s="79" t="s">
        <v>14</v>
      </c>
      <c r="L105" s="80">
        <f>List[[#This Row],[Exchange Rate]]*(1+IF(List[[#This Row],[Budget VAT]]="Yes",VATRate,0))*List[[#This Row],[Budget Quantity]]*List[[#This Row],[Budget Price]]</f>
        <v>121.65450121654501</v>
      </c>
      <c r="M105" s="63"/>
      <c r="N105" s="79"/>
      <c r="O105" s="79"/>
      <c r="P105" s="81">
        <f>IF(AND(ISBLANK(List[[#This Row],[Updated Quantity]]),ISBLANK(List[[#This Row],[Updated Price]]),ISBLANK(List[[#This Row],[Updated VAT]])),List[[#This Row],[Budget Total]],
List[[#This Row],[Exchange Rate]]*(1+IF(List[[#This Row],[Updated VAT]]="Yes",VATRate,0))*List[[#This Row],[Updated Quantity]]*List[[#This Row],[Updated Price]])</f>
        <v>121.65450121654501</v>
      </c>
      <c r="Q105" s="87">
        <f>100%</f>
        <v>1</v>
      </c>
      <c r="R105" s="82"/>
      <c r="S105" s="83"/>
      <c r="T105" s="79"/>
      <c r="U105" s="84"/>
      <c r="V105" s="64"/>
      <c r="W105" s="83"/>
      <c r="X105" s="84"/>
      <c r="Y105" s="84"/>
      <c r="Z105" s="64"/>
      <c r="AA105" s="83"/>
      <c r="AB105" s="84"/>
      <c r="AC105" s="84"/>
      <c r="AD10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5" s="81">
        <f>List[[#This Row],[Running Budget Total]]-List[[#This Row],[Cash Out Total]]</f>
        <v>121.65450121654501</v>
      </c>
      <c r="AF105" s="85" t="str">
        <f>IF(AND(List[[#This Row],[Remaining]]=0,NOT(List[[#This Row],[Running Budget Total]]=0)),Status1,
IF(AND(List[[#This Row],[Remaining]]&lt;0,NOT(List[[#This Row],[Running Budget Total]]=0)),Status2,
IF(AND(List[[#This Row],[Remaining]]=0),Status3,
List[[#This Row],[Spent %]] &amp; Status4)))</f>
        <v>0% paid</v>
      </c>
      <c r="AG105" s="86">
        <f>IFERROR(ROUND(100*List[[#This Row],[Cash Out Total]]/List[[#This Row],[Running Budget Total]],0),0)</f>
        <v>0</v>
      </c>
    </row>
    <row r="106" spans="1:33" ht="40" customHeight="1" x14ac:dyDescent="0.2">
      <c r="A106" s="73" t="s">
        <v>14</v>
      </c>
      <c r="B106" s="74" t="s">
        <v>28</v>
      </c>
      <c r="C106" s="73" t="s">
        <v>19</v>
      </c>
      <c r="D106" s="89" t="s">
        <v>287</v>
      </c>
      <c r="E106" s="74"/>
      <c r="F106" s="76"/>
      <c r="G106" s="75" t="s">
        <v>47</v>
      </c>
      <c r="H106" s="77">
        <f>DisplayToUSD/(_xlfn.IFNA(INDEX('Quick Inputs- Constants'!$B$15:$C$18,MATCH(List[[#This Row],[Currency]],'Quick Inputs- Constants'!B$15:B$18,0),2),1))</f>
        <v>2.4330900243309003E-3</v>
      </c>
      <c r="I106" s="62">
        <v>1</v>
      </c>
      <c r="J106" s="78">
        <v>70000</v>
      </c>
      <c r="K106" s="79" t="s">
        <v>14</v>
      </c>
      <c r="L106" s="80">
        <f>List[[#This Row],[Exchange Rate]]*(1+IF(List[[#This Row],[Budget VAT]]="Yes",VATRate,0))*List[[#This Row],[Budget Quantity]]*List[[#This Row],[Budget Price]]</f>
        <v>170.31630170316302</v>
      </c>
      <c r="M106" s="63"/>
      <c r="N106" s="79"/>
      <c r="O106" s="79"/>
      <c r="P106" s="81">
        <f>IF(AND(ISBLANK(List[[#This Row],[Updated Quantity]]),ISBLANK(List[[#This Row],[Updated Price]]),ISBLANK(List[[#This Row],[Updated VAT]])),List[[#This Row],[Budget Total]],
List[[#This Row],[Exchange Rate]]*(1+IF(List[[#This Row],[Updated VAT]]="Yes",VATRate,0))*List[[#This Row],[Updated Quantity]]*List[[#This Row],[Updated Price]])</f>
        <v>170.31630170316302</v>
      </c>
      <c r="Q106" s="87">
        <f>100%</f>
        <v>1</v>
      </c>
      <c r="R106" s="82"/>
      <c r="S106" s="83"/>
      <c r="T106" s="79"/>
      <c r="U106" s="84"/>
      <c r="V106" s="64"/>
      <c r="W106" s="83"/>
      <c r="X106" s="84"/>
      <c r="Y106" s="84"/>
      <c r="Z106" s="64"/>
      <c r="AA106" s="83"/>
      <c r="AB106" s="84"/>
      <c r="AC106" s="84"/>
      <c r="AD10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6" s="81">
        <f>List[[#This Row],[Running Budget Total]]-List[[#This Row],[Cash Out Total]]</f>
        <v>170.31630170316302</v>
      </c>
      <c r="AF106" s="85" t="str">
        <f>IF(AND(List[[#This Row],[Remaining]]=0,NOT(List[[#This Row],[Running Budget Total]]=0)),Status1,
IF(AND(List[[#This Row],[Remaining]]&lt;0,NOT(List[[#This Row],[Running Budget Total]]=0)),Status2,
IF(AND(List[[#This Row],[Remaining]]=0),Status3,
List[[#This Row],[Spent %]] &amp; Status4)))</f>
        <v>0% paid</v>
      </c>
      <c r="AG106" s="86">
        <f>IFERROR(ROUND(100*List[[#This Row],[Cash Out Total]]/List[[#This Row],[Running Budget Total]],0),0)</f>
        <v>0</v>
      </c>
    </row>
    <row r="107" spans="1:33" ht="40" customHeight="1" x14ac:dyDescent="0.2">
      <c r="A107" s="11" t="s">
        <v>14</v>
      </c>
      <c r="B107" s="22" t="s">
        <v>28</v>
      </c>
      <c r="C107" s="11" t="s">
        <v>19</v>
      </c>
      <c r="D107" s="22" t="s">
        <v>236</v>
      </c>
      <c r="E107" s="22"/>
      <c r="F107" s="21"/>
      <c r="G107" s="51" t="s">
        <v>47</v>
      </c>
      <c r="H107" s="37">
        <f>DisplayToUSD/(_xlfn.IFNA(INDEX('Quick Inputs- Constants'!$B$15:$C$18,MATCH(List[[#This Row],[Currency]],'Quick Inputs- Constants'!B$15:B$18,0),2),1))</f>
        <v>2.4330900243309003E-3</v>
      </c>
      <c r="I107" s="62">
        <v>1</v>
      </c>
      <c r="J107" s="52">
        <v>30000</v>
      </c>
      <c r="K107" s="53" t="s">
        <v>14</v>
      </c>
      <c r="L107" s="54">
        <f>List[[#This Row],[Exchange Rate]]*(1+IF(List[[#This Row],[Budget VAT]]="Yes",VATRate,0))*List[[#This Row],[Budget Quantity]]*List[[#This Row],[Budget Price]]</f>
        <v>72.992700729927009</v>
      </c>
      <c r="M107" s="63"/>
      <c r="N107" s="53"/>
      <c r="O107" s="53"/>
      <c r="P107" s="35">
        <f>IF(AND(ISBLANK(List[[#This Row],[Updated Quantity]]),ISBLANK(List[[#This Row],[Updated Price]]),ISBLANK(List[[#This Row],[Updated VAT]])),List[[#This Row],[Budget Total]],
List[[#This Row],[Exchange Rate]]*(1+IF(List[[#This Row],[Updated VAT]]="Yes",VATRate,0))*List[[#This Row],[Updated Quantity]]*List[[#This Row],[Updated Price]])</f>
        <v>72.992700729927009</v>
      </c>
      <c r="Q107" s="87">
        <f>100%</f>
        <v>1</v>
      </c>
      <c r="R107" s="61"/>
      <c r="S107" s="55"/>
      <c r="T107" s="53"/>
      <c r="U107" s="56"/>
      <c r="V107" s="64"/>
      <c r="W107" s="55"/>
      <c r="X107" s="56"/>
      <c r="Y107" s="56"/>
      <c r="Z107" s="64"/>
      <c r="AA107" s="55"/>
      <c r="AB107" s="56"/>
      <c r="AC107" s="56"/>
      <c r="AD10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7" s="35">
        <f>List[[#This Row],[Running Budget Total]]-List[[#This Row],[Cash Out Total]]</f>
        <v>72.992700729927009</v>
      </c>
      <c r="AF107" s="36" t="str">
        <f>IF(AND(List[[#This Row],[Remaining]]=0,NOT(List[[#This Row],[Running Budget Total]]=0)),Status1,
IF(AND(List[[#This Row],[Remaining]]&lt;0,NOT(List[[#This Row],[Running Budget Total]]=0)),Status2,
IF(AND(List[[#This Row],[Remaining]]=0),Status3,
List[[#This Row],[Spent %]] &amp; Status4)))</f>
        <v>0% paid</v>
      </c>
      <c r="AG107" s="57">
        <f>IFERROR(ROUND(100*List[[#This Row],[Cash Out Total]]/List[[#This Row],[Running Budget Total]],0),0)</f>
        <v>0</v>
      </c>
    </row>
    <row r="108" spans="1:33" ht="40" customHeight="1" x14ac:dyDescent="0.2">
      <c r="A108" s="73" t="s">
        <v>14</v>
      </c>
      <c r="B108" s="74" t="s">
        <v>28</v>
      </c>
      <c r="C108" s="73" t="s">
        <v>107</v>
      </c>
      <c r="D108" s="74" t="s">
        <v>83</v>
      </c>
      <c r="E108" s="74"/>
      <c r="F108" s="76"/>
      <c r="G108" s="75" t="s">
        <v>47</v>
      </c>
      <c r="H108" s="77">
        <f>DisplayToUSD/(_xlfn.IFNA(INDEX('Quick Inputs- Constants'!$B$15:$C$18,MATCH(List[[#This Row],[Currency]],'Quick Inputs- Constants'!B$15:B$18,0),2),1))</f>
        <v>2.4330900243309003E-3</v>
      </c>
      <c r="I108" s="62">
        <v>1</v>
      </c>
      <c r="J108" s="78">
        <v>15000</v>
      </c>
      <c r="K108" s="79" t="s">
        <v>99</v>
      </c>
      <c r="L108" s="80">
        <f>List[[#This Row],[Exchange Rate]]*(1+IF(List[[#This Row],[Budget VAT]]="Yes",VATRate,0))*List[[#This Row],[Budget Quantity]]*List[[#This Row],[Budget Price]]</f>
        <v>39.233576642335763</v>
      </c>
      <c r="M108" s="63"/>
      <c r="N108" s="79"/>
      <c r="O108" s="79"/>
      <c r="P108" s="81">
        <f>IF(AND(ISBLANK(List[[#This Row],[Updated Quantity]]),ISBLANK(List[[#This Row],[Updated Price]]),ISBLANK(List[[#This Row],[Updated VAT]])),List[[#This Row],[Budget Total]],
List[[#This Row],[Exchange Rate]]*(1+IF(List[[#This Row],[Updated VAT]]="Yes",VATRate,0))*List[[#This Row],[Updated Quantity]]*List[[#This Row],[Updated Price]])</f>
        <v>39.233576642335763</v>
      </c>
      <c r="Q108" s="87">
        <f>100%</f>
        <v>1</v>
      </c>
      <c r="R108" s="82"/>
      <c r="S108" s="83"/>
      <c r="T108" s="79"/>
      <c r="U108" s="84"/>
      <c r="V108" s="64"/>
      <c r="W108" s="83"/>
      <c r="X108" s="84"/>
      <c r="Y108" s="84"/>
      <c r="Z108" s="64"/>
      <c r="AA108" s="83"/>
      <c r="AB108" s="84"/>
      <c r="AC108" s="84"/>
      <c r="AD10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8" s="81">
        <f>List[[#This Row],[Running Budget Total]]-List[[#This Row],[Cash Out Total]]</f>
        <v>39.233576642335763</v>
      </c>
      <c r="AF108" s="85" t="str">
        <f>IF(AND(List[[#This Row],[Remaining]]=0,NOT(List[[#This Row],[Running Budget Total]]=0)),Status1,
IF(AND(List[[#This Row],[Remaining]]&lt;0,NOT(List[[#This Row],[Running Budget Total]]=0)),Status2,
IF(AND(List[[#This Row],[Remaining]]=0),Status3,
List[[#This Row],[Spent %]] &amp; Status4)))</f>
        <v>0% paid</v>
      </c>
      <c r="AG108" s="86">
        <f>IFERROR(ROUND(100*List[[#This Row],[Cash Out Total]]/List[[#This Row],[Running Budget Total]],0),0)</f>
        <v>0</v>
      </c>
    </row>
    <row r="109" spans="1:33" ht="40" customHeight="1" x14ac:dyDescent="0.2">
      <c r="A109" s="73" t="s">
        <v>14</v>
      </c>
      <c r="B109" s="74" t="s">
        <v>28</v>
      </c>
      <c r="C109" s="73" t="s">
        <v>107</v>
      </c>
      <c r="D109" s="74" t="s">
        <v>84</v>
      </c>
      <c r="E109" s="74"/>
      <c r="F109" s="76"/>
      <c r="G109" s="75" t="s">
        <v>47</v>
      </c>
      <c r="H109" s="77">
        <f>DisplayToUSD/(_xlfn.IFNA(INDEX('Quick Inputs- Constants'!$B$15:$C$18,MATCH(List[[#This Row],[Currency]],'Quick Inputs- Constants'!B$15:B$18,0),2),1))</f>
        <v>2.4330900243309003E-3</v>
      </c>
      <c r="I109" s="62">
        <v>20</v>
      </c>
      <c r="J109" s="78">
        <v>400</v>
      </c>
      <c r="K109" s="79" t="s">
        <v>99</v>
      </c>
      <c r="L109" s="80">
        <f>List[[#This Row],[Exchange Rate]]*(1+IF(List[[#This Row],[Budget VAT]]="Yes",VATRate,0))*List[[#This Row],[Budget Quantity]]*List[[#This Row],[Budget Price]]</f>
        <v>20.924574209245741</v>
      </c>
      <c r="M109" s="63"/>
      <c r="N109" s="79"/>
      <c r="O109" s="79"/>
      <c r="P109" s="81">
        <f>IF(AND(ISBLANK(List[[#This Row],[Updated Quantity]]),ISBLANK(List[[#This Row],[Updated Price]]),ISBLANK(List[[#This Row],[Updated VAT]])),List[[#This Row],[Budget Total]],
List[[#This Row],[Exchange Rate]]*(1+IF(List[[#This Row],[Updated VAT]]="Yes",VATRate,0))*List[[#This Row],[Updated Quantity]]*List[[#This Row],[Updated Price]])</f>
        <v>20.924574209245741</v>
      </c>
      <c r="Q109" s="87">
        <f>100%</f>
        <v>1</v>
      </c>
      <c r="R109" s="82"/>
      <c r="S109" s="83"/>
      <c r="T109" s="79"/>
      <c r="U109" s="84"/>
      <c r="V109" s="64"/>
      <c r="W109" s="83"/>
      <c r="X109" s="84"/>
      <c r="Y109" s="84"/>
      <c r="Z109" s="64"/>
      <c r="AA109" s="83"/>
      <c r="AB109" s="84"/>
      <c r="AC109" s="84"/>
      <c r="AD10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9" s="81">
        <f>List[[#This Row],[Running Budget Total]]-List[[#This Row],[Cash Out Total]]</f>
        <v>20.924574209245741</v>
      </c>
      <c r="AF109" s="85" t="str">
        <f>IF(AND(List[[#This Row],[Remaining]]=0,NOT(List[[#This Row],[Running Budget Total]]=0)),Status1,
IF(AND(List[[#This Row],[Remaining]]&lt;0,NOT(List[[#This Row],[Running Budget Total]]=0)),Status2,
IF(AND(List[[#This Row],[Remaining]]=0),Status3,
List[[#This Row],[Spent %]] &amp; Status4)))</f>
        <v>0% paid</v>
      </c>
      <c r="AG109" s="86">
        <f>IFERROR(ROUND(100*List[[#This Row],[Cash Out Total]]/List[[#This Row],[Running Budget Total]],0),0)</f>
        <v>0</v>
      </c>
    </row>
    <row r="110" spans="1:33" ht="40" customHeight="1" x14ac:dyDescent="0.2">
      <c r="A110" s="73" t="s">
        <v>14</v>
      </c>
      <c r="B110" s="74" t="s">
        <v>28</v>
      </c>
      <c r="C110" s="73" t="s">
        <v>107</v>
      </c>
      <c r="D110" s="89" t="s">
        <v>288</v>
      </c>
      <c r="E110" s="74"/>
      <c r="F110" s="76"/>
      <c r="G110" s="75" t="s">
        <v>47</v>
      </c>
      <c r="H110" s="77">
        <f>DisplayToUSD/(_xlfn.IFNA(INDEX('Quick Inputs- Constants'!$B$15:$C$18,MATCH(List[[#This Row],[Currency]],'Quick Inputs- Constants'!B$15:B$18,0),2),1))</f>
        <v>2.4330900243309003E-3</v>
      </c>
      <c r="I110" s="62">
        <v>1</v>
      </c>
      <c r="J110" s="78">
        <v>350000</v>
      </c>
      <c r="K110" s="79" t="s">
        <v>14</v>
      </c>
      <c r="L110" s="80">
        <f>List[[#This Row],[Exchange Rate]]*(1+IF(List[[#This Row],[Budget VAT]]="Yes",VATRate,0))*List[[#This Row],[Budget Quantity]]*List[[#This Row],[Budget Price]]</f>
        <v>851.58150851581513</v>
      </c>
      <c r="M110" s="63"/>
      <c r="N110" s="79"/>
      <c r="O110" s="79"/>
      <c r="P110" s="81">
        <f>IF(AND(ISBLANK(List[[#This Row],[Updated Quantity]]),ISBLANK(List[[#This Row],[Updated Price]]),ISBLANK(List[[#This Row],[Updated VAT]])),List[[#This Row],[Budget Total]],
List[[#This Row],[Exchange Rate]]*(1+IF(List[[#This Row],[Updated VAT]]="Yes",VATRate,0))*List[[#This Row],[Updated Quantity]]*List[[#This Row],[Updated Price]])</f>
        <v>851.58150851581513</v>
      </c>
      <c r="Q110" s="87">
        <f>100%</f>
        <v>1</v>
      </c>
      <c r="R110" s="82"/>
      <c r="S110" s="83"/>
      <c r="T110" s="79"/>
      <c r="U110" s="84"/>
      <c r="V110" s="64"/>
      <c r="W110" s="83"/>
      <c r="X110" s="84"/>
      <c r="Y110" s="84"/>
      <c r="Z110" s="64"/>
      <c r="AA110" s="83"/>
      <c r="AB110" s="84"/>
      <c r="AC110" s="84"/>
      <c r="AD11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0" s="81">
        <f>List[[#This Row],[Running Budget Total]]-List[[#This Row],[Cash Out Total]]</f>
        <v>851.58150851581513</v>
      </c>
      <c r="AF110" s="85" t="str">
        <f>IF(AND(List[[#This Row],[Remaining]]=0,NOT(List[[#This Row],[Running Budget Total]]=0)),Status1,
IF(AND(List[[#This Row],[Remaining]]&lt;0,NOT(List[[#This Row],[Running Budget Total]]=0)),Status2,
IF(AND(List[[#This Row],[Remaining]]=0),Status3,
List[[#This Row],[Spent %]] &amp; Status4)))</f>
        <v>0% paid</v>
      </c>
      <c r="AG110" s="86">
        <f>IFERROR(ROUND(100*List[[#This Row],[Cash Out Total]]/List[[#This Row],[Running Budget Total]],0),0)</f>
        <v>0</v>
      </c>
    </row>
    <row r="111" spans="1:33" ht="40" customHeight="1" x14ac:dyDescent="0.2">
      <c r="A111" s="73" t="s">
        <v>14</v>
      </c>
      <c r="B111" s="74" t="s">
        <v>28</v>
      </c>
      <c r="C111" s="73" t="s">
        <v>107</v>
      </c>
      <c r="D111" s="74" t="s">
        <v>289</v>
      </c>
      <c r="E111" s="74"/>
      <c r="F111" s="76"/>
      <c r="G111" s="75" t="s">
        <v>47</v>
      </c>
      <c r="H111" s="77">
        <f>DisplayToUSD/(_xlfn.IFNA(INDEX('Quick Inputs- Constants'!$B$15:$C$18,MATCH(List[[#This Row],[Currency]],'Quick Inputs- Constants'!B$15:B$18,0),2),1))</f>
        <v>2.4330900243309003E-3</v>
      </c>
      <c r="I111" s="62">
        <v>2</v>
      </c>
      <c r="J111" s="78">
        <v>2000</v>
      </c>
      <c r="K111" s="79" t="s">
        <v>99</v>
      </c>
      <c r="L111" s="80">
        <f>List[[#This Row],[Exchange Rate]]*(1+IF(List[[#This Row],[Budget VAT]]="Yes",VATRate,0))*List[[#This Row],[Budget Quantity]]*List[[#This Row],[Budget Price]]</f>
        <v>10.46228710462287</v>
      </c>
      <c r="M111" s="63"/>
      <c r="N111" s="79"/>
      <c r="O111" s="79"/>
      <c r="P111" s="81">
        <f>IF(AND(ISBLANK(List[[#This Row],[Updated Quantity]]),ISBLANK(List[[#This Row],[Updated Price]]),ISBLANK(List[[#This Row],[Updated VAT]])),List[[#This Row],[Budget Total]],
List[[#This Row],[Exchange Rate]]*(1+IF(List[[#This Row],[Updated VAT]]="Yes",VATRate,0))*List[[#This Row],[Updated Quantity]]*List[[#This Row],[Updated Price]])</f>
        <v>10.46228710462287</v>
      </c>
      <c r="Q111" s="87">
        <f>100%</f>
        <v>1</v>
      </c>
      <c r="R111" s="82"/>
      <c r="S111" s="83"/>
      <c r="T111" s="79"/>
      <c r="U111" s="84"/>
      <c r="V111" s="64"/>
      <c r="W111" s="83"/>
      <c r="X111" s="84"/>
      <c r="Y111" s="84"/>
      <c r="Z111" s="64"/>
      <c r="AA111" s="83"/>
      <c r="AB111" s="84"/>
      <c r="AC111" s="84"/>
      <c r="AD11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1" s="81">
        <f>List[[#This Row],[Running Budget Total]]-List[[#This Row],[Cash Out Total]]</f>
        <v>10.46228710462287</v>
      </c>
      <c r="AF111" s="85" t="str">
        <f>IF(AND(List[[#This Row],[Remaining]]=0,NOT(List[[#This Row],[Running Budget Total]]=0)),Status1,
IF(AND(List[[#This Row],[Remaining]]&lt;0,NOT(List[[#This Row],[Running Budget Total]]=0)),Status2,
IF(AND(List[[#This Row],[Remaining]]=0),Status3,
List[[#This Row],[Spent %]] &amp; Status4)))</f>
        <v>0% paid</v>
      </c>
      <c r="AG111" s="86">
        <f>IFERROR(ROUND(100*List[[#This Row],[Cash Out Total]]/List[[#This Row],[Running Budget Total]],0),0)</f>
        <v>0</v>
      </c>
    </row>
    <row r="112" spans="1:33" ht="40" customHeight="1" x14ac:dyDescent="0.2">
      <c r="A112" s="11" t="s">
        <v>14</v>
      </c>
      <c r="B112" s="22" t="s">
        <v>28</v>
      </c>
      <c r="C112" s="11" t="s">
        <v>107</v>
      </c>
      <c r="D112" s="22" t="s">
        <v>238</v>
      </c>
      <c r="E112" s="22"/>
      <c r="F112" s="21" t="s">
        <v>598</v>
      </c>
      <c r="G112" s="51" t="s">
        <v>47</v>
      </c>
      <c r="H112" s="37">
        <f>DisplayToUSD/(_xlfn.IFNA(INDEX('Quick Inputs- Constants'!$B$15:$C$18,MATCH(List[[#This Row],[Currency]],'Quick Inputs- Constants'!B$15:B$18,0),2),1))</f>
        <v>2.4330900243309003E-3</v>
      </c>
      <c r="I112" s="62">
        <v>1</v>
      </c>
      <c r="J112" s="52">
        <v>80000</v>
      </c>
      <c r="K112" s="53" t="s">
        <v>99</v>
      </c>
      <c r="L112" s="54">
        <f>List[[#This Row],[Exchange Rate]]*(1+IF(List[[#This Row],[Budget VAT]]="Yes",VATRate,0))*List[[#This Row],[Budget Quantity]]*List[[#This Row],[Budget Price]]</f>
        <v>209.24574209245739</v>
      </c>
      <c r="M112" s="63"/>
      <c r="N112" s="53"/>
      <c r="O112" s="53"/>
      <c r="P112" s="35">
        <f>IF(AND(ISBLANK(List[[#This Row],[Updated Quantity]]),ISBLANK(List[[#This Row],[Updated Price]]),ISBLANK(List[[#This Row],[Updated VAT]])),List[[#This Row],[Budget Total]],
List[[#This Row],[Exchange Rate]]*(1+IF(List[[#This Row],[Updated VAT]]="Yes",VATRate,0))*List[[#This Row],[Updated Quantity]]*List[[#This Row],[Updated Price]])</f>
        <v>209.24574209245739</v>
      </c>
      <c r="Q112" s="87">
        <f>100%</f>
        <v>1</v>
      </c>
      <c r="R112" s="61"/>
      <c r="S112" s="55"/>
      <c r="T112" s="53"/>
      <c r="U112" s="56"/>
      <c r="V112" s="64"/>
      <c r="W112" s="55"/>
      <c r="X112" s="56"/>
      <c r="Y112" s="56"/>
      <c r="Z112" s="64"/>
      <c r="AA112" s="55"/>
      <c r="AB112" s="56"/>
      <c r="AC112" s="56"/>
      <c r="AD11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2" s="35">
        <f>List[[#This Row],[Running Budget Total]]-List[[#This Row],[Cash Out Total]]</f>
        <v>209.24574209245739</v>
      </c>
      <c r="AF112" s="36" t="str">
        <f>IF(AND(List[[#This Row],[Remaining]]=0,NOT(List[[#This Row],[Running Budget Total]]=0)),Status1,
IF(AND(List[[#This Row],[Remaining]]&lt;0,NOT(List[[#This Row],[Running Budget Total]]=0)),Status2,
IF(AND(List[[#This Row],[Remaining]]=0),Status3,
List[[#This Row],[Spent %]] &amp; Status4)))</f>
        <v>0% paid</v>
      </c>
      <c r="AG112" s="57">
        <f>IFERROR(ROUND(100*List[[#This Row],[Cash Out Total]]/List[[#This Row],[Running Budget Total]],0),0)</f>
        <v>0</v>
      </c>
    </row>
    <row r="113" spans="1:33" ht="40" customHeight="1" x14ac:dyDescent="0.2">
      <c r="A113" s="73" t="s">
        <v>14</v>
      </c>
      <c r="B113" s="74" t="s">
        <v>28</v>
      </c>
      <c r="C113" s="73" t="s">
        <v>107</v>
      </c>
      <c r="D113" s="89" t="s">
        <v>290</v>
      </c>
      <c r="E113" s="74"/>
      <c r="F113" s="125"/>
      <c r="G113" s="75" t="s">
        <v>47</v>
      </c>
      <c r="H113" s="77">
        <f>DisplayToUSD/(_xlfn.IFNA(INDEX('Quick Inputs- Constants'!$B$15:$C$18,MATCH(List[[#This Row],[Currency]],'Quick Inputs- Constants'!B$15:B$18,0),2),1))</f>
        <v>2.4330900243309003E-3</v>
      </c>
      <c r="I113" s="62">
        <v>1</v>
      </c>
      <c r="J113" s="78">
        <v>300000</v>
      </c>
      <c r="K113" s="79" t="s">
        <v>14</v>
      </c>
      <c r="L113" s="80">
        <f>List[[#This Row],[Exchange Rate]]*(1+IF(List[[#This Row],[Budget VAT]]="Yes",VATRate,0))*List[[#This Row],[Budget Quantity]]*List[[#This Row],[Budget Price]]</f>
        <v>729.92700729927014</v>
      </c>
      <c r="M113" s="63"/>
      <c r="N113" s="79"/>
      <c r="O113" s="79"/>
      <c r="P113" s="81">
        <f>IF(AND(ISBLANK(List[[#This Row],[Updated Quantity]]),ISBLANK(List[[#This Row],[Updated Price]]),ISBLANK(List[[#This Row],[Updated VAT]])),List[[#This Row],[Budget Total]],
List[[#This Row],[Exchange Rate]]*(1+IF(List[[#This Row],[Updated VAT]]="Yes",VATRate,0))*List[[#This Row],[Updated Quantity]]*List[[#This Row],[Updated Price]])</f>
        <v>729.92700729927014</v>
      </c>
      <c r="Q113" s="87">
        <f>100%</f>
        <v>1</v>
      </c>
      <c r="R113" s="82"/>
      <c r="S113" s="83"/>
      <c r="T113" s="79"/>
      <c r="U113" s="84"/>
      <c r="V113" s="64"/>
      <c r="W113" s="83"/>
      <c r="X113" s="84"/>
      <c r="Y113" s="84"/>
      <c r="Z113" s="64"/>
      <c r="AA113" s="83"/>
      <c r="AB113" s="84"/>
      <c r="AC113" s="84"/>
      <c r="AD11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3" s="81">
        <f>List[[#This Row],[Running Budget Total]]-List[[#This Row],[Cash Out Total]]</f>
        <v>729.92700729927014</v>
      </c>
      <c r="AF113" s="85" t="str">
        <f>IF(AND(List[[#This Row],[Remaining]]=0,NOT(List[[#This Row],[Running Budget Total]]=0)),Status1,
IF(AND(List[[#This Row],[Remaining]]&lt;0,NOT(List[[#This Row],[Running Budget Total]]=0)),Status2,
IF(AND(List[[#This Row],[Remaining]]=0),Status3,
List[[#This Row],[Spent %]] &amp; Status4)))</f>
        <v>0% paid</v>
      </c>
      <c r="AG113" s="86">
        <f>IFERROR(ROUND(100*List[[#This Row],[Cash Out Total]]/List[[#This Row],[Running Budget Total]],0),0)</f>
        <v>0</v>
      </c>
    </row>
    <row r="114" spans="1:33" ht="40" customHeight="1" x14ac:dyDescent="0.2">
      <c r="A114" s="73" t="s">
        <v>14</v>
      </c>
      <c r="B114" s="74" t="s">
        <v>29</v>
      </c>
      <c r="C114" s="73" t="s">
        <v>19</v>
      </c>
      <c r="D114" s="89" t="s">
        <v>291</v>
      </c>
      <c r="E114" s="74"/>
      <c r="F114" s="76"/>
      <c r="G114" s="75" t="s">
        <v>47</v>
      </c>
      <c r="H114" s="77">
        <f>DisplayToUSD/(_xlfn.IFNA(INDEX('Quick Inputs- Constants'!$B$15:$C$18,MATCH(List[[#This Row],[Currency]],'Quick Inputs- Constants'!B$15:B$18,0),2),1))</f>
        <v>2.4330900243309003E-3</v>
      </c>
      <c r="I114" s="62">
        <v>0</v>
      </c>
      <c r="J114" s="78">
        <v>0</v>
      </c>
      <c r="K114" s="79" t="s">
        <v>14</v>
      </c>
      <c r="L114" s="80">
        <f>List[[#This Row],[Exchange Rate]]*(1+IF(List[[#This Row],[Budget VAT]]="Yes",VATRate,0))*List[[#This Row],[Budget Quantity]]*List[[#This Row],[Budget Price]]</f>
        <v>0</v>
      </c>
      <c r="M114" s="63"/>
      <c r="N114" s="79"/>
      <c r="O114" s="79"/>
      <c r="P114" s="81">
        <f>IF(AND(ISBLANK(List[[#This Row],[Updated Quantity]]),ISBLANK(List[[#This Row],[Updated Price]]),ISBLANK(List[[#This Row],[Updated VAT]])),List[[#This Row],[Budget Total]],
List[[#This Row],[Exchange Rate]]*(1+IF(List[[#This Row],[Updated VAT]]="Yes",VATRate,0))*List[[#This Row],[Updated Quantity]]*List[[#This Row],[Updated Price]])</f>
        <v>0</v>
      </c>
      <c r="Q114" s="87">
        <f>100%</f>
        <v>1</v>
      </c>
      <c r="R114" s="82"/>
      <c r="S114" s="83"/>
      <c r="T114" s="79"/>
      <c r="U114" s="84"/>
      <c r="V114" s="64"/>
      <c r="W114" s="83"/>
      <c r="X114" s="84"/>
      <c r="Y114" s="84"/>
      <c r="Z114" s="64"/>
      <c r="AA114" s="83"/>
      <c r="AB114" s="84"/>
      <c r="AC114" s="84"/>
      <c r="AD11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4" s="81">
        <f>List[[#This Row],[Running Budget Total]]-List[[#This Row],[Cash Out Total]]</f>
        <v>0</v>
      </c>
      <c r="AF114" s="85" t="str">
        <f>IF(AND(List[[#This Row],[Remaining]]=0,NOT(List[[#This Row],[Running Budget Total]]=0)),Status1,
IF(AND(List[[#This Row],[Remaining]]&lt;0,NOT(List[[#This Row],[Running Budget Total]]=0)),Status2,
IF(AND(List[[#This Row],[Remaining]]=0),Status3,
List[[#This Row],[Spent %]] &amp; Status4)))</f>
        <v>Cancelled</v>
      </c>
      <c r="AG114" s="86">
        <f>IFERROR(ROUND(100*List[[#This Row],[Cash Out Total]]/List[[#This Row],[Running Budget Total]],0),0)</f>
        <v>0</v>
      </c>
    </row>
    <row r="115" spans="1:33" ht="40" customHeight="1" x14ac:dyDescent="0.2">
      <c r="A115" s="73" t="s">
        <v>14</v>
      </c>
      <c r="B115" s="74" t="s">
        <v>29</v>
      </c>
      <c r="C115" s="73" t="s">
        <v>19</v>
      </c>
      <c r="D115" s="89" t="s">
        <v>86</v>
      </c>
      <c r="E115" s="74"/>
      <c r="F115" s="76"/>
      <c r="G115" s="75" t="s">
        <v>47</v>
      </c>
      <c r="H115" s="77">
        <f>DisplayToUSD/(_xlfn.IFNA(INDEX('Quick Inputs- Constants'!$B$15:$C$18,MATCH(List[[#This Row],[Currency]],'Quick Inputs- Constants'!B$15:B$18,0),2),1))</f>
        <v>2.4330900243309003E-3</v>
      </c>
      <c r="I115" s="62">
        <v>1</v>
      </c>
      <c r="J115" s="78">
        <v>35000</v>
      </c>
      <c r="K115" s="79" t="s">
        <v>14</v>
      </c>
      <c r="L115" s="80">
        <f>List[[#This Row],[Exchange Rate]]*(1+IF(List[[#This Row],[Budget VAT]]="Yes",VATRate,0))*List[[#This Row],[Budget Quantity]]*List[[#This Row],[Budget Price]]</f>
        <v>85.15815085158151</v>
      </c>
      <c r="M115" s="63"/>
      <c r="N115" s="79"/>
      <c r="O115" s="79"/>
      <c r="P115" s="81">
        <f>IF(AND(ISBLANK(List[[#This Row],[Updated Quantity]]),ISBLANK(List[[#This Row],[Updated Price]]),ISBLANK(List[[#This Row],[Updated VAT]])),List[[#This Row],[Budget Total]],
List[[#This Row],[Exchange Rate]]*(1+IF(List[[#This Row],[Updated VAT]]="Yes",VATRate,0))*List[[#This Row],[Updated Quantity]]*List[[#This Row],[Updated Price]])</f>
        <v>85.15815085158151</v>
      </c>
      <c r="Q115" s="87">
        <f>100%</f>
        <v>1</v>
      </c>
      <c r="R115" s="82"/>
      <c r="S115" s="83"/>
      <c r="T115" s="79"/>
      <c r="U115" s="84"/>
      <c r="V115" s="64"/>
      <c r="W115" s="83"/>
      <c r="X115" s="84"/>
      <c r="Y115" s="84"/>
      <c r="Z115" s="64"/>
      <c r="AA115" s="83"/>
      <c r="AB115" s="84"/>
      <c r="AC115" s="84"/>
      <c r="AD11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5" s="81">
        <f>List[[#This Row],[Running Budget Total]]-List[[#This Row],[Cash Out Total]]</f>
        <v>85.15815085158151</v>
      </c>
      <c r="AF115" s="85" t="str">
        <f>IF(AND(List[[#This Row],[Remaining]]=0,NOT(List[[#This Row],[Running Budget Total]]=0)),Status1,
IF(AND(List[[#This Row],[Remaining]]&lt;0,NOT(List[[#This Row],[Running Budget Total]]=0)),Status2,
IF(AND(List[[#This Row],[Remaining]]=0),Status3,
List[[#This Row],[Spent %]] &amp; Status4)))</f>
        <v>0% paid</v>
      </c>
      <c r="AG115" s="86">
        <f>IFERROR(ROUND(100*List[[#This Row],[Cash Out Total]]/List[[#This Row],[Running Budget Total]],0),0)</f>
        <v>0</v>
      </c>
    </row>
    <row r="116" spans="1:33" ht="40" customHeight="1" x14ac:dyDescent="0.2">
      <c r="A116" s="73" t="s">
        <v>14</v>
      </c>
      <c r="B116" s="74" t="s">
        <v>29</v>
      </c>
      <c r="C116" s="73" t="s">
        <v>107</v>
      </c>
      <c r="D116" s="74" t="s">
        <v>292</v>
      </c>
      <c r="E116" s="74"/>
      <c r="F116" s="76"/>
      <c r="G116" s="75" t="s">
        <v>47</v>
      </c>
      <c r="H116" s="77">
        <f>DisplayToUSD/(_xlfn.IFNA(INDEX('Quick Inputs- Constants'!$B$15:$C$18,MATCH(List[[#This Row],[Currency]],'Quick Inputs- Constants'!B$15:B$18,0),2),1))</f>
        <v>2.4330900243309003E-3</v>
      </c>
      <c r="I116" s="62">
        <v>0</v>
      </c>
      <c r="J116" s="78">
        <v>0</v>
      </c>
      <c r="K116" s="79" t="s">
        <v>99</v>
      </c>
      <c r="L116" s="80">
        <f>List[[#This Row],[Exchange Rate]]*(1+IF(List[[#This Row],[Budget VAT]]="Yes",VATRate,0))*List[[#This Row],[Budget Quantity]]*List[[#This Row],[Budget Price]]</f>
        <v>0</v>
      </c>
      <c r="M116" s="63"/>
      <c r="N116" s="79"/>
      <c r="O116" s="79"/>
      <c r="P116" s="81">
        <f>IF(AND(ISBLANK(List[[#This Row],[Updated Quantity]]),ISBLANK(List[[#This Row],[Updated Price]]),ISBLANK(List[[#This Row],[Updated VAT]])),List[[#This Row],[Budget Total]],
List[[#This Row],[Exchange Rate]]*(1+IF(List[[#This Row],[Updated VAT]]="Yes",VATRate,0))*List[[#This Row],[Updated Quantity]]*List[[#This Row],[Updated Price]])</f>
        <v>0</v>
      </c>
      <c r="Q116" s="87">
        <f>100%</f>
        <v>1</v>
      </c>
      <c r="R116" s="82"/>
      <c r="S116" s="83"/>
      <c r="T116" s="79"/>
      <c r="U116" s="84"/>
      <c r="V116" s="64"/>
      <c r="W116" s="83"/>
      <c r="X116" s="84"/>
      <c r="Y116" s="84"/>
      <c r="Z116" s="64"/>
      <c r="AA116" s="83"/>
      <c r="AB116" s="84"/>
      <c r="AC116" s="84"/>
      <c r="AD11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6" s="81">
        <f>List[[#This Row],[Running Budget Total]]-List[[#This Row],[Cash Out Total]]</f>
        <v>0</v>
      </c>
      <c r="AF116" s="85" t="str">
        <f>IF(AND(List[[#This Row],[Remaining]]=0,NOT(List[[#This Row],[Running Budget Total]]=0)),Status1,
IF(AND(List[[#This Row],[Remaining]]&lt;0,NOT(List[[#This Row],[Running Budget Total]]=0)),Status2,
IF(AND(List[[#This Row],[Remaining]]=0),Status3,
List[[#This Row],[Spent %]] &amp; Status4)))</f>
        <v>Cancelled</v>
      </c>
      <c r="AG116" s="86">
        <f>IFERROR(ROUND(100*List[[#This Row],[Cash Out Total]]/List[[#This Row],[Running Budget Total]],0),0)</f>
        <v>0</v>
      </c>
    </row>
    <row r="117" spans="1:33" ht="40" customHeight="1" x14ac:dyDescent="0.2">
      <c r="A117" s="73" t="s">
        <v>14</v>
      </c>
      <c r="B117" s="74" t="s">
        <v>29</v>
      </c>
      <c r="C117" s="73" t="s">
        <v>107</v>
      </c>
      <c r="D117" s="74" t="s">
        <v>293</v>
      </c>
      <c r="E117" s="74"/>
      <c r="F117" s="76"/>
      <c r="G117" s="75" t="s">
        <v>47</v>
      </c>
      <c r="H117" s="77">
        <f>DisplayToUSD/(_xlfn.IFNA(INDEX('Quick Inputs- Constants'!$B$15:$C$18,MATCH(List[[#This Row],[Currency]],'Quick Inputs- Constants'!B$15:B$18,0),2),1))</f>
        <v>2.4330900243309003E-3</v>
      </c>
      <c r="I117" s="62">
        <v>1</v>
      </c>
      <c r="J117" s="78">
        <v>3000</v>
      </c>
      <c r="K117" s="79" t="s">
        <v>99</v>
      </c>
      <c r="L117" s="80">
        <f>List[[#This Row],[Exchange Rate]]*(1+IF(List[[#This Row],[Budget VAT]]="Yes",VATRate,0))*List[[#This Row],[Budget Quantity]]*List[[#This Row],[Budget Price]]</f>
        <v>7.8467153284671527</v>
      </c>
      <c r="M117" s="63"/>
      <c r="N117" s="79"/>
      <c r="O117" s="79"/>
      <c r="P117" s="81">
        <f>IF(AND(ISBLANK(List[[#This Row],[Updated Quantity]]),ISBLANK(List[[#This Row],[Updated Price]]),ISBLANK(List[[#This Row],[Updated VAT]])),List[[#This Row],[Budget Total]],
List[[#This Row],[Exchange Rate]]*(1+IF(List[[#This Row],[Updated VAT]]="Yes",VATRate,0))*List[[#This Row],[Updated Quantity]]*List[[#This Row],[Updated Price]])</f>
        <v>7.8467153284671527</v>
      </c>
      <c r="Q117" s="87">
        <f>100%</f>
        <v>1</v>
      </c>
      <c r="R117" s="82"/>
      <c r="S117" s="83"/>
      <c r="T117" s="79"/>
      <c r="U117" s="84"/>
      <c r="V117" s="64"/>
      <c r="W117" s="83"/>
      <c r="X117" s="84"/>
      <c r="Y117" s="84"/>
      <c r="Z117" s="64"/>
      <c r="AA117" s="83"/>
      <c r="AB117" s="84"/>
      <c r="AC117" s="84"/>
      <c r="AD11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7" s="81">
        <f>List[[#This Row],[Running Budget Total]]-List[[#This Row],[Cash Out Total]]</f>
        <v>7.8467153284671527</v>
      </c>
      <c r="AF117" s="85" t="str">
        <f>IF(AND(List[[#This Row],[Remaining]]=0,NOT(List[[#This Row],[Running Budget Total]]=0)),Status1,
IF(AND(List[[#This Row],[Remaining]]&lt;0,NOT(List[[#This Row],[Running Budget Total]]=0)),Status2,
IF(AND(List[[#This Row],[Remaining]]=0),Status3,
List[[#This Row],[Spent %]] &amp; Status4)))</f>
        <v>0% paid</v>
      </c>
      <c r="AG117" s="86">
        <f>IFERROR(ROUND(100*List[[#This Row],[Cash Out Total]]/List[[#This Row],[Running Budget Total]],0),0)</f>
        <v>0</v>
      </c>
    </row>
    <row r="118" spans="1:33" ht="40" customHeight="1" x14ac:dyDescent="0.2">
      <c r="A118" s="73" t="s">
        <v>14</v>
      </c>
      <c r="B118" s="74" t="s">
        <v>29</v>
      </c>
      <c r="C118" s="73" t="s">
        <v>107</v>
      </c>
      <c r="D118" s="74" t="s">
        <v>294</v>
      </c>
      <c r="E118" s="74"/>
      <c r="F118" s="76"/>
      <c r="G118" s="75" t="s">
        <v>47</v>
      </c>
      <c r="H118" s="77">
        <f>DisplayToUSD/(_xlfn.IFNA(INDEX('Quick Inputs- Constants'!$B$15:$C$18,MATCH(List[[#This Row],[Currency]],'Quick Inputs- Constants'!B$15:B$18,0),2),1))</f>
        <v>2.4330900243309003E-3</v>
      </c>
      <c r="I118" s="62">
        <v>1</v>
      </c>
      <c r="J118" s="78">
        <v>12000</v>
      </c>
      <c r="K118" s="79" t="s">
        <v>99</v>
      </c>
      <c r="L118" s="80">
        <f>List[[#This Row],[Exchange Rate]]*(1+IF(List[[#This Row],[Budget VAT]]="Yes",VATRate,0))*List[[#This Row],[Budget Quantity]]*List[[#This Row],[Budget Price]]</f>
        <v>31.386861313868611</v>
      </c>
      <c r="M118" s="63"/>
      <c r="N118" s="79"/>
      <c r="O118" s="79"/>
      <c r="P118" s="81">
        <f>IF(AND(ISBLANK(List[[#This Row],[Updated Quantity]]),ISBLANK(List[[#This Row],[Updated Price]]),ISBLANK(List[[#This Row],[Updated VAT]])),List[[#This Row],[Budget Total]],
List[[#This Row],[Exchange Rate]]*(1+IF(List[[#This Row],[Updated VAT]]="Yes",VATRate,0))*List[[#This Row],[Updated Quantity]]*List[[#This Row],[Updated Price]])</f>
        <v>31.386861313868611</v>
      </c>
      <c r="Q118" s="87">
        <f>100%</f>
        <v>1</v>
      </c>
      <c r="R118" s="82"/>
      <c r="S118" s="83"/>
      <c r="T118" s="79"/>
      <c r="U118" s="84"/>
      <c r="V118" s="64"/>
      <c r="W118" s="83"/>
      <c r="X118" s="84"/>
      <c r="Y118" s="84"/>
      <c r="Z118" s="64"/>
      <c r="AA118" s="83"/>
      <c r="AB118" s="84"/>
      <c r="AC118" s="84"/>
      <c r="AD11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8" s="81">
        <f>List[[#This Row],[Running Budget Total]]-List[[#This Row],[Cash Out Total]]</f>
        <v>31.386861313868611</v>
      </c>
      <c r="AF118" s="85" t="str">
        <f>IF(AND(List[[#This Row],[Remaining]]=0,NOT(List[[#This Row],[Running Budget Total]]=0)),Status1,
IF(AND(List[[#This Row],[Remaining]]&lt;0,NOT(List[[#This Row],[Running Budget Total]]=0)),Status2,
IF(AND(List[[#This Row],[Remaining]]=0),Status3,
List[[#This Row],[Spent %]] &amp; Status4)))</f>
        <v>0% paid</v>
      </c>
      <c r="AG118" s="86">
        <f>IFERROR(ROUND(100*List[[#This Row],[Cash Out Total]]/List[[#This Row],[Running Budget Total]],0),0)</f>
        <v>0</v>
      </c>
    </row>
    <row r="119" spans="1:33" ht="40" customHeight="1" x14ac:dyDescent="0.2">
      <c r="A119" s="73" t="s">
        <v>14</v>
      </c>
      <c r="B119" s="74" t="s">
        <v>29</v>
      </c>
      <c r="C119" s="73" t="s">
        <v>107</v>
      </c>
      <c r="D119" s="74" t="s">
        <v>295</v>
      </c>
      <c r="E119" s="74"/>
      <c r="F119" s="76"/>
      <c r="G119" s="75" t="s">
        <v>47</v>
      </c>
      <c r="H119" s="77">
        <f>DisplayToUSD/(_xlfn.IFNA(INDEX('Quick Inputs- Constants'!$B$15:$C$18,MATCH(List[[#This Row],[Currency]],'Quick Inputs- Constants'!B$15:B$18,0),2),1))</f>
        <v>2.4330900243309003E-3</v>
      </c>
      <c r="I119" s="62">
        <v>1</v>
      </c>
      <c r="J119" s="78">
        <v>40000</v>
      </c>
      <c r="K119" s="79" t="s">
        <v>99</v>
      </c>
      <c r="L119" s="80">
        <f>List[[#This Row],[Exchange Rate]]*(1+IF(List[[#This Row],[Budget VAT]]="Yes",VATRate,0))*List[[#This Row],[Budget Quantity]]*List[[#This Row],[Budget Price]]</f>
        <v>104.6228710462287</v>
      </c>
      <c r="M119" s="63"/>
      <c r="N119" s="79"/>
      <c r="O119" s="79"/>
      <c r="P119" s="81">
        <f>IF(AND(ISBLANK(List[[#This Row],[Updated Quantity]]),ISBLANK(List[[#This Row],[Updated Price]]),ISBLANK(List[[#This Row],[Updated VAT]])),List[[#This Row],[Budget Total]],
List[[#This Row],[Exchange Rate]]*(1+IF(List[[#This Row],[Updated VAT]]="Yes",VATRate,0))*List[[#This Row],[Updated Quantity]]*List[[#This Row],[Updated Price]])</f>
        <v>104.6228710462287</v>
      </c>
      <c r="Q119" s="87">
        <f>100%</f>
        <v>1</v>
      </c>
      <c r="R119" s="82"/>
      <c r="S119" s="83"/>
      <c r="T119" s="79"/>
      <c r="U119" s="84"/>
      <c r="V119" s="64"/>
      <c r="W119" s="83"/>
      <c r="X119" s="84"/>
      <c r="Y119" s="84"/>
      <c r="Z119" s="64"/>
      <c r="AA119" s="83"/>
      <c r="AB119" s="84"/>
      <c r="AC119" s="84"/>
      <c r="AD11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9" s="81">
        <f>List[[#This Row],[Running Budget Total]]-List[[#This Row],[Cash Out Total]]</f>
        <v>104.6228710462287</v>
      </c>
      <c r="AF119" s="85" t="str">
        <f>IF(AND(List[[#This Row],[Remaining]]=0,NOT(List[[#This Row],[Running Budget Total]]=0)),Status1,
IF(AND(List[[#This Row],[Remaining]]&lt;0,NOT(List[[#This Row],[Running Budget Total]]=0)),Status2,
IF(AND(List[[#This Row],[Remaining]]=0),Status3,
List[[#This Row],[Spent %]] &amp; Status4)))</f>
        <v>0% paid</v>
      </c>
      <c r="AG119" s="86">
        <f>IFERROR(ROUND(100*List[[#This Row],[Cash Out Total]]/List[[#This Row],[Running Budget Total]],0),0)</f>
        <v>0</v>
      </c>
    </row>
    <row r="120" spans="1:33" ht="40" customHeight="1" x14ac:dyDescent="0.2">
      <c r="A120" s="73" t="s">
        <v>14</v>
      </c>
      <c r="B120" s="74" t="s">
        <v>29</v>
      </c>
      <c r="C120" s="73" t="s">
        <v>107</v>
      </c>
      <c r="D120" s="74" t="s">
        <v>296</v>
      </c>
      <c r="E120" s="74"/>
      <c r="F120" s="21"/>
      <c r="G120" s="75" t="s">
        <v>47</v>
      </c>
      <c r="H120" s="77">
        <f>DisplayToUSD/(_xlfn.IFNA(INDEX('Quick Inputs- Constants'!$B$15:$C$18,MATCH(List[[#This Row],[Currency]],'Quick Inputs- Constants'!B$15:B$18,0),2),1))</f>
        <v>2.4330900243309003E-3</v>
      </c>
      <c r="I120" s="62">
        <v>1</v>
      </c>
      <c r="J120" s="78">
        <v>30000</v>
      </c>
      <c r="K120" s="79" t="s">
        <v>99</v>
      </c>
      <c r="L120" s="80">
        <f>List[[#This Row],[Exchange Rate]]*(1+IF(List[[#This Row],[Budget VAT]]="Yes",VATRate,0))*List[[#This Row],[Budget Quantity]]*List[[#This Row],[Budget Price]]</f>
        <v>78.467153284671525</v>
      </c>
      <c r="M120" s="63"/>
      <c r="N120" s="79"/>
      <c r="O120" s="79"/>
      <c r="P120" s="81">
        <f>IF(AND(ISBLANK(List[[#This Row],[Updated Quantity]]),ISBLANK(List[[#This Row],[Updated Price]]),ISBLANK(List[[#This Row],[Updated VAT]])),List[[#This Row],[Budget Total]],
List[[#This Row],[Exchange Rate]]*(1+IF(List[[#This Row],[Updated VAT]]="Yes",VATRate,0))*List[[#This Row],[Updated Quantity]]*List[[#This Row],[Updated Price]])</f>
        <v>78.467153284671525</v>
      </c>
      <c r="Q120" s="87">
        <f>100%</f>
        <v>1</v>
      </c>
      <c r="R120" s="82"/>
      <c r="S120" s="83"/>
      <c r="T120" s="79"/>
      <c r="U120" s="84"/>
      <c r="V120" s="64"/>
      <c r="W120" s="83"/>
      <c r="X120" s="84"/>
      <c r="Y120" s="84"/>
      <c r="Z120" s="64"/>
      <c r="AA120" s="83"/>
      <c r="AB120" s="84"/>
      <c r="AC120" s="84"/>
      <c r="AD12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0" s="81">
        <f>List[[#This Row],[Running Budget Total]]-List[[#This Row],[Cash Out Total]]</f>
        <v>78.467153284671525</v>
      </c>
      <c r="AF120" s="85" t="str">
        <f>IF(AND(List[[#This Row],[Remaining]]=0,NOT(List[[#This Row],[Running Budget Total]]=0)),Status1,
IF(AND(List[[#This Row],[Remaining]]&lt;0,NOT(List[[#This Row],[Running Budget Total]]=0)),Status2,
IF(AND(List[[#This Row],[Remaining]]=0),Status3,
List[[#This Row],[Spent %]] &amp; Status4)))</f>
        <v>0% paid</v>
      </c>
      <c r="AG120" s="86">
        <f>IFERROR(ROUND(100*List[[#This Row],[Cash Out Total]]/List[[#This Row],[Running Budget Total]],0),0)</f>
        <v>0</v>
      </c>
    </row>
    <row r="121" spans="1:33" ht="40" customHeight="1" x14ac:dyDescent="0.2">
      <c r="A121" s="73" t="s">
        <v>14</v>
      </c>
      <c r="B121" s="74" t="s">
        <v>29</v>
      </c>
      <c r="C121" s="73" t="s">
        <v>107</v>
      </c>
      <c r="D121" s="89" t="s">
        <v>85</v>
      </c>
      <c r="E121" s="74"/>
      <c r="F121" s="76"/>
      <c r="G121" s="75" t="s">
        <v>47</v>
      </c>
      <c r="H121" s="77">
        <f>DisplayToUSD/(_xlfn.IFNA(INDEX('Quick Inputs- Constants'!$B$15:$C$18,MATCH(List[[#This Row],[Currency]],'Quick Inputs- Constants'!B$15:B$18,0),2),1))</f>
        <v>2.4330900243309003E-3</v>
      </c>
      <c r="I121" s="62">
        <v>1</v>
      </c>
      <c r="J121" s="78">
        <v>150000</v>
      </c>
      <c r="K121" s="79" t="s">
        <v>14</v>
      </c>
      <c r="L121" s="80">
        <f>List[[#This Row],[Exchange Rate]]*(1+IF(List[[#This Row],[Budget VAT]]="Yes",VATRate,0))*List[[#This Row],[Budget Quantity]]*List[[#This Row],[Budget Price]]</f>
        <v>364.96350364963507</v>
      </c>
      <c r="M121" s="63"/>
      <c r="N121" s="79"/>
      <c r="O121" s="79"/>
      <c r="P121" s="81">
        <f>IF(AND(ISBLANK(List[[#This Row],[Updated Quantity]]),ISBLANK(List[[#This Row],[Updated Price]]),ISBLANK(List[[#This Row],[Updated VAT]])),List[[#This Row],[Budget Total]],
List[[#This Row],[Exchange Rate]]*(1+IF(List[[#This Row],[Updated VAT]]="Yes",VATRate,0))*List[[#This Row],[Updated Quantity]]*List[[#This Row],[Updated Price]])</f>
        <v>364.96350364963507</v>
      </c>
      <c r="Q121" s="87">
        <f>100%</f>
        <v>1</v>
      </c>
      <c r="R121" s="82"/>
      <c r="S121" s="83"/>
      <c r="T121" s="79"/>
      <c r="U121" s="84"/>
      <c r="V121" s="64"/>
      <c r="W121" s="83"/>
      <c r="X121" s="84"/>
      <c r="Y121" s="84"/>
      <c r="Z121" s="64"/>
      <c r="AA121" s="83"/>
      <c r="AB121" s="84"/>
      <c r="AC121" s="84"/>
      <c r="AD12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1" s="81">
        <f>List[[#This Row],[Running Budget Total]]-List[[#This Row],[Cash Out Total]]</f>
        <v>364.96350364963507</v>
      </c>
      <c r="AF121" s="85" t="str">
        <f>IF(AND(List[[#This Row],[Remaining]]=0,NOT(List[[#This Row],[Running Budget Total]]=0)),Status1,
IF(AND(List[[#This Row],[Remaining]]&lt;0,NOT(List[[#This Row],[Running Budget Total]]=0)),Status2,
IF(AND(List[[#This Row],[Remaining]]=0),Status3,
List[[#This Row],[Spent %]] &amp; Status4)))</f>
        <v>0% paid</v>
      </c>
      <c r="AG121" s="86">
        <f>IFERROR(ROUND(100*List[[#This Row],[Cash Out Total]]/List[[#This Row],[Running Budget Total]],0),0)</f>
        <v>0</v>
      </c>
    </row>
    <row r="122" spans="1:33" ht="40" customHeight="1" x14ac:dyDescent="0.2">
      <c r="A122" s="73" t="s">
        <v>14</v>
      </c>
      <c r="B122" s="74" t="s">
        <v>29</v>
      </c>
      <c r="C122" s="73" t="s">
        <v>107</v>
      </c>
      <c r="D122" s="74" t="s">
        <v>88</v>
      </c>
      <c r="E122" s="74"/>
      <c r="F122" s="76"/>
      <c r="G122" s="75" t="s">
        <v>47</v>
      </c>
      <c r="H122" s="77">
        <f>DisplayToUSD/(_xlfn.IFNA(INDEX('Quick Inputs- Constants'!$B$15:$C$18,MATCH(List[[#This Row],[Currency]],'Quick Inputs- Constants'!B$15:B$18,0),2),1))</f>
        <v>2.4330900243309003E-3</v>
      </c>
      <c r="I122" s="62">
        <v>2</v>
      </c>
      <c r="J122" s="78">
        <v>1500</v>
      </c>
      <c r="K122" s="79" t="s">
        <v>99</v>
      </c>
      <c r="L122" s="80">
        <f>List[[#This Row],[Exchange Rate]]*(1+IF(List[[#This Row],[Budget VAT]]="Yes",VATRate,0))*List[[#This Row],[Budget Quantity]]*List[[#This Row],[Budget Price]]</f>
        <v>7.8467153284671527</v>
      </c>
      <c r="M122" s="63"/>
      <c r="N122" s="79"/>
      <c r="O122" s="79"/>
      <c r="P122" s="81">
        <f>IF(AND(ISBLANK(List[[#This Row],[Updated Quantity]]),ISBLANK(List[[#This Row],[Updated Price]]),ISBLANK(List[[#This Row],[Updated VAT]])),List[[#This Row],[Budget Total]],
List[[#This Row],[Exchange Rate]]*(1+IF(List[[#This Row],[Updated VAT]]="Yes",VATRate,0))*List[[#This Row],[Updated Quantity]]*List[[#This Row],[Updated Price]])</f>
        <v>7.8467153284671527</v>
      </c>
      <c r="Q122" s="87">
        <f>100%</f>
        <v>1</v>
      </c>
      <c r="R122" s="82"/>
      <c r="S122" s="83"/>
      <c r="T122" s="79"/>
      <c r="U122" s="84"/>
      <c r="V122" s="64"/>
      <c r="W122" s="83"/>
      <c r="X122" s="84"/>
      <c r="Y122" s="84"/>
      <c r="Z122" s="64"/>
      <c r="AA122" s="83"/>
      <c r="AB122" s="84"/>
      <c r="AC122" s="84"/>
      <c r="AD12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2" s="81">
        <f>List[[#This Row],[Running Budget Total]]-List[[#This Row],[Cash Out Total]]</f>
        <v>7.8467153284671527</v>
      </c>
      <c r="AF122" s="85" t="str">
        <f>IF(AND(List[[#This Row],[Remaining]]=0,NOT(List[[#This Row],[Running Budget Total]]=0)),Status1,
IF(AND(List[[#This Row],[Remaining]]&lt;0,NOT(List[[#This Row],[Running Budget Total]]=0)),Status2,
IF(AND(List[[#This Row],[Remaining]]=0),Status3,
List[[#This Row],[Spent %]] &amp; Status4)))</f>
        <v>0% paid</v>
      </c>
      <c r="AG122" s="86">
        <f>IFERROR(ROUND(100*List[[#This Row],[Cash Out Total]]/List[[#This Row],[Running Budget Total]],0),0)</f>
        <v>0</v>
      </c>
    </row>
    <row r="123" spans="1:33" ht="40" customHeight="1" x14ac:dyDescent="0.2">
      <c r="A123" s="73" t="s">
        <v>14</v>
      </c>
      <c r="B123" s="74" t="s">
        <v>29</v>
      </c>
      <c r="C123" s="73" t="s">
        <v>107</v>
      </c>
      <c r="D123" s="74" t="s">
        <v>87</v>
      </c>
      <c r="E123" s="74"/>
      <c r="F123" s="76"/>
      <c r="G123" s="75" t="s">
        <v>47</v>
      </c>
      <c r="H123" s="77">
        <f>DisplayToUSD/(_xlfn.IFNA(INDEX('Quick Inputs- Constants'!$B$15:$C$18,MATCH(List[[#This Row],[Currency]],'Quick Inputs- Constants'!B$15:B$18,0),2),1))</f>
        <v>2.4330900243309003E-3</v>
      </c>
      <c r="I123" s="62">
        <v>1</v>
      </c>
      <c r="J123" s="78">
        <v>8000</v>
      </c>
      <c r="K123" s="79" t="s">
        <v>99</v>
      </c>
      <c r="L123" s="80">
        <f>List[[#This Row],[Exchange Rate]]*(1+IF(List[[#This Row],[Budget VAT]]="Yes",VATRate,0))*List[[#This Row],[Budget Quantity]]*List[[#This Row],[Budget Price]]</f>
        <v>20.924574209245741</v>
      </c>
      <c r="M123" s="63"/>
      <c r="N123" s="79"/>
      <c r="O123" s="79"/>
      <c r="P123" s="81">
        <f>IF(AND(ISBLANK(List[[#This Row],[Updated Quantity]]),ISBLANK(List[[#This Row],[Updated Price]]),ISBLANK(List[[#This Row],[Updated VAT]])),List[[#This Row],[Budget Total]],
List[[#This Row],[Exchange Rate]]*(1+IF(List[[#This Row],[Updated VAT]]="Yes",VATRate,0))*List[[#This Row],[Updated Quantity]]*List[[#This Row],[Updated Price]])</f>
        <v>20.924574209245741</v>
      </c>
      <c r="Q123" s="87">
        <f>100%</f>
        <v>1</v>
      </c>
      <c r="R123" s="82"/>
      <c r="S123" s="83"/>
      <c r="T123" s="79"/>
      <c r="U123" s="84"/>
      <c r="V123" s="64"/>
      <c r="W123" s="83"/>
      <c r="X123" s="84"/>
      <c r="Y123" s="84"/>
      <c r="Z123" s="64"/>
      <c r="AA123" s="83"/>
      <c r="AB123" s="84"/>
      <c r="AC123" s="84"/>
      <c r="AD12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3" s="81">
        <f>List[[#This Row],[Running Budget Total]]-List[[#This Row],[Cash Out Total]]</f>
        <v>20.924574209245741</v>
      </c>
      <c r="AF123" s="85" t="str">
        <f>IF(AND(List[[#This Row],[Remaining]]=0,NOT(List[[#This Row],[Running Budget Total]]=0)),Status1,
IF(AND(List[[#This Row],[Remaining]]&lt;0,NOT(List[[#This Row],[Running Budget Total]]=0)),Status2,
IF(AND(List[[#This Row],[Remaining]]=0),Status3,
List[[#This Row],[Spent %]] &amp; Status4)))</f>
        <v>0% paid</v>
      </c>
      <c r="AG123" s="86">
        <f>IFERROR(ROUND(100*List[[#This Row],[Cash Out Total]]/List[[#This Row],[Running Budget Total]],0),0)</f>
        <v>0</v>
      </c>
    </row>
    <row r="124" spans="1:33" ht="40" customHeight="1" x14ac:dyDescent="0.2">
      <c r="A124" s="73" t="s">
        <v>14</v>
      </c>
      <c r="B124" s="74" t="s">
        <v>29</v>
      </c>
      <c r="C124" s="73" t="s">
        <v>107</v>
      </c>
      <c r="D124" s="89" t="s">
        <v>355</v>
      </c>
      <c r="E124" s="74"/>
      <c r="F124" s="76"/>
      <c r="G124" s="75" t="s">
        <v>47</v>
      </c>
      <c r="H124" s="77">
        <f>DisplayToUSD/(_xlfn.IFNA(INDEX('Quick Inputs- Constants'!$B$15:$C$18,MATCH(List[[#This Row],[Currency]],'Quick Inputs- Constants'!B$15:B$18,0),2),1))</f>
        <v>2.4330900243309003E-3</v>
      </c>
      <c r="I124" s="62">
        <v>1</v>
      </c>
      <c r="J124" s="78">
        <v>1200000</v>
      </c>
      <c r="K124" s="79" t="s">
        <v>99</v>
      </c>
      <c r="L124" s="80">
        <f>List[[#This Row],[Exchange Rate]]*(1+IF(List[[#This Row],[Budget VAT]]="Yes",VATRate,0))*List[[#This Row],[Budget Quantity]]*List[[#This Row],[Budget Price]]</f>
        <v>3138.6861313868612</v>
      </c>
      <c r="M124" s="63"/>
      <c r="N124" s="79"/>
      <c r="O124" s="79"/>
      <c r="P124" s="35">
        <f>IF(AND(ISBLANK(List[[#This Row],[Updated Quantity]]),ISBLANK(List[[#This Row],[Updated Price]]),ISBLANK(List[[#This Row],[Updated VAT]])),List[[#This Row],[Budget Total]],
List[[#This Row],[Exchange Rate]]*(1+IF(List[[#This Row],[Updated VAT]]="Yes",VATRate,0))*List[[#This Row],[Updated Quantity]]*List[[#This Row],[Updated Price]])</f>
        <v>3138.6861313868612</v>
      </c>
      <c r="Q124" s="87">
        <f>100%</f>
        <v>1</v>
      </c>
      <c r="R124" s="82"/>
      <c r="S124" s="83"/>
      <c r="T124" s="79"/>
      <c r="U124" s="84"/>
      <c r="V124" s="64"/>
      <c r="W124" s="83"/>
      <c r="X124" s="84"/>
      <c r="Y124" s="84"/>
      <c r="Z124" s="64"/>
      <c r="AA124" s="83"/>
      <c r="AB124" s="84"/>
      <c r="AC124" s="84"/>
      <c r="AD12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4" s="81">
        <f>List[[#This Row],[Running Budget Total]]-List[[#This Row],[Cash Out Total]]</f>
        <v>3138.6861313868612</v>
      </c>
      <c r="AF124" s="85" t="str">
        <f>IF(AND(List[[#This Row],[Remaining]]=0,NOT(List[[#This Row],[Running Budget Total]]=0)),Status1,
IF(AND(List[[#This Row],[Remaining]]&lt;0,NOT(List[[#This Row],[Running Budget Total]]=0)),Status2,
IF(AND(List[[#This Row],[Remaining]]=0),Status3,
List[[#This Row],[Spent %]] &amp; Status4)))</f>
        <v>0% paid</v>
      </c>
      <c r="AG124" s="86">
        <f>IFERROR(ROUND(100*List[[#This Row],[Cash Out Total]]/List[[#This Row],[Running Budget Total]],0),0)</f>
        <v>0</v>
      </c>
    </row>
    <row r="125" spans="1:33" ht="40" customHeight="1" x14ac:dyDescent="0.2">
      <c r="A125" s="11" t="s">
        <v>14</v>
      </c>
      <c r="B125" s="22" t="s">
        <v>29</v>
      </c>
      <c r="C125" s="11" t="s">
        <v>107</v>
      </c>
      <c r="D125" s="58" t="s">
        <v>356</v>
      </c>
      <c r="E125" s="22"/>
      <c r="F125" s="21"/>
      <c r="G125" s="51" t="s">
        <v>47</v>
      </c>
      <c r="H125" s="37">
        <f>DisplayToUSD/(_xlfn.IFNA(INDEX('Quick Inputs- Constants'!$B$15:$C$18,MATCH(List[[#This Row],[Currency]],'Quick Inputs- Constants'!B$15:B$18,0),2),1))</f>
        <v>2.4330900243309003E-3</v>
      </c>
      <c r="I125" s="62">
        <v>1</v>
      </c>
      <c r="J125" s="52">
        <v>200000</v>
      </c>
      <c r="K125" s="53" t="s">
        <v>14</v>
      </c>
      <c r="L125" s="54">
        <f>List[[#This Row],[Exchange Rate]]*(1+IF(List[[#This Row],[Budget VAT]]="Yes",VATRate,0))*List[[#This Row],[Budget Quantity]]*List[[#This Row],[Budget Price]]</f>
        <v>486.61800486618006</v>
      </c>
      <c r="M125" s="63"/>
      <c r="N125" s="53"/>
      <c r="O125" s="53"/>
      <c r="P125" s="35">
        <f>IF(AND(ISBLANK(List[[#This Row],[Updated Quantity]]),ISBLANK(List[[#This Row],[Updated Price]]),ISBLANK(List[[#This Row],[Updated VAT]])),List[[#This Row],[Budget Total]],
List[[#This Row],[Exchange Rate]]*(1+IF(List[[#This Row],[Updated VAT]]="Yes",VATRate,0))*List[[#This Row],[Updated Quantity]]*List[[#This Row],[Updated Price]])</f>
        <v>486.61800486618006</v>
      </c>
      <c r="Q125" s="87">
        <f>100%</f>
        <v>1</v>
      </c>
      <c r="R125" s="61"/>
      <c r="S125" s="55"/>
      <c r="T125" s="53"/>
      <c r="U125" s="56"/>
      <c r="V125" s="64"/>
      <c r="W125" s="55"/>
      <c r="X125" s="56"/>
      <c r="Y125" s="56"/>
      <c r="Z125" s="64"/>
      <c r="AA125" s="55"/>
      <c r="AB125" s="56"/>
      <c r="AC125" s="56"/>
      <c r="AD12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5" s="35">
        <f>List[[#This Row],[Running Budget Total]]-List[[#This Row],[Cash Out Total]]</f>
        <v>486.61800486618006</v>
      </c>
      <c r="AF125" s="36" t="str">
        <f>IF(AND(List[[#This Row],[Remaining]]=0,NOT(List[[#This Row],[Running Budget Total]]=0)),Status1,
IF(AND(List[[#This Row],[Remaining]]&lt;0,NOT(List[[#This Row],[Running Budget Total]]=0)),Status2,
IF(AND(List[[#This Row],[Remaining]]=0),Status3,
List[[#This Row],[Spent %]] &amp; Status4)))</f>
        <v>0% paid</v>
      </c>
      <c r="AG125" s="57">
        <f>IFERROR(ROUND(100*List[[#This Row],[Cash Out Total]]/List[[#This Row],[Running Budget Total]],0),0)</f>
        <v>0</v>
      </c>
    </row>
    <row r="126" spans="1:33" ht="40" customHeight="1" x14ac:dyDescent="0.2">
      <c r="A126" s="73" t="s">
        <v>14</v>
      </c>
      <c r="B126" s="74" t="s">
        <v>29</v>
      </c>
      <c r="C126" s="73" t="s">
        <v>107</v>
      </c>
      <c r="D126" s="74" t="s">
        <v>297</v>
      </c>
      <c r="E126" s="74"/>
      <c r="F126" s="76"/>
      <c r="G126" s="75" t="s">
        <v>47</v>
      </c>
      <c r="H126" s="77">
        <f>DisplayToUSD/(_xlfn.IFNA(INDEX('Quick Inputs- Constants'!$B$15:$C$18,MATCH(List[[#This Row],[Currency]],'Quick Inputs- Constants'!B$15:B$18,0),2),1))</f>
        <v>2.4330900243309003E-3</v>
      </c>
      <c r="I126" s="62">
        <v>1</v>
      </c>
      <c r="J126" s="78">
        <v>3500</v>
      </c>
      <c r="K126" s="79" t="s">
        <v>99</v>
      </c>
      <c r="L126" s="80">
        <f>List[[#This Row],[Exchange Rate]]*(1+IF(List[[#This Row],[Budget VAT]]="Yes",VATRate,0))*List[[#This Row],[Budget Quantity]]*List[[#This Row],[Budget Price]]</f>
        <v>9.154501216545011</v>
      </c>
      <c r="M126" s="63"/>
      <c r="N126" s="79"/>
      <c r="O126" s="79"/>
      <c r="P126" s="35">
        <f>IF(AND(ISBLANK(List[[#This Row],[Updated Quantity]]),ISBLANK(List[[#This Row],[Updated Price]]),ISBLANK(List[[#This Row],[Updated VAT]])),List[[#This Row],[Budget Total]],
List[[#This Row],[Exchange Rate]]*(1+IF(List[[#This Row],[Updated VAT]]="Yes",VATRate,0))*List[[#This Row],[Updated Quantity]]*List[[#This Row],[Updated Price]])</f>
        <v>9.154501216545011</v>
      </c>
      <c r="Q126" s="87">
        <f>100%</f>
        <v>1</v>
      </c>
      <c r="R126" s="82"/>
      <c r="S126" s="83"/>
      <c r="T126" s="79"/>
      <c r="U126" s="84"/>
      <c r="V126" s="64"/>
      <c r="W126" s="83"/>
      <c r="X126" s="84"/>
      <c r="Y126" s="84"/>
      <c r="Z126" s="64"/>
      <c r="AA126" s="83"/>
      <c r="AB126" s="84"/>
      <c r="AC126" s="84"/>
      <c r="AD12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6" s="81">
        <f>List[[#This Row],[Running Budget Total]]-List[[#This Row],[Cash Out Total]]</f>
        <v>9.154501216545011</v>
      </c>
      <c r="AF126" s="85" t="str">
        <f>IF(AND(List[[#This Row],[Remaining]]=0,NOT(List[[#This Row],[Running Budget Total]]=0)),Status1,
IF(AND(List[[#This Row],[Remaining]]&lt;0,NOT(List[[#This Row],[Running Budget Total]]=0)),Status2,
IF(AND(List[[#This Row],[Remaining]]=0),Status3,
List[[#This Row],[Spent %]] &amp; Status4)))</f>
        <v>0% paid</v>
      </c>
      <c r="AG126" s="86">
        <f>IFERROR(ROUND(100*List[[#This Row],[Cash Out Total]]/List[[#This Row],[Running Budget Total]],0),0)</f>
        <v>0</v>
      </c>
    </row>
    <row r="127" spans="1:33" ht="40" customHeight="1" x14ac:dyDescent="0.2">
      <c r="A127" s="73" t="s">
        <v>14</v>
      </c>
      <c r="B127" s="74" t="s">
        <v>29</v>
      </c>
      <c r="C127" s="73" t="s">
        <v>107</v>
      </c>
      <c r="D127" s="74" t="s">
        <v>298</v>
      </c>
      <c r="E127" s="74"/>
      <c r="F127" s="76"/>
      <c r="G127" s="75" t="s">
        <v>47</v>
      </c>
      <c r="H127" s="77">
        <f>DisplayToUSD/(_xlfn.IFNA(INDEX('Quick Inputs- Constants'!$B$15:$C$18,MATCH(List[[#This Row],[Currency]],'Quick Inputs- Constants'!B$15:B$18,0),2),1))</f>
        <v>2.4330900243309003E-3</v>
      </c>
      <c r="I127" s="62">
        <v>1</v>
      </c>
      <c r="J127" s="78">
        <v>5000</v>
      </c>
      <c r="K127" s="79" t="s">
        <v>99</v>
      </c>
      <c r="L127" s="80">
        <f>List[[#This Row],[Exchange Rate]]*(1+IF(List[[#This Row],[Budget VAT]]="Yes",VATRate,0))*List[[#This Row],[Budget Quantity]]*List[[#This Row],[Budget Price]]</f>
        <v>13.077858880778587</v>
      </c>
      <c r="M127" s="63"/>
      <c r="N127" s="79"/>
      <c r="O127" s="79"/>
      <c r="P127" s="35">
        <f>IF(AND(ISBLANK(List[[#This Row],[Updated Quantity]]),ISBLANK(List[[#This Row],[Updated Price]]),ISBLANK(List[[#This Row],[Updated VAT]])),List[[#This Row],[Budget Total]],
List[[#This Row],[Exchange Rate]]*(1+IF(List[[#This Row],[Updated VAT]]="Yes",VATRate,0))*List[[#This Row],[Updated Quantity]]*List[[#This Row],[Updated Price]])</f>
        <v>13.077858880778587</v>
      </c>
      <c r="Q127" s="87">
        <f>100%</f>
        <v>1</v>
      </c>
      <c r="R127" s="82"/>
      <c r="S127" s="83"/>
      <c r="T127" s="79"/>
      <c r="U127" s="84"/>
      <c r="V127" s="64"/>
      <c r="W127" s="83"/>
      <c r="X127" s="84"/>
      <c r="Y127" s="84"/>
      <c r="Z127" s="64"/>
      <c r="AA127" s="83"/>
      <c r="AB127" s="84"/>
      <c r="AC127" s="84"/>
      <c r="AD12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7" s="81">
        <f>List[[#This Row],[Running Budget Total]]-List[[#This Row],[Cash Out Total]]</f>
        <v>13.077858880778587</v>
      </c>
      <c r="AF127" s="85" t="str">
        <f>IF(AND(List[[#This Row],[Remaining]]=0,NOT(List[[#This Row],[Running Budget Total]]=0)),Status1,
IF(AND(List[[#This Row],[Remaining]]&lt;0,NOT(List[[#This Row],[Running Budget Total]]=0)),Status2,
IF(AND(List[[#This Row],[Remaining]]=0),Status3,
List[[#This Row],[Spent %]] &amp; Status4)))</f>
        <v>0% paid</v>
      </c>
      <c r="AG127" s="86">
        <f>IFERROR(ROUND(100*List[[#This Row],[Cash Out Total]]/List[[#This Row],[Running Budget Total]],0),0)</f>
        <v>0</v>
      </c>
    </row>
    <row r="128" spans="1:33" ht="40" customHeight="1" x14ac:dyDescent="0.2">
      <c r="A128" s="73" t="s">
        <v>209</v>
      </c>
      <c r="B128" s="74" t="s">
        <v>29</v>
      </c>
      <c r="C128" s="73" t="s">
        <v>16</v>
      </c>
      <c r="D128" s="74" t="s">
        <v>299</v>
      </c>
      <c r="E128" s="74"/>
      <c r="F128" s="76"/>
      <c r="G128" s="75" t="s">
        <v>47</v>
      </c>
      <c r="H128" s="77">
        <f>DisplayToUSD/(_xlfn.IFNA(INDEX('Quick Inputs- Constants'!$B$15:$C$18,MATCH(List[[#This Row],[Currency]],'Quick Inputs- Constants'!B$15:B$18,0),2),1))</f>
        <v>2.4330900243309003E-3</v>
      </c>
      <c r="I128" s="62">
        <v>0</v>
      </c>
      <c r="J128" s="78">
        <f>BoatCostCargo</f>
        <v>75000</v>
      </c>
      <c r="K128" s="79" t="s">
        <v>14</v>
      </c>
      <c r="L128" s="80">
        <f>List[[#This Row],[Exchange Rate]]*(1+IF(List[[#This Row],[Budget VAT]]="Yes",VATRate,0))*List[[#This Row],[Budget Quantity]]*List[[#This Row],[Budget Price]]</f>
        <v>0</v>
      </c>
      <c r="M128" s="63"/>
      <c r="N128" s="79"/>
      <c r="O128" s="79"/>
      <c r="P128" s="35">
        <f>IF(AND(ISBLANK(List[[#This Row],[Updated Quantity]]),ISBLANK(List[[#This Row],[Updated Price]]),ISBLANK(List[[#This Row],[Updated VAT]])),List[[#This Row],[Budget Total]],
List[[#This Row],[Exchange Rate]]*(1+IF(List[[#This Row],[Updated VAT]]="Yes",VATRate,0))*List[[#This Row],[Updated Quantity]]*List[[#This Row],[Updated Price]])</f>
        <v>0</v>
      </c>
      <c r="Q128" s="87">
        <f>100%</f>
        <v>1</v>
      </c>
      <c r="R128" s="82"/>
      <c r="S128" s="83"/>
      <c r="T128" s="79"/>
      <c r="U128" s="84"/>
      <c r="V128" s="64"/>
      <c r="W128" s="83"/>
      <c r="X128" s="84"/>
      <c r="Y128" s="84"/>
      <c r="Z128" s="64"/>
      <c r="AA128" s="83"/>
      <c r="AB128" s="84"/>
      <c r="AC128" s="84"/>
      <c r="AD12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8" s="81">
        <f>List[[#This Row],[Running Budget Total]]-List[[#This Row],[Cash Out Total]]</f>
        <v>0</v>
      </c>
      <c r="AF128" s="85" t="str">
        <f>IF(AND(List[[#This Row],[Remaining]]=0,NOT(List[[#This Row],[Running Budget Total]]=0)),Status1,
IF(AND(List[[#This Row],[Remaining]]&lt;0,NOT(List[[#This Row],[Running Budget Total]]=0)),Status2,
IF(AND(List[[#This Row],[Remaining]]=0),Status3,
List[[#This Row],[Spent %]] &amp; Status4)))</f>
        <v>Cancelled</v>
      </c>
      <c r="AG128" s="86">
        <f>IFERROR(ROUND(100*List[[#This Row],[Cash Out Total]]/List[[#This Row],[Running Budget Total]],0),0)</f>
        <v>0</v>
      </c>
    </row>
    <row r="129" spans="1:33" s="165" customFormat="1" ht="40" customHeight="1" x14ac:dyDescent="0.2">
      <c r="A129" s="132" t="s">
        <v>99</v>
      </c>
      <c r="B129" s="133" t="s">
        <v>29</v>
      </c>
      <c r="C129" s="132" t="s">
        <v>16</v>
      </c>
      <c r="D129" s="172" t="s">
        <v>373</v>
      </c>
      <c r="E129" s="133"/>
      <c r="F129" s="134"/>
      <c r="G129" s="135" t="s">
        <v>47</v>
      </c>
      <c r="H129" s="136">
        <f>DisplayToUSD/(_xlfn.IFNA(INDEX('Quick Inputs- Constants'!$B$15:$C$18,MATCH(List[[#This Row],[Currency]],'Quick Inputs- Constants'!B$15:B$18,0),2),1))</f>
        <v>2.4330900243309003E-3</v>
      </c>
      <c r="I129" s="137">
        <v>1</v>
      </c>
      <c r="J129" s="138">
        <f>TruckCost/TruckTransportSplitPowerHouse</f>
        <v>200000</v>
      </c>
      <c r="K129" s="139" t="s">
        <v>14</v>
      </c>
      <c r="L129" s="140">
        <f>List[[#This Row],[Exchange Rate]]*(1+IF(List[[#This Row],[Budget VAT]]="Yes",VATRate,0))*List[[#This Row],[Budget Quantity]]*List[[#This Row],[Budget Price]]</f>
        <v>486.61800486618006</v>
      </c>
      <c r="M129" s="164"/>
      <c r="N129" s="139"/>
      <c r="O129" s="139"/>
      <c r="P129" s="159">
        <f>IF(AND(ISBLANK(List[[#This Row],[Updated Quantity]]),ISBLANK(List[[#This Row],[Updated Price]]),ISBLANK(List[[#This Row],[Updated VAT]])),List[[#This Row],[Budget Total]],
List[[#This Row],[Exchange Rate]]*(1+IF(List[[#This Row],[Updated VAT]]="Yes",VATRate,0))*List[[#This Row],[Updated Quantity]]*List[[#This Row],[Updated Price]])</f>
        <v>486.61800486618006</v>
      </c>
      <c r="Q129" s="143">
        <f>100%</f>
        <v>1</v>
      </c>
      <c r="R129" s="144"/>
      <c r="S129" s="142"/>
      <c r="T129" s="139"/>
      <c r="U129" s="145"/>
      <c r="V129" s="146"/>
      <c r="W129" s="142"/>
      <c r="X129" s="145"/>
      <c r="Y129" s="145"/>
      <c r="Z129" s="146"/>
      <c r="AA129" s="142"/>
      <c r="AB129" s="145"/>
      <c r="AC129" s="145"/>
      <c r="AD129"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9" s="142">
        <f>List[[#This Row],[Running Budget Total]]-List[[#This Row],[Cash Out Total]]</f>
        <v>486.61800486618006</v>
      </c>
      <c r="AF129" s="148" t="str">
        <f>IF(AND(List[[#This Row],[Remaining]]=0,NOT(List[[#This Row],[Running Budget Total]]=0)),Status1,
IF(AND(List[[#This Row],[Remaining]]&lt;0,NOT(List[[#This Row],[Running Budget Total]]=0)),Status2,
IF(AND(List[[#This Row],[Remaining]]=0),Status3,
List[[#This Row],[Spent %]] &amp; Status4)))</f>
        <v>0% paid</v>
      </c>
      <c r="AG129" s="149">
        <f>IFERROR(ROUND(100*List[[#This Row],[Cash Out Total]]/List[[#This Row],[Running Budget Total]],0),0)</f>
        <v>0</v>
      </c>
    </row>
    <row r="130" spans="1:33" s="165" customFormat="1" ht="40" customHeight="1" x14ac:dyDescent="0.2">
      <c r="A130" s="132" t="s">
        <v>99</v>
      </c>
      <c r="B130" s="133" t="s">
        <v>30</v>
      </c>
      <c r="C130" s="132" t="s">
        <v>12</v>
      </c>
      <c r="D130" s="133" t="s">
        <v>282</v>
      </c>
      <c r="E130" s="133"/>
      <c r="F130" s="134"/>
      <c r="G130" s="135" t="s">
        <v>47</v>
      </c>
      <c r="H130" s="136">
        <f>DisplayToUSD/(_xlfn.IFNA(INDEX('Quick Inputs- Constants'!$B$15:$C$18,MATCH(List[[#This Row],[Currency]],'Quick Inputs- Constants'!B$15:B$18,0),2),1))</f>
        <v>2.4330900243309003E-3</v>
      </c>
      <c r="I130" s="137">
        <v>1</v>
      </c>
      <c r="J130" s="138">
        <f>RackingClearingAgentFees</f>
        <v>137000</v>
      </c>
      <c r="K130" s="139" t="s">
        <v>99</v>
      </c>
      <c r="L130" s="140">
        <f>List[[#This Row],[Exchange Rate]]*(1+IF(List[[#This Row],[Budget VAT]]="Yes",VATRate,0))*List[[#This Row],[Budget Quantity]]*List[[#This Row],[Budget Price]]</f>
        <v>358.33333333333331</v>
      </c>
      <c r="M130" s="164"/>
      <c r="N130" s="139"/>
      <c r="O130" s="139"/>
      <c r="P130" s="142">
        <f>IF(AND(ISBLANK(List[[#This Row],[Updated Quantity]]),ISBLANK(List[[#This Row],[Updated Price]]),ISBLANK(List[[#This Row],[Updated VAT]])),List[[#This Row],[Budget Total]],
List[[#This Row],[Exchange Rate]]*(1+IF(List[[#This Row],[Updated VAT]]="Yes",VATRate,0))*List[[#This Row],[Updated Quantity]]*List[[#This Row],[Updated Price]])</f>
        <v>358.33333333333331</v>
      </c>
      <c r="Q130" s="143">
        <f>100%</f>
        <v>1</v>
      </c>
      <c r="R130" s="144"/>
      <c r="S130" s="142"/>
      <c r="T130" s="139"/>
      <c r="U130" s="145"/>
      <c r="V130" s="146"/>
      <c r="W130" s="142"/>
      <c r="X130" s="145"/>
      <c r="Y130" s="145"/>
      <c r="Z130" s="146"/>
      <c r="AA130" s="142"/>
      <c r="AB130" s="145"/>
      <c r="AC130" s="145"/>
      <c r="AD130"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0" s="142">
        <f>List[[#This Row],[Running Budget Total]]-List[[#This Row],[Cash Out Total]]</f>
        <v>358.33333333333331</v>
      </c>
      <c r="AF130" s="148" t="str">
        <f>IF(AND(List[[#This Row],[Remaining]]=0,NOT(List[[#This Row],[Running Budget Total]]=0)),Status1,
IF(AND(List[[#This Row],[Remaining]]&lt;0,NOT(List[[#This Row],[Running Budget Total]]=0)),Status2,
IF(AND(List[[#This Row],[Remaining]]=0),Status3,
List[[#This Row],[Spent %]] &amp; Status4)))</f>
        <v>0% paid</v>
      </c>
      <c r="AG130" s="149">
        <f>IFERROR(ROUND(100*List[[#This Row],[Cash Out Total]]/List[[#This Row],[Running Budget Total]],0),0)</f>
        <v>0</v>
      </c>
    </row>
    <row r="131" spans="1:33" s="165" customFormat="1" ht="40" customHeight="1" x14ac:dyDescent="0.2">
      <c r="A131" s="151" t="s">
        <v>99</v>
      </c>
      <c r="B131" s="152" t="s">
        <v>30</v>
      </c>
      <c r="C131" s="151" t="s">
        <v>12</v>
      </c>
      <c r="D131" s="133" t="s">
        <v>498</v>
      </c>
      <c r="E131" s="152" t="s">
        <v>595</v>
      </c>
      <c r="F131" s="153"/>
      <c r="G131" s="154" t="s">
        <v>47</v>
      </c>
      <c r="H131" s="155">
        <f>DisplayToUSD/(_xlfn.IFNA(INDEX('Quick Inputs- Constants'!$B$15:$C$18,MATCH(List[[#This Row],[Currency]],'Quick Inputs- Constants'!B$15:B$18,0),2),1))</f>
        <v>2.4330900243309003E-3</v>
      </c>
      <c r="I131" s="137">
        <v>1</v>
      </c>
      <c r="J131" s="156">
        <f>RackingInspection</f>
        <v>102750</v>
      </c>
      <c r="K131" s="157" t="s">
        <v>14</v>
      </c>
      <c r="L131" s="158">
        <f>List[[#This Row],[Exchange Rate]]*(1+IF(List[[#This Row],[Budget VAT]]="Yes",VATRate,0))*List[[#This Row],[Budget Quantity]]*List[[#This Row],[Budget Price]]</f>
        <v>250</v>
      </c>
      <c r="M131" s="164"/>
      <c r="N131" s="157"/>
      <c r="O131" s="157"/>
      <c r="P131" s="159">
        <f>IF(AND(ISBLANK(List[[#This Row],[Updated Quantity]]),ISBLANK(List[[#This Row],[Updated Price]]),ISBLANK(List[[#This Row],[Updated VAT]])),List[[#This Row],[Budget Total]],
List[[#This Row],[Exchange Rate]]*(1+IF(List[[#This Row],[Updated VAT]]="Yes",VATRate,0))*List[[#This Row],[Updated Quantity]]*List[[#This Row],[Updated Price]])</f>
        <v>250</v>
      </c>
      <c r="Q131" s="143">
        <f>100%</f>
        <v>1</v>
      </c>
      <c r="R131" s="160"/>
      <c r="S131" s="159"/>
      <c r="T131" s="157"/>
      <c r="U131" s="161"/>
      <c r="V131" s="146"/>
      <c r="W131" s="159"/>
      <c r="X131" s="161"/>
      <c r="Y131" s="161"/>
      <c r="Z131" s="146"/>
      <c r="AA131" s="159"/>
      <c r="AB131" s="161"/>
      <c r="AC131" s="161"/>
      <c r="AD131"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1" s="159">
        <f>List[[#This Row],[Running Budget Total]]-List[[#This Row],[Cash Out Total]]</f>
        <v>250</v>
      </c>
      <c r="AF131" s="162" t="str">
        <f>IF(AND(List[[#This Row],[Remaining]]=0,NOT(List[[#This Row],[Running Budget Total]]=0)),Status1,
IF(AND(List[[#This Row],[Remaining]]&lt;0,NOT(List[[#This Row],[Running Budget Total]]=0)),Status2,
IF(AND(List[[#This Row],[Remaining]]=0),Status3,
List[[#This Row],[Spent %]] &amp; Status4)))</f>
        <v>0% paid</v>
      </c>
      <c r="AG131" s="163">
        <f>IFERROR(ROUND(100*List[[#This Row],[Cash Out Total]]/List[[#This Row],[Running Budget Total]],0),0)</f>
        <v>0</v>
      </c>
    </row>
    <row r="132" spans="1:33" s="165" customFormat="1" ht="40" customHeight="1" x14ac:dyDescent="0.2">
      <c r="A132" s="151" t="s">
        <v>99</v>
      </c>
      <c r="B132" s="152" t="s">
        <v>30</v>
      </c>
      <c r="C132" s="151" t="s">
        <v>12</v>
      </c>
      <c r="D132" s="152" t="s">
        <v>71</v>
      </c>
      <c r="E132" s="152" t="s">
        <v>590</v>
      </c>
      <c r="F132" s="153"/>
      <c r="G132" s="154" t="s">
        <v>47</v>
      </c>
      <c r="H132" s="155">
        <f>DisplayToUSD/(_xlfn.IFNA(INDEX('Quick Inputs- Constants'!$B$15:$C$18,MATCH(List[[#This Row],[Currency]],'Quick Inputs- Constants'!B$15:B$18,0),2),1))</f>
        <v>2.4330900243309003E-3</v>
      </c>
      <c r="I132" s="137">
        <v>1</v>
      </c>
      <c r="J132" s="156">
        <f>RackingNonVAT</f>
        <v>303919</v>
      </c>
      <c r="K132" s="157" t="s">
        <v>14</v>
      </c>
      <c r="L132" s="158">
        <f>List[[#This Row],[Exchange Rate]]*(1+IF(List[[#This Row],[Budget VAT]]="Yes",VATRate,0))*List[[#This Row],[Budget Quantity]]*List[[#This Row],[Budget Price]]</f>
        <v>739.46228710462287</v>
      </c>
      <c r="M132" s="164"/>
      <c r="N132" s="157"/>
      <c r="O132" s="157"/>
      <c r="P132" s="159">
        <f>IF(AND(ISBLANK(List[[#This Row],[Updated Quantity]]),ISBLANK(List[[#This Row],[Updated Price]]),ISBLANK(List[[#This Row],[Updated VAT]])),List[[#This Row],[Budget Total]],
List[[#This Row],[Exchange Rate]]*(1+IF(List[[#This Row],[Updated VAT]]="Yes",VATRate,0))*List[[#This Row],[Updated Quantity]]*List[[#This Row],[Updated Price]])</f>
        <v>739.46228710462287</v>
      </c>
      <c r="Q132" s="143">
        <f>100%</f>
        <v>1</v>
      </c>
      <c r="R132" s="160"/>
      <c r="S132" s="159"/>
      <c r="T132" s="157"/>
      <c r="U132" s="161"/>
      <c r="V132" s="146"/>
      <c r="W132" s="159"/>
      <c r="X132" s="161"/>
      <c r="Y132" s="161"/>
      <c r="Z132" s="146"/>
      <c r="AA132" s="159"/>
      <c r="AB132" s="161"/>
      <c r="AC132" s="161"/>
      <c r="AD13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2" s="159">
        <f>List[[#This Row],[Running Budget Total]]-List[[#This Row],[Cash Out Total]]</f>
        <v>739.46228710462287</v>
      </c>
      <c r="AF132" s="162" t="str">
        <f>IF(AND(List[[#This Row],[Remaining]]=0,NOT(List[[#This Row],[Running Budget Total]]=0)),Status1,
IF(AND(List[[#This Row],[Remaining]]&lt;0,NOT(List[[#This Row],[Running Budget Total]]=0)),Status2,
IF(AND(List[[#This Row],[Remaining]]=0),Status3,
List[[#This Row],[Spent %]] &amp; Status4)))</f>
        <v>0% paid</v>
      </c>
      <c r="AG132" s="163">
        <f>IFERROR(ROUND(100*List[[#This Row],[Cash Out Total]]/List[[#This Row],[Running Budget Total]],0),0)</f>
        <v>0</v>
      </c>
    </row>
    <row r="133" spans="1:33" s="165" customFormat="1" ht="40" customHeight="1" x14ac:dyDescent="0.2">
      <c r="A133" s="151" t="s">
        <v>99</v>
      </c>
      <c r="B133" s="152" t="s">
        <v>30</v>
      </c>
      <c r="C133" s="151" t="s">
        <v>12</v>
      </c>
      <c r="D133" s="152" t="s">
        <v>267</v>
      </c>
      <c r="E133" s="152" t="s">
        <v>596</v>
      </c>
      <c r="F133" s="153"/>
      <c r="G133" s="154" t="s">
        <v>47</v>
      </c>
      <c r="H133" s="155">
        <f>DisplayToUSD/(_xlfn.IFNA(INDEX('Quick Inputs- Constants'!$B$15:$C$18,MATCH(List[[#This Row],[Currency]],'Quick Inputs- Constants'!B$15:B$18,0),2),1))</f>
        <v>2.4330900243309003E-3</v>
      </c>
      <c r="I133" s="137">
        <v>1</v>
      </c>
      <c r="J133" s="156">
        <f>RackingPortFees</f>
        <v>218703.375</v>
      </c>
      <c r="K133" s="157" t="s">
        <v>14</v>
      </c>
      <c r="L133" s="158">
        <f>List[[#This Row],[Exchange Rate]]*(1+IF(List[[#This Row],[Budget VAT]]="Yes",VATRate,0))*List[[#This Row],[Budget Quantity]]*List[[#This Row],[Budget Price]]</f>
        <v>532.125</v>
      </c>
      <c r="M133" s="164"/>
      <c r="N133" s="157"/>
      <c r="O133" s="157"/>
      <c r="P133" s="159">
        <f>IF(AND(ISBLANK(List[[#This Row],[Updated Quantity]]),ISBLANK(List[[#This Row],[Updated Price]]),ISBLANK(List[[#This Row],[Updated VAT]])),List[[#This Row],[Budget Total]],
List[[#This Row],[Exchange Rate]]*(1+IF(List[[#This Row],[Updated VAT]]="Yes",VATRate,0))*List[[#This Row],[Updated Quantity]]*List[[#This Row],[Updated Price]])</f>
        <v>532.125</v>
      </c>
      <c r="Q133" s="143">
        <f>100%</f>
        <v>1</v>
      </c>
      <c r="R133" s="160"/>
      <c r="S133" s="159"/>
      <c r="T133" s="157"/>
      <c r="U133" s="161"/>
      <c r="V133" s="146"/>
      <c r="W133" s="159"/>
      <c r="X133" s="161"/>
      <c r="Y133" s="161"/>
      <c r="Z133" s="146"/>
      <c r="AA133" s="159"/>
      <c r="AB133" s="161"/>
      <c r="AC133" s="161"/>
      <c r="AD133"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3" s="159">
        <f>List[[#This Row],[Running Budget Total]]-List[[#This Row],[Cash Out Total]]</f>
        <v>532.125</v>
      </c>
      <c r="AF133" s="162" t="str">
        <f>IF(AND(List[[#This Row],[Remaining]]=0,NOT(List[[#This Row],[Running Budget Total]]=0)),Status1,
IF(AND(List[[#This Row],[Remaining]]&lt;0,NOT(List[[#This Row],[Running Budget Total]]=0)),Status2,
IF(AND(List[[#This Row],[Remaining]]=0),Status3,
List[[#This Row],[Spent %]] &amp; Status4)))</f>
        <v>0% paid</v>
      </c>
      <c r="AG133" s="163">
        <f>IFERROR(ROUND(100*List[[#This Row],[Cash Out Total]]/List[[#This Row],[Running Budget Total]],0),0)</f>
        <v>0</v>
      </c>
    </row>
    <row r="134" spans="1:33" s="165" customFormat="1" ht="40" customHeight="1" x14ac:dyDescent="0.2">
      <c r="A134" s="151" t="s">
        <v>99</v>
      </c>
      <c r="B134" s="152" t="s">
        <v>30</v>
      </c>
      <c r="C134" s="151" t="s">
        <v>12</v>
      </c>
      <c r="D134" s="152" t="s">
        <v>37</v>
      </c>
      <c r="E134" s="152" t="s">
        <v>596</v>
      </c>
      <c r="F134" s="153"/>
      <c r="G134" s="154" t="s">
        <v>47</v>
      </c>
      <c r="H134" s="155">
        <f>DisplayToUSD/(_xlfn.IFNA(INDEX('Quick Inputs- Constants'!$B$15:$C$18,MATCH(List[[#This Row],[Currency]],'Quick Inputs- Constants'!B$15:B$18,0),2),1))</f>
        <v>2.4330900243309003E-3</v>
      </c>
      <c r="I134" s="137">
        <v>1</v>
      </c>
      <c r="J134" s="156">
        <f>RackingVAT</f>
        <v>9639.2756250000002</v>
      </c>
      <c r="K134" s="157" t="s">
        <v>100</v>
      </c>
      <c r="L134" s="158">
        <f>List[[#This Row],[Exchange Rate]]*(1+IF(List[[#This Row],[Budget VAT]]="Yes",VATRate,0))*List[[#This Row],[Budget Quantity]]*List[[#This Row],[Budget Price]]</f>
        <v>23.453225364963505</v>
      </c>
      <c r="M134" s="164"/>
      <c r="N134" s="157"/>
      <c r="O134" s="157"/>
      <c r="P134" s="159">
        <f>IF(AND(ISBLANK(List[[#This Row],[Updated Quantity]]),ISBLANK(List[[#This Row],[Updated Price]]),ISBLANK(List[[#This Row],[Updated VAT]])),List[[#This Row],[Budget Total]],
List[[#This Row],[Exchange Rate]]*(1+IF(List[[#This Row],[Updated VAT]]="Yes",VATRate,0))*List[[#This Row],[Updated Quantity]]*List[[#This Row],[Updated Price]])</f>
        <v>23.453225364963505</v>
      </c>
      <c r="Q134" s="143">
        <f>100%</f>
        <v>1</v>
      </c>
      <c r="R134" s="160"/>
      <c r="S134" s="159"/>
      <c r="T134" s="157"/>
      <c r="U134" s="161"/>
      <c r="V134" s="146"/>
      <c r="W134" s="159"/>
      <c r="X134" s="161"/>
      <c r="Y134" s="161"/>
      <c r="Z134" s="146"/>
      <c r="AA134" s="159"/>
      <c r="AB134" s="161"/>
      <c r="AC134" s="161"/>
      <c r="AD134"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4" s="159">
        <f>List[[#This Row],[Running Budget Total]]-List[[#This Row],[Cash Out Total]]</f>
        <v>23.453225364963505</v>
      </c>
      <c r="AF134" s="162" t="str">
        <f>IF(AND(List[[#This Row],[Remaining]]=0,NOT(List[[#This Row],[Running Budget Total]]=0)),Status1,
IF(AND(List[[#This Row],[Remaining]]&lt;0,NOT(List[[#This Row],[Running Budget Total]]=0)),Status2,
IF(AND(List[[#This Row],[Remaining]]=0),Status3,
List[[#This Row],[Spent %]] &amp; Status4)))</f>
        <v>0% paid</v>
      </c>
      <c r="AG134" s="163">
        <f>IFERROR(ROUND(100*List[[#This Row],[Cash Out Total]]/List[[#This Row],[Running Budget Total]],0),0)</f>
        <v>0</v>
      </c>
    </row>
    <row r="135" spans="1:33" ht="40" customHeight="1" x14ac:dyDescent="0.2">
      <c r="A135" s="11" t="s">
        <v>14</v>
      </c>
      <c r="B135" s="22" t="s">
        <v>30</v>
      </c>
      <c r="C135" s="11" t="s">
        <v>19</v>
      </c>
      <c r="D135" s="22" t="s">
        <v>378</v>
      </c>
      <c r="E135" s="22"/>
      <c r="F135" s="21"/>
      <c r="G135" s="51" t="s">
        <v>47</v>
      </c>
      <c r="H135" s="37">
        <f>DisplayToUSD/(_xlfn.IFNA(INDEX('Quick Inputs- Constants'!$B$15:$C$18,MATCH(List[[#This Row],[Currency]],'Quick Inputs- Constants'!B$15:B$18,0),2),1))</f>
        <v>2.4330900243309003E-3</v>
      </c>
      <c r="I135" s="62">
        <v>1</v>
      </c>
      <c r="J135" s="52">
        <v>15000</v>
      </c>
      <c r="K135" s="53" t="s">
        <v>99</v>
      </c>
      <c r="L135" s="54">
        <f>List[[#This Row],[Exchange Rate]]*(1+IF(List[[#This Row],[Budget VAT]]="Yes",VATRate,0))*List[[#This Row],[Budget Quantity]]*List[[#This Row],[Budget Price]]</f>
        <v>39.233576642335763</v>
      </c>
      <c r="M135" s="63"/>
      <c r="N135" s="53"/>
      <c r="O135" s="53"/>
      <c r="P135" s="35">
        <f>IF(AND(ISBLANK(List[[#This Row],[Updated Quantity]]),ISBLANK(List[[#This Row],[Updated Price]]),ISBLANK(List[[#This Row],[Updated VAT]])),List[[#This Row],[Budget Total]],
List[[#This Row],[Exchange Rate]]*(1+IF(List[[#This Row],[Updated VAT]]="Yes",VATRate,0))*List[[#This Row],[Updated Quantity]]*List[[#This Row],[Updated Price]])</f>
        <v>39.233576642335763</v>
      </c>
      <c r="Q135" s="87">
        <f>100%</f>
        <v>1</v>
      </c>
      <c r="R135" s="61"/>
      <c r="S135" s="55"/>
      <c r="T135" s="53"/>
      <c r="U135" s="56"/>
      <c r="V135" s="64"/>
      <c r="W135" s="55"/>
      <c r="X135" s="56"/>
      <c r="Y135" s="56"/>
      <c r="Z135" s="64"/>
      <c r="AA135" s="55"/>
      <c r="AB135" s="56"/>
      <c r="AC135" s="56"/>
      <c r="AD13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5" s="35">
        <f>List[[#This Row],[Running Budget Total]]-List[[#This Row],[Cash Out Total]]</f>
        <v>39.233576642335763</v>
      </c>
      <c r="AF135" s="36" t="str">
        <f>IF(AND(List[[#This Row],[Remaining]]=0,NOT(List[[#This Row],[Running Budget Total]]=0)),Status1,
IF(AND(List[[#This Row],[Remaining]]&lt;0,NOT(List[[#This Row],[Running Budget Total]]=0)),Status2,
IF(AND(List[[#This Row],[Remaining]]=0),Status3,
List[[#This Row],[Spent %]] &amp; Status4)))</f>
        <v>0% paid</v>
      </c>
      <c r="AG135" s="57">
        <f>IFERROR(ROUND(100*List[[#This Row],[Cash Out Total]]/List[[#This Row],[Running Budget Total]],0),0)</f>
        <v>0</v>
      </c>
    </row>
    <row r="136" spans="1:33" ht="40" customHeight="1" x14ac:dyDescent="0.2">
      <c r="A136" s="11" t="s">
        <v>14</v>
      </c>
      <c r="B136" s="22" t="s">
        <v>30</v>
      </c>
      <c r="C136" s="11" t="s">
        <v>19</v>
      </c>
      <c r="D136" s="22" t="s">
        <v>379</v>
      </c>
      <c r="E136" s="22"/>
      <c r="F136" s="21"/>
      <c r="G136" s="51" t="s">
        <v>47</v>
      </c>
      <c r="H136" s="37">
        <f>DisplayToUSD/(_xlfn.IFNA(INDEX('Quick Inputs- Constants'!$B$15:$C$18,MATCH(List[[#This Row],[Currency]],'Quick Inputs- Constants'!B$15:B$18,0),2),1))</f>
        <v>2.4330900243309003E-3</v>
      </c>
      <c r="I136" s="62">
        <v>1</v>
      </c>
      <c r="J136" s="52">
        <v>15000</v>
      </c>
      <c r="K136" s="53" t="s">
        <v>99</v>
      </c>
      <c r="L136" s="54">
        <f>List[[#This Row],[Exchange Rate]]*(1+IF(List[[#This Row],[Budget VAT]]="Yes",VATRate,0))*List[[#This Row],[Budget Quantity]]*List[[#This Row],[Budget Price]]</f>
        <v>39.233576642335763</v>
      </c>
      <c r="M136" s="63"/>
      <c r="N136" s="53"/>
      <c r="O136" s="53"/>
      <c r="P136" s="35">
        <f>IF(AND(ISBLANK(List[[#This Row],[Updated Quantity]]),ISBLANK(List[[#This Row],[Updated Price]]),ISBLANK(List[[#This Row],[Updated VAT]])),List[[#This Row],[Budget Total]],
List[[#This Row],[Exchange Rate]]*(1+IF(List[[#This Row],[Updated VAT]]="Yes",VATRate,0))*List[[#This Row],[Updated Quantity]]*List[[#This Row],[Updated Price]])</f>
        <v>39.233576642335763</v>
      </c>
      <c r="Q136" s="87">
        <f>100%</f>
        <v>1</v>
      </c>
      <c r="R136" s="61"/>
      <c r="S136" s="55"/>
      <c r="T136" s="53"/>
      <c r="U136" s="56"/>
      <c r="V136" s="64"/>
      <c r="W136" s="55"/>
      <c r="X136" s="56"/>
      <c r="Y136" s="56"/>
      <c r="Z136" s="64"/>
      <c r="AA136" s="55"/>
      <c r="AB136" s="56"/>
      <c r="AC136" s="56"/>
      <c r="AD13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6" s="35">
        <f>List[[#This Row],[Running Budget Total]]-List[[#This Row],[Cash Out Total]]</f>
        <v>39.233576642335763</v>
      </c>
      <c r="AF136" s="36" t="str">
        <f>IF(AND(List[[#This Row],[Remaining]]=0,NOT(List[[#This Row],[Running Budget Total]]=0)),Status1,
IF(AND(List[[#This Row],[Remaining]]&lt;0,NOT(List[[#This Row],[Running Budget Total]]=0)),Status2,
IF(AND(List[[#This Row],[Remaining]]=0),Status3,
List[[#This Row],[Spent %]] &amp; Status4)))</f>
        <v>0% paid</v>
      </c>
      <c r="AG136" s="57">
        <f>IFERROR(ROUND(100*List[[#This Row],[Cash Out Total]]/List[[#This Row],[Running Budget Total]],0),0)</f>
        <v>0</v>
      </c>
    </row>
    <row r="137" spans="1:33" s="165" customFormat="1" ht="40" customHeight="1" x14ac:dyDescent="0.2">
      <c r="A137" s="151" t="s">
        <v>99</v>
      </c>
      <c r="B137" s="152" t="s">
        <v>30</v>
      </c>
      <c r="C137" s="151" t="s">
        <v>19</v>
      </c>
      <c r="D137" s="152" t="s">
        <v>89</v>
      </c>
      <c r="E137" s="152"/>
      <c r="F137" s="153"/>
      <c r="G137" s="154" t="s">
        <v>18</v>
      </c>
      <c r="H137" s="155">
        <f>DisplayToUSD/(_xlfn.IFNA(INDEX('Quick Inputs- Constants'!$B$15:$C$18,MATCH(List[[#This Row],[Currency]],'Quick Inputs- Constants'!B$15:B$18,0),2),1))</f>
        <v>1</v>
      </c>
      <c r="I137" s="137">
        <f>PVSiteWattage</f>
        <v>48600</v>
      </c>
      <c r="J137" s="156">
        <f>RackingLabourPerW</f>
        <v>0.01</v>
      </c>
      <c r="K137" s="157" t="s">
        <v>14</v>
      </c>
      <c r="L137" s="158">
        <f>List[[#This Row],[Exchange Rate]]*(1+IF(List[[#This Row],[Budget VAT]]="Yes",VATRate,0))*List[[#This Row],[Budget Quantity]]*List[[#This Row],[Budget Price]]</f>
        <v>486</v>
      </c>
      <c r="M137" s="164"/>
      <c r="N137" s="157"/>
      <c r="O137" s="157"/>
      <c r="P137" s="159">
        <f>IF(AND(ISBLANK(List[[#This Row],[Updated Quantity]]),ISBLANK(List[[#This Row],[Updated Price]]),ISBLANK(List[[#This Row],[Updated VAT]])),List[[#This Row],[Budget Total]],
List[[#This Row],[Exchange Rate]]*(1+IF(List[[#This Row],[Updated VAT]]="Yes",VATRate,0))*List[[#This Row],[Updated Quantity]]*List[[#This Row],[Updated Price]])</f>
        <v>486</v>
      </c>
      <c r="Q137" s="143">
        <f>100%</f>
        <v>1</v>
      </c>
      <c r="R137" s="160"/>
      <c r="S137" s="159"/>
      <c r="T137" s="157"/>
      <c r="U137" s="161"/>
      <c r="V137" s="146"/>
      <c r="W137" s="159"/>
      <c r="X137" s="161"/>
      <c r="Y137" s="161"/>
      <c r="Z137" s="146"/>
      <c r="AA137" s="159"/>
      <c r="AB137" s="161"/>
      <c r="AC137" s="161"/>
      <c r="AD13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7" s="159">
        <f>List[[#This Row],[Running Budget Total]]-List[[#This Row],[Cash Out Total]]</f>
        <v>486</v>
      </c>
      <c r="AF137" s="162" t="str">
        <f>IF(AND(List[[#This Row],[Remaining]]=0,NOT(List[[#This Row],[Running Budget Total]]=0)),Status1,
IF(AND(List[[#This Row],[Remaining]]&lt;0,NOT(List[[#This Row],[Running Budget Total]]=0)),Status2,
IF(AND(List[[#This Row],[Remaining]]=0),Status3,
List[[#This Row],[Spent %]] &amp; Status4)))</f>
        <v>0% paid</v>
      </c>
      <c r="AG137" s="163">
        <f>IFERROR(ROUND(100*List[[#This Row],[Cash Out Total]]/List[[#This Row],[Running Budget Total]],0),0)</f>
        <v>0</v>
      </c>
    </row>
    <row r="138" spans="1:33" s="165" customFormat="1" ht="40" customHeight="1" x14ac:dyDescent="0.2">
      <c r="A138" s="151" t="s">
        <v>99</v>
      </c>
      <c r="B138" s="152" t="s">
        <v>30</v>
      </c>
      <c r="C138" s="151" t="s">
        <v>107</v>
      </c>
      <c r="D138" s="152" t="s">
        <v>185</v>
      </c>
      <c r="E138" s="152"/>
      <c r="F138" s="153"/>
      <c r="G138" s="154" t="s">
        <v>18</v>
      </c>
      <c r="H138" s="155">
        <f>DisplayToUSD/(_xlfn.IFNA(INDEX('Quick Inputs- Constants'!$B$15:$C$18,MATCH(List[[#This Row],[Currency]],'Quick Inputs- Constants'!B$15:B$18,0),2),1))</f>
        <v>1</v>
      </c>
      <c r="I138" s="137">
        <f>PVSiteWattage</f>
        <v>48600</v>
      </c>
      <c r="J138" s="156">
        <f>RackingPricePerW</f>
        <v>0.05</v>
      </c>
      <c r="K138" s="157" t="s">
        <v>14</v>
      </c>
      <c r="L138" s="158">
        <f>List[[#This Row],[Exchange Rate]]*(1+IF(List[[#This Row],[Budget VAT]]="Yes",VATRate,0))*List[[#This Row],[Budget Quantity]]*List[[#This Row],[Budget Price]]</f>
        <v>2430</v>
      </c>
      <c r="M138" s="164"/>
      <c r="N138" s="157"/>
      <c r="O138" s="157"/>
      <c r="P138" s="159">
        <f>IF(AND(ISBLANK(List[[#This Row],[Updated Quantity]]),ISBLANK(List[[#This Row],[Updated Price]]),ISBLANK(List[[#This Row],[Updated VAT]])),List[[#This Row],[Budget Total]],
List[[#This Row],[Exchange Rate]]*(1+IF(List[[#This Row],[Updated VAT]]="Yes",VATRate,0))*List[[#This Row],[Updated Quantity]]*List[[#This Row],[Updated Price]])</f>
        <v>2430</v>
      </c>
      <c r="Q138" s="143">
        <f>100%</f>
        <v>1</v>
      </c>
      <c r="R138" s="160"/>
      <c r="S138" s="159"/>
      <c r="T138" s="157"/>
      <c r="U138" s="161"/>
      <c r="V138" s="146"/>
      <c r="W138" s="159"/>
      <c r="X138" s="161"/>
      <c r="Y138" s="161"/>
      <c r="Z138" s="146"/>
      <c r="AA138" s="159"/>
      <c r="AB138" s="161"/>
      <c r="AC138" s="161"/>
      <c r="AD13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8" s="159">
        <f>List[[#This Row],[Running Budget Total]]-List[[#This Row],[Cash Out Total]]</f>
        <v>2430</v>
      </c>
      <c r="AF138" s="162" t="str">
        <f>IF(AND(List[[#This Row],[Remaining]]=0,NOT(List[[#This Row],[Running Budget Total]]=0)),Status1,
IF(AND(List[[#This Row],[Remaining]]&lt;0,NOT(List[[#This Row],[Running Budget Total]]=0)),Status2,
IF(AND(List[[#This Row],[Remaining]]=0),Status3,
List[[#This Row],[Spent %]] &amp; Status4)))</f>
        <v>0% paid</v>
      </c>
      <c r="AG138" s="163">
        <f>IFERROR(ROUND(100*List[[#This Row],[Cash Out Total]]/List[[#This Row],[Running Budget Total]],0),0)</f>
        <v>0</v>
      </c>
    </row>
    <row r="139" spans="1:33" ht="40" customHeight="1" x14ac:dyDescent="0.2">
      <c r="A139" s="11" t="s">
        <v>209</v>
      </c>
      <c r="B139" s="22" t="s">
        <v>30</v>
      </c>
      <c r="C139" s="11" t="s">
        <v>107</v>
      </c>
      <c r="D139" s="22" t="s">
        <v>226</v>
      </c>
      <c r="E139" s="22"/>
      <c r="F139" s="21"/>
      <c r="G139" s="51" t="s">
        <v>47</v>
      </c>
      <c r="H139" s="37">
        <f>DisplayToUSD/(_xlfn.IFNA(INDEX('Quick Inputs- Constants'!$B$15:$C$18,MATCH(List[[#This Row],[Currency]],'Quick Inputs- Constants'!B$15:B$18,0),2),1))</f>
        <v>2.4330900243309003E-3</v>
      </c>
      <c r="I139" s="62">
        <f>PVSiteWattage</f>
        <v>48600</v>
      </c>
      <c r="J139" s="52">
        <v>4</v>
      </c>
      <c r="K139" s="53" t="s">
        <v>14</v>
      </c>
      <c r="L139" s="54">
        <f>List[[#This Row],[Exchange Rate]]*(1+IF(List[[#This Row],[Budget VAT]]="Yes",VATRate,0))*List[[#This Row],[Budget Quantity]]*List[[#This Row],[Budget Price]]</f>
        <v>472.99270072992704</v>
      </c>
      <c r="M139" s="63"/>
      <c r="N139" s="53"/>
      <c r="O139" s="53"/>
      <c r="P139" s="35">
        <f>IF(AND(ISBLANK(List[[#This Row],[Updated Quantity]]),ISBLANK(List[[#This Row],[Updated Price]]),ISBLANK(List[[#This Row],[Updated VAT]])),List[[#This Row],[Budget Total]],
List[[#This Row],[Exchange Rate]]*(1+IF(List[[#This Row],[Updated VAT]]="Yes",VATRate,0))*List[[#This Row],[Updated Quantity]]*List[[#This Row],[Updated Price]])</f>
        <v>472.99270072992704</v>
      </c>
      <c r="Q139" s="87">
        <f>100%</f>
        <v>1</v>
      </c>
      <c r="R139" s="61"/>
      <c r="S139" s="55"/>
      <c r="T139" s="53"/>
      <c r="U139" s="56"/>
      <c r="V139" s="64"/>
      <c r="W139" s="55"/>
      <c r="X139" s="56"/>
      <c r="Y139" s="56"/>
      <c r="Z139" s="64"/>
      <c r="AA139" s="55"/>
      <c r="AB139" s="56"/>
      <c r="AC139" s="56"/>
      <c r="AD13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9" s="35">
        <f>List[[#This Row],[Running Budget Total]]-List[[#This Row],[Cash Out Total]]</f>
        <v>472.99270072992704</v>
      </c>
      <c r="AF139" s="36" t="str">
        <f>IF(AND(List[[#This Row],[Remaining]]=0,NOT(List[[#This Row],[Running Budget Total]]=0)),Status1,
IF(AND(List[[#This Row],[Remaining]]&lt;0,NOT(List[[#This Row],[Running Budget Total]]=0)),Status2,
IF(AND(List[[#This Row],[Remaining]]=0),Status3,
List[[#This Row],[Spent %]] &amp; Status4)))</f>
        <v>0% paid</v>
      </c>
      <c r="AG139" s="57">
        <f>IFERROR(ROUND(100*List[[#This Row],[Cash Out Total]]/List[[#This Row],[Running Budget Total]],0),0)</f>
        <v>0</v>
      </c>
    </row>
    <row r="140" spans="1:33" ht="40" customHeight="1" x14ac:dyDescent="0.2">
      <c r="A140" s="11" t="s">
        <v>14</v>
      </c>
      <c r="B140" s="22" t="s">
        <v>30</v>
      </c>
      <c r="C140" s="11" t="s">
        <v>16</v>
      </c>
      <c r="D140" s="58" t="s">
        <v>227</v>
      </c>
      <c r="E140" s="22"/>
      <c r="F140" s="21"/>
      <c r="G140" s="51" t="s">
        <v>47</v>
      </c>
      <c r="H140" s="37">
        <f>DisplayToUSD/(_xlfn.IFNA(INDEX('Quick Inputs- Constants'!$B$15:$C$18,MATCH(List[[#This Row],[Currency]],'Quick Inputs- Constants'!B$15:B$18,0),2),1))</f>
        <v>2.4330900243309003E-3</v>
      </c>
      <c r="I140" s="62">
        <v>1</v>
      </c>
      <c r="J140" s="52">
        <v>175000</v>
      </c>
      <c r="K140" s="53" t="s">
        <v>14</v>
      </c>
      <c r="L140" s="54">
        <f>List[[#This Row],[Exchange Rate]]*(1+IF(List[[#This Row],[Budget VAT]]="Yes",VATRate,0))*List[[#This Row],[Budget Quantity]]*List[[#This Row],[Budget Price]]</f>
        <v>425.79075425790757</v>
      </c>
      <c r="M140" s="63"/>
      <c r="N140" s="53"/>
      <c r="O140" s="53"/>
      <c r="P140" s="35">
        <f>IF(AND(ISBLANK(List[[#This Row],[Updated Quantity]]),ISBLANK(List[[#This Row],[Updated Price]]),ISBLANK(List[[#This Row],[Updated VAT]])),List[[#This Row],[Budget Total]],
List[[#This Row],[Exchange Rate]]*(1+IF(List[[#This Row],[Updated VAT]]="Yes",VATRate,0))*List[[#This Row],[Updated Quantity]]*List[[#This Row],[Updated Price]])</f>
        <v>425.79075425790757</v>
      </c>
      <c r="Q140" s="87">
        <f>100%</f>
        <v>1</v>
      </c>
      <c r="R140" s="61"/>
      <c r="S140" s="55"/>
      <c r="T140" s="53"/>
      <c r="U140" s="56"/>
      <c r="V140" s="64"/>
      <c r="W140" s="55"/>
      <c r="X140" s="56"/>
      <c r="Y140" s="56"/>
      <c r="Z140" s="64"/>
      <c r="AA140" s="55"/>
      <c r="AB140" s="56"/>
      <c r="AC140" s="56"/>
      <c r="AD14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0" s="35">
        <f>List[[#This Row],[Running Budget Total]]-List[[#This Row],[Cash Out Total]]</f>
        <v>425.79075425790757</v>
      </c>
      <c r="AF140" s="36" t="str">
        <f>IF(AND(List[[#This Row],[Remaining]]=0,NOT(List[[#This Row],[Running Budget Total]]=0)),Status1,
IF(AND(List[[#This Row],[Remaining]]&lt;0,NOT(List[[#This Row],[Running Budget Total]]=0)),Status2,
IF(AND(List[[#This Row],[Remaining]]=0),Status3,
List[[#This Row],[Spent %]] &amp; Status4)))</f>
        <v>0% paid</v>
      </c>
      <c r="AG140" s="57">
        <f>IFERROR(ROUND(100*List[[#This Row],[Cash Out Total]]/List[[#This Row],[Running Budget Total]],0),0)</f>
        <v>0</v>
      </c>
    </row>
    <row r="141" spans="1:33" ht="40" customHeight="1" x14ac:dyDescent="0.2">
      <c r="A141" s="11" t="s">
        <v>14</v>
      </c>
      <c r="B141" s="22" t="s">
        <v>30</v>
      </c>
      <c r="C141" s="11" t="s">
        <v>16</v>
      </c>
      <c r="D141" s="22" t="s">
        <v>225</v>
      </c>
      <c r="E141" s="22"/>
      <c r="F141" s="21"/>
      <c r="G141" s="51" t="s">
        <v>18</v>
      </c>
      <c r="H141" s="37">
        <f>DisplayToUSD/(_xlfn.IFNA(INDEX('Quick Inputs- Constants'!$B$15:$C$18,MATCH(List[[#This Row],[Currency]],'Quick Inputs- Constants'!B$15:B$18,0),2),1))</f>
        <v>1</v>
      </c>
      <c r="I141" s="62">
        <v>1</v>
      </c>
      <c r="J141" s="52">
        <v>4000</v>
      </c>
      <c r="K141" s="53" t="s">
        <v>14</v>
      </c>
      <c r="L141" s="54">
        <f>List[[#This Row],[Exchange Rate]]*(1+IF(List[[#This Row],[Budget VAT]]="Yes",VATRate,0))*List[[#This Row],[Budget Quantity]]*List[[#This Row],[Budget Price]]</f>
        <v>4000</v>
      </c>
      <c r="M141" s="63"/>
      <c r="N141" s="53"/>
      <c r="O141" s="53"/>
      <c r="P141" s="35">
        <f>IF(AND(ISBLANK(List[[#This Row],[Updated Quantity]]),ISBLANK(List[[#This Row],[Updated Price]]),ISBLANK(List[[#This Row],[Updated VAT]])),List[[#This Row],[Budget Total]],
List[[#This Row],[Exchange Rate]]*(1+IF(List[[#This Row],[Updated VAT]]="Yes",VATRate,0))*List[[#This Row],[Updated Quantity]]*List[[#This Row],[Updated Price]])</f>
        <v>4000</v>
      </c>
      <c r="Q141" s="87">
        <f>100%</f>
        <v>1</v>
      </c>
      <c r="R141" s="61"/>
      <c r="S141" s="55"/>
      <c r="T141" s="53"/>
      <c r="U141" s="56"/>
      <c r="V141" s="64"/>
      <c r="W141" s="55"/>
      <c r="X141" s="56"/>
      <c r="Y141" s="56"/>
      <c r="Z141" s="64"/>
      <c r="AA141" s="55"/>
      <c r="AB141" s="56"/>
      <c r="AC141" s="56"/>
      <c r="AD14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1" s="35">
        <f>List[[#This Row],[Running Budget Total]]-List[[#This Row],[Cash Out Total]]</f>
        <v>4000</v>
      </c>
      <c r="AF141" s="36" t="str">
        <f>IF(AND(List[[#This Row],[Remaining]]=0,NOT(List[[#This Row],[Running Budget Total]]=0)),Status1,
IF(AND(List[[#This Row],[Remaining]]&lt;0,NOT(List[[#This Row],[Running Budget Total]]=0)),Status2,
IF(AND(List[[#This Row],[Remaining]]=0),Status3,
List[[#This Row],[Spent %]] &amp; Status4)))</f>
        <v>0% paid</v>
      </c>
      <c r="AG141" s="57">
        <f>IFERROR(ROUND(100*List[[#This Row],[Cash Out Total]]/List[[#This Row],[Running Budget Total]],0),0)</f>
        <v>0</v>
      </c>
    </row>
    <row r="142" spans="1:33" s="165" customFormat="1" ht="40" customHeight="1" x14ac:dyDescent="0.2">
      <c r="A142" s="151" t="s">
        <v>99</v>
      </c>
      <c r="B142" s="152" t="s">
        <v>30</v>
      </c>
      <c r="C142" s="151" t="s">
        <v>16</v>
      </c>
      <c r="D142" s="152" t="s">
        <v>73</v>
      </c>
      <c r="E142" s="152"/>
      <c r="F142" s="153"/>
      <c r="G142" s="154" t="s">
        <v>47</v>
      </c>
      <c r="H142" s="155">
        <f>DisplayToUSD/(_xlfn.IFNA(INDEX('Quick Inputs- Constants'!$B$15:$C$18,MATCH(List[[#This Row],[Currency]],'Quick Inputs- Constants'!B$15:B$18,0),2),1))</f>
        <v>2.4330900243309003E-3</v>
      </c>
      <c r="I142" s="137">
        <v>1</v>
      </c>
      <c r="J142" s="156">
        <f>TruckCost/TruckTransportSplitRacking</f>
        <v>100000</v>
      </c>
      <c r="K142" s="157" t="s">
        <v>14</v>
      </c>
      <c r="L142" s="158">
        <f>List[[#This Row],[Exchange Rate]]*(1+IF(List[[#This Row],[Budget VAT]]="Yes",VATRate,0))*List[[#This Row],[Budget Quantity]]*List[[#This Row],[Budget Price]]</f>
        <v>243.30900243309003</v>
      </c>
      <c r="M142" s="164"/>
      <c r="N142" s="157"/>
      <c r="O142" s="157"/>
      <c r="P142" s="159">
        <f>IF(AND(ISBLANK(List[[#This Row],[Updated Quantity]]),ISBLANK(List[[#This Row],[Updated Price]]),ISBLANK(List[[#This Row],[Updated VAT]])),List[[#This Row],[Budget Total]],
List[[#This Row],[Exchange Rate]]*(1+IF(List[[#This Row],[Updated VAT]]="Yes",VATRate,0))*List[[#This Row],[Updated Quantity]]*List[[#This Row],[Updated Price]])</f>
        <v>243.30900243309003</v>
      </c>
      <c r="Q142" s="143">
        <f>100%</f>
        <v>1</v>
      </c>
      <c r="R142" s="160"/>
      <c r="S142" s="159"/>
      <c r="T142" s="157"/>
      <c r="U142" s="161"/>
      <c r="V142" s="146"/>
      <c r="W142" s="159"/>
      <c r="X142" s="161"/>
      <c r="Y142" s="161"/>
      <c r="Z142" s="146"/>
      <c r="AA142" s="159"/>
      <c r="AB142" s="161"/>
      <c r="AC142" s="161"/>
      <c r="AD14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2" s="159">
        <f>List[[#This Row],[Running Budget Total]]-List[[#This Row],[Cash Out Total]]</f>
        <v>243.30900243309003</v>
      </c>
      <c r="AF142" s="162" t="str">
        <f>IF(AND(List[[#This Row],[Remaining]]=0,NOT(List[[#This Row],[Running Budget Total]]=0)),Status1,
IF(AND(List[[#This Row],[Remaining]]&lt;0,NOT(List[[#This Row],[Running Budget Total]]=0)),Status2,
IF(AND(List[[#This Row],[Remaining]]=0),Status3,
List[[#This Row],[Spent %]] &amp; Status4)))</f>
        <v>0% paid</v>
      </c>
      <c r="AG142" s="163">
        <f>IFERROR(ROUND(100*List[[#This Row],[Cash Out Total]]/List[[#This Row],[Running Budget Total]],0),0)</f>
        <v>0</v>
      </c>
    </row>
    <row r="143" spans="1:33" ht="40" customHeight="1" x14ac:dyDescent="0.2">
      <c r="A143" s="11" t="s">
        <v>14</v>
      </c>
      <c r="B143" s="22" t="s">
        <v>33</v>
      </c>
      <c r="C143" s="11" t="s">
        <v>21</v>
      </c>
      <c r="D143" s="22" t="s">
        <v>600</v>
      </c>
      <c r="E143" s="22"/>
      <c r="F143" s="21" t="s">
        <v>601</v>
      </c>
      <c r="G143" s="51" t="s">
        <v>47</v>
      </c>
      <c r="H143" s="37">
        <f>DisplayToUSD/(_xlfn.IFNA(INDEX('Quick Inputs- Constants'!$B$15:$C$18,MATCH(List[[#This Row],[Currency]],'Quick Inputs- Constants'!B$15:B$18,0),2),1))</f>
        <v>2.4330900243309003E-3</v>
      </c>
      <c r="I143" s="62">
        <v>1</v>
      </c>
      <c r="J143" s="52">
        <v>1000000</v>
      </c>
      <c r="K143" s="53" t="s">
        <v>14</v>
      </c>
      <c r="L143" s="54">
        <f>List[[#This Row],[Exchange Rate]]*(1+IF(List[[#This Row],[Budget VAT]]="Yes",VATRate,0))*List[[#This Row],[Budget Quantity]]*List[[#This Row],[Budget Price]]</f>
        <v>2433.0900243309002</v>
      </c>
      <c r="M143" s="63"/>
      <c r="N143" s="53"/>
      <c r="O143" s="53"/>
      <c r="P143" s="35">
        <f>IF(AND(ISBLANK(List[[#This Row],[Updated Quantity]]),ISBLANK(List[[#This Row],[Updated Price]]),ISBLANK(List[[#This Row],[Updated VAT]])),List[[#This Row],[Budget Total]],
List[[#This Row],[Exchange Rate]]*(1+IF(List[[#This Row],[Updated VAT]]="Yes",VATRate,0))*List[[#This Row],[Updated Quantity]]*List[[#This Row],[Updated Price]])</f>
        <v>2433.0900243309002</v>
      </c>
      <c r="Q143" s="87">
        <f>100%</f>
        <v>1</v>
      </c>
      <c r="R143" s="61"/>
      <c r="S143" s="55"/>
      <c r="T143" s="53"/>
      <c r="U143" s="56"/>
      <c r="V143" s="64"/>
      <c r="W143" s="55"/>
      <c r="X143" s="56"/>
      <c r="Y143" s="56"/>
      <c r="Z143" s="64"/>
      <c r="AA143" s="55"/>
      <c r="AB143" s="56"/>
      <c r="AC143" s="56"/>
      <c r="AD14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3" s="35">
        <f>List[[#This Row],[Running Budget Total]]-List[[#This Row],[Cash Out Total]]</f>
        <v>2433.0900243309002</v>
      </c>
      <c r="AF143" s="36" t="str">
        <f>IF(AND(List[[#This Row],[Remaining]]=0,NOT(List[[#This Row],[Running Budget Total]]=0)),Status1,
IF(AND(List[[#This Row],[Remaining]]&lt;0,NOT(List[[#This Row],[Running Budget Total]]=0)),Status2,
IF(AND(List[[#This Row],[Remaining]]=0),Status3,
List[[#This Row],[Spent %]] &amp; Status4)))</f>
        <v>0% paid</v>
      </c>
      <c r="AG143" s="57">
        <f>IFERROR(ROUND(100*List[[#This Row],[Cash Out Total]]/List[[#This Row],[Running Budget Total]],0),0)</f>
        <v>0</v>
      </c>
    </row>
    <row r="144" spans="1:33" s="165" customFormat="1" ht="40" customHeight="1" x14ac:dyDescent="0.2">
      <c r="A144" s="132" t="s">
        <v>99</v>
      </c>
      <c r="B144" s="133" t="s">
        <v>33</v>
      </c>
      <c r="C144" s="132" t="s">
        <v>12</v>
      </c>
      <c r="D144" s="133" t="s">
        <v>282</v>
      </c>
      <c r="E144" s="133"/>
      <c r="F144" s="134"/>
      <c r="G144" s="135" t="s">
        <v>47</v>
      </c>
      <c r="H144" s="136">
        <f>DisplayToUSD/(_xlfn.IFNA(INDEX('Quick Inputs- Constants'!$B$15:$C$18,MATCH(List[[#This Row],[Currency]],'Quick Inputs- Constants'!B$15:B$18,0),2),1))</f>
        <v>2.4330900243309003E-3</v>
      </c>
      <c r="I144" s="137">
        <v>1</v>
      </c>
      <c r="J144" s="138">
        <f>ClearingAgentFees</f>
        <v>137000</v>
      </c>
      <c r="K144" s="139" t="s">
        <v>99</v>
      </c>
      <c r="L144" s="140">
        <f>List[[#This Row],[Exchange Rate]]*(1+IF(List[[#This Row],[Budget VAT]]="Yes",VATRate,0))*List[[#This Row],[Budget Quantity]]*List[[#This Row],[Budget Price]]</f>
        <v>358.33333333333331</v>
      </c>
      <c r="M144" s="164"/>
      <c r="N144" s="139"/>
      <c r="O144" s="139"/>
      <c r="P144" s="142">
        <f>IF(AND(ISBLANK(List[[#This Row],[Updated Quantity]]),ISBLANK(List[[#This Row],[Updated Price]]),ISBLANK(List[[#This Row],[Updated VAT]])),List[[#This Row],[Budget Total]],
List[[#This Row],[Exchange Rate]]*(1+IF(List[[#This Row],[Updated VAT]]="Yes",VATRate,0))*List[[#This Row],[Updated Quantity]]*List[[#This Row],[Updated Price]])</f>
        <v>358.33333333333331</v>
      </c>
      <c r="Q144" s="143">
        <f>100%</f>
        <v>1</v>
      </c>
      <c r="R144" s="144"/>
      <c r="S144" s="142"/>
      <c r="T144" s="139"/>
      <c r="U144" s="145"/>
      <c r="V144" s="146"/>
      <c r="W144" s="142"/>
      <c r="X144" s="145"/>
      <c r="Y144" s="145"/>
      <c r="Z144" s="146"/>
      <c r="AA144" s="142"/>
      <c r="AB144" s="145"/>
      <c r="AC144" s="145"/>
      <c r="AD144"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4" s="142">
        <f>List[[#This Row],[Running Budget Total]]-List[[#This Row],[Cash Out Total]]</f>
        <v>358.33333333333331</v>
      </c>
      <c r="AF144" s="148" t="str">
        <f>IF(AND(List[[#This Row],[Remaining]]=0,NOT(List[[#This Row],[Running Budget Total]]=0)),Status1,
IF(AND(List[[#This Row],[Remaining]]&lt;0,NOT(List[[#This Row],[Running Budget Total]]=0)),Status2,
IF(AND(List[[#This Row],[Remaining]]=0),Status3,
List[[#This Row],[Spent %]] &amp; Status4)))</f>
        <v>0% paid</v>
      </c>
      <c r="AG144" s="149">
        <f>IFERROR(ROUND(100*List[[#This Row],[Cash Out Total]]/List[[#This Row],[Running Budget Total]],0),0)</f>
        <v>0</v>
      </c>
    </row>
    <row r="145" spans="1:33" s="165" customFormat="1" ht="40" customHeight="1" x14ac:dyDescent="0.2">
      <c r="A145" s="132" t="s">
        <v>99</v>
      </c>
      <c r="B145" s="133" t="s">
        <v>33</v>
      </c>
      <c r="C145" s="132" t="s">
        <v>12</v>
      </c>
      <c r="D145" s="133" t="s">
        <v>498</v>
      </c>
      <c r="E145" s="152" t="s">
        <v>595</v>
      </c>
      <c r="F145" s="134"/>
      <c r="G145" s="135" t="s">
        <v>47</v>
      </c>
      <c r="H145" s="136">
        <f>DisplayToUSD/(_xlfn.IFNA(INDEX('Quick Inputs- Constants'!$B$15:$C$18,MATCH(List[[#This Row],[Currency]],'Quick Inputs- Constants'!B$15:B$18,0),2),1))</f>
        <v>2.4330900243309003E-3</v>
      </c>
      <c r="I145" s="137">
        <v>1</v>
      </c>
      <c r="J145" s="138">
        <f>PVInspection</f>
        <v>14915.322580645163</v>
      </c>
      <c r="K145" s="139" t="s">
        <v>14</v>
      </c>
      <c r="L145" s="140">
        <f>List[[#This Row],[Exchange Rate]]*(1+IF(List[[#This Row],[Budget VAT]]="Yes",VATRate,0))*List[[#This Row],[Budget Quantity]]*List[[#This Row],[Budget Price]]</f>
        <v>36.290322580645167</v>
      </c>
      <c r="M145" s="164"/>
      <c r="N145" s="139"/>
      <c r="O145" s="139"/>
      <c r="P145" s="142">
        <f>IF(AND(ISBLANK(List[[#This Row],[Updated Quantity]]),ISBLANK(List[[#This Row],[Updated Price]]),ISBLANK(List[[#This Row],[Updated VAT]])),List[[#This Row],[Budget Total]],
List[[#This Row],[Exchange Rate]]*(1+IF(List[[#This Row],[Updated VAT]]="Yes",VATRate,0))*List[[#This Row],[Updated Quantity]]*List[[#This Row],[Updated Price]])</f>
        <v>36.290322580645167</v>
      </c>
      <c r="Q145" s="143">
        <f>100%</f>
        <v>1</v>
      </c>
      <c r="R145" s="144"/>
      <c r="S145" s="142"/>
      <c r="T145" s="139"/>
      <c r="U145" s="145"/>
      <c r="V145" s="146"/>
      <c r="W145" s="142"/>
      <c r="X145" s="145"/>
      <c r="Y145" s="145"/>
      <c r="Z145" s="146"/>
      <c r="AA145" s="142"/>
      <c r="AB145" s="145"/>
      <c r="AC145" s="145"/>
      <c r="AD145"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5" s="142">
        <f>List[[#This Row],[Running Budget Total]]-List[[#This Row],[Cash Out Total]]</f>
        <v>36.290322580645167</v>
      </c>
      <c r="AF145" s="148" t="str">
        <f>IF(AND(List[[#This Row],[Remaining]]=0,NOT(List[[#This Row],[Running Budget Total]]=0)),Status1,
IF(AND(List[[#This Row],[Remaining]]&lt;0,NOT(List[[#This Row],[Running Budget Total]]=0)),Status2,
IF(AND(List[[#This Row],[Remaining]]=0),Status3,
List[[#This Row],[Spent %]] &amp; Status4)))</f>
        <v>0% paid</v>
      </c>
      <c r="AG145" s="149">
        <f>IFERROR(ROUND(100*List[[#This Row],[Cash Out Total]]/List[[#This Row],[Running Budget Total]],0),0)</f>
        <v>0</v>
      </c>
    </row>
    <row r="146" spans="1:33" s="165" customFormat="1" ht="40" customHeight="1" x14ac:dyDescent="0.2">
      <c r="A146" s="151" t="s">
        <v>99</v>
      </c>
      <c r="B146" s="152" t="s">
        <v>33</v>
      </c>
      <c r="C146" s="151" t="s">
        <v>12</v>
      </c>
      <c r="D146" s="152" t="s">
        <v>71</v>
      </c>
      <c r="E146" s="152" t="s">
        <v>590</v>
      </c>
      <c r="F146" s="153"/>
      <c r="G146" s="154" t="s">
        <v>47</v>
      </c>
      <c r="H146" s="155">
        <f>DisplayToUSD/(_xlfn.IFNA(INDEX('Quick Inputs- Constants'!$B$15:$C$18,MATCH(List[[#This Row],[Currency]],'Quick Inputs- Constants'!B$15:B$18,0),2),1))</f>
        <v>2.4330900243309003E-3</v>
      </c>
      <c r="I146" s="137">
        <v>1</v>
      </c>
      <c r="J146" s="156">
        <f>PVNonVAT</f>
        <v>82990</v>
      </c>
      <c r="K146" s="157" t="s">
        <v>14</v>
      </c>
      <c r="L146" s="158">
        <f>List[[#This Row],[Exchange Rate]]*(1+IF(List[[#This Row],[Budget VAT]]="Yes",VATRate,0))*List[[#This Row],[Budget Quantity]]*List[[#This Row],[Budget Price]]</f>
        <v>201.92214111922141</v>
      </c>
      <c r="M146" s="164"/>
      <c r="N146" s="157"/>
      <c r="O146" s="157"/>
      <c r="P146" s="159">
        <f>IF(AND(ISBLANK(List[[#This Row],[Updated Quantity]]),ISBLANK(List[[#This Row],[Updated Price]]),ISBLANK(List[[#This Row],[Updated VAT]])),List[[#This Row],[Budget Total]],
List[[#This Row],[Exchange Rate]]*(1+IF(List[[#This Row],[Updated VAT]]="Yes",VATRate,0))*List[[#This Row],[Updated Quantity]]*List[[#This Row],[Updated Price]])</f>
        <v>201.92214111922141</v>
      </c>
      <c r="Q146" s="143">
        <f>100%</f>
        <v>1</v>
      </c>
      <c r="R146" s="160"/>
      <c r="S146" s="159"/>
      <c r="T146" s="157"/>
      <c r="U146" s="161"/>
      <c r="V146" s="146"/>
      <c r="W146" s="159"/>
      <c r="X146" s="161"/>
      <c r="Y146" s="161"/>
      <c r="Z146" s="146"/>
      <c r="AA146" s="159"/>
      <c r="AB146" s="161"/>
      <c r="AC146" s="161"/>
      <c r="AD146"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6" s="159">
        <f>List[[#This Row],[Running Budget Total]]-List[[#This Row],[Cash Out Total]]</f>
        <v>201.92214111922141</v>
      </c>
      <c r="AF146" s="162" t="str">
        <f>IF(AND(List[[#This Row],[Remaining]]=0,NOT(List[[#This Row],[Running Budget Total]]=0)),Status1,
IF(AND(List[[#This Row],[Remaining]]&lt;0,NOT(List[[#This Row],[Running Budget Total]]=0)),Status2,
IF(AND(List[[#This Row],[Remaining]]=0),Status3,
List[[#This Row],[Spent %]] &amp; Status4)))</f>
        <v>0% paid</v>
      </c>
      <c r="AG146" s="163">
        <f>IFERROR(ROUND(100*List[[#This Row],[Cash Out Total]]/List[[#This Row],[Running Budget Total]],0),0)</f>
        <v>0</v>
      </c>
    </row>
    <row r="147" spans="1:33" s="165" customFormat="1" ht="40" customHeight="1" x14ac:dyDescent="0.2">
      <c r="A147" s="151" t="s">
        <v>99</v>
      </c>
      <c r="B147" s="152" t="s">
        <v>33</v>
      </c>
      <c r="C147" s="151" t="s">
        <v>12</v>
      </c>
      <c r="D147" s="152" t="s">
        <v>267</v>
      </c>
      <c r="E147" s="152" t="s">
        <v>596</v>
      </c>
      <c r="F147" s="153"/>
      <c r="G147" s="154" t="s">
        <v>47</v>
      </c>
      <c r="H147" s="155">
        <f>DisplayToUSD/(_xlfn.IFNA(INDEX('Quick Inputs- Constants'!$B$15:$C$18,MATCH(List[[#This Row],[Currency]],'Quick Inputs- Constants'!B$15:B$18,0),2),1))</f>
        <v>2.4330900243309003E-3</v>
      </c>
      <c r="I147" s="137">
        <v>1</v>
      </c>
      <c r="J147" s="156">
        <f>PVPortFees</f>
        <v>31747.264112903227</v>
      </c>
      <c r="K147" s="157" t="s">
        <v>14</v>
      </c>
      <c r="L147" s="158">
        <f>List[[#This Row],[Exchange Rate]]*(1+IF(List[[#This Row],[Budget VAT]]="Yes",VATRate,0))*List[[#This Row],[Budget Quantity]]*List[[#This Row],[Budget Price]]</f>
        <v>77.243951612903231</v>
      </c>
      <c r="M147" s="164"/>
      <c r="N147" s="157"/>
      <c r="O147" s="157"/>
      <c r="P147" s="159">
        <f>IF(AND(ISBLANK(List[[#This Row],[Updated Quantity]]),ISBLANK(List[[#This Row],[Updated Price]]),ISBLANK(List[[#This Row],[Updated VAT]])),List[[#This Row],[Budget Total]],
List[[#This Row],[Exchange Rate]]*(1+IF(List[[#This Row],[Updated VAT]]="Yes",VATRate,0))*List[[#This Row],[Updated Quantity]]*List[[#This Row],[Updated Price]])</f>
        <v>77.243951612903231</v>
      </c>
      <c r="Q147" s="143">
        <f>100%</f>
        <v>1</v>
      </c>
      <c r="R147" s="160"/>
      <c r="S147" s="159"/>
      <c r="T147" s="157"/>
      <c r="U147" s="161"/>
      <c r="V147" s="146"/>
      <c r="W147" s="159"/>
      <c r="X147" s="161"/>
      <c r="Y147" s="161"/>
      <c r="Z147" s="146"/>
      <c r="AA147" s="159"/>
      <c r="AB147" s="161"/>
      <c r="AC147" s="161"/>
      <c r="AD147"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7" s="159">
        <f>List[[#This Row],[Running Budget Total]]-List[[#This Row],[Cash Out Total]]</f>
        <v>77.243951612903231</v>
      </c>
      <c r="AF147" s="162" t="str">
        <f>IF(AND(List[[#This Row],[Remaining]]=0,NOT(List[[#This Row],[Running Budget Total]]=0)),Status1,
IF(AND(List[[#This Row],[Remaining]]&lt;0,NOT(List[[#This Row],[Running Budget Total]]=0)),Status2,
IF(AND(List[[#This Row],[Remaining]]=0),Status3,
List[[#This Row],[Spent %]] &amp; Status4)))</f>
        <v>0% paid</v>
      </c>
      <c r="AG147" s="163">
        <f>IFERROR(ROUND(100*List[[#This Row],[Cash Out Total]]/List[[#This Row],[Running Budget Total]],0),0)</f>
        <v>0</v>
      </c>
    </row>
    <row r="148" spans="1:33" s="165" customFormat="1" ht="40" customHeight="1" x14ac:dyDescent="0.2">
      <c r="A148" s="151" t="s">
        <v>99</v>
      </c>
      <c r="B148" s="152" t="s">
        <v>33</v>
      </c>
      <c r="C148" s="151" t="s">
        <v>12</v>
      </c>
      <c r="D148" s="152" t="s">
        <v>37</v>
      </c>
      <c r="E148" s="152" t="s">
        <v>590</v>
      </c>
      <c r="F148" s="153"/>
      <c r="G148" s="154" t="s">
        <v>47</v>
      </c>
      <c r="H148" s="155">
        <f>DisplayToUSD/(_xlfn.IFNA(INDEX('Quick Inputs- Constants'!$B$15:$C$18,MATCH(List[[#This Row],[Currency]],'Quick Inputs- Constants'!B$15:B$18,0),2),1))</f>
        <v>2.4330900243309003E-3</v>
      </c>
      <c r="I148" s="137">
        <v>1</v>
      </c>
      <c r="J148" s="156">
        <f>PVVAT</f>
        <v>0</v>
      </c>
      <c r="K148" s="157" t="s">
        <v>100</v>
      </c>
      <c r="L148" s="158">
        <f>List[[#This Row],[Exchange Rate]]*(1+IF(List[[#This Row],[Budget VAT]]="Yes",VATRate,0))*List[[#This Row],[Budget Quantity]]*List[[#This Row],[Budget Price]]</f>
        <v>0</v>
      </c>
      <c r="M148" s="164"/>
      <c r="N148" s="157"/>
      <c r="O148" s="157"/>
      <c r="P148" s="159">
        <f>IF(AND(ISBLANK(List[[#This Row],[Updated Quantity]]),ISBLANK(List[[#This Row],[Updated Price]]),ISBLANK(List[[#This Row],[Updated VAT]])),List[[#This Row],[Budget Total]],
List[[#This Row],[Exchange Rate]]*(1+IF(List[[#This Row],[Updated VAT]]="Yes",VATRate,0))*List[[#This Row],[Updated Quantity]]*List[[#This Row],[Updated Price]])</f>
        <v>0</v>
      </c>
      <c r="Q148" s="143">
        <f>100%</f>
        <v>1</v>
      </c>
      <c r="R148" s="160"/>
      <c r="S148" s="159"/>
      <c r="T148" s="157"/>
      <c r="U148" s="161"/>
      <c r="V148" s="146"/>
      <c r="W148" s="159"/>
      <c r="X148" s="161"/>
      <c r="Y148" s="161"/>
      <c r="Z148" s="146"/>
      <c r="AA148" s="159"/>
      <c r="AB148" s="161"/>
      <c r="AC148" s="161"/>
      <c r="AD148"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8" s="159">
        <f>List[[#This Row],[Running Budget Total]]-List[[#This Row],[Cash Out Total]]</f>
        <v>0</v>
      </c>
      <c r="AF148" s="162" t="str">
        <f>IF(AND(List[[#This Row],[Remaining]]=0,NOT(List[[#This Row],[Running Budget Total]]=0)),Status1,
IF(AND(List[[#This Row],[Remaining]]&lt;0,NOT(List[[#This Row],[Running Budget Total]]=0)),Status2,
IF(AND(List[[#This Row],[Remaining]]=0),Status3,
List[[#This Row],[Spent %]] &amp; Status4)))</f>
        <v>Cancelled</v>
      </c>
      <c r="AG148" s="163">
        <f>IFERROR(ROUND(100*List[[#This Row],[Cash Out Total]]/List[[#This Row],[Running Budget Total]],0),0)</f>
        <v>0</v>
      </c>
    </row>
    <row r="149" spans="1:33" ht="40" customHeight="1" x14ac:dyDescent="0.2">
      <c r="A149" s="11" t="s">
        <v>14</v>
      </c>
      <c r="B149" s="22" t="s">
        <v>33</v>
      </c>
      <c r="C149" s="11" t="s">
        <v>19</v>
      </c>
      <c r="D149" s="22" t="s">
        <v>380</v>
      </c>
      <c r="E149" s="22"/>
      <c r="F149" s="21"/>
      <c r="G149" s="51" t="s">
        <v>47</v>
      </c>
      <c r="H149" s="37">
        <f>DisplayToUSD/(_xlfn.IFNA(INDEX('Quick Inputs- Constants'!$B$15:$C$18,MATCH(List[[#This Row],[Currency]],'Quick Inputs- Constants'!B$15:B$18,0),2),1))</f>
        <v>2.4330900243309003E-3</v>
      </c>
      <c r="I149" s="62">
        <v>1</v>
      </c>
      <c r="J149" s="52">
        <v>15000</v>
      </c>
      <c r="K149" s="53" t="s">
        <v>14</v>
      </c>
      <c r="L149" s="54">
        <f>List[[#This Row],[Exchange Rate]]*(1+IF(List[[#This Row],[Budget VAT]]="Yes",VATRate,0))*List[[#This Row],[Budget Quantity]]*List[[#This Row],[Budget Price]]</f>
        <v>36.496350364963504</v>
      </c>
      <c r="M149" s="63"/>
      <c r="N149" s="53"/>
      <c r="O149" s="53"/>
      <c r="P149" s="35">
        <f>IF(AND(ISBLANK(List[[#This Row],[Updated Quantity]]),ISBLANK(List[[#This Row],[Updated Price]]),ISBLANK(List[[#This Row],[Updated VAT]])),List[[#This Row],[Budget Total]],
List[[#This Row],[Exchange Rate]]*(1+IF(List[[#This Row],[Updated VAT]]="Yes",VATRate,0))*List[[#This Row],[Updated Quantity]]*List[[#This Row],[Updated Price]])</f>
        <v>36.496350364963504</v>
      </c>
      <c r="Q149" s="87">
        <f>100%</f>
        <v>1</v>
      </c>
      <c r="R149" s="61"/>
      <c r="S149" s="55"/>
      <c r="T149" s="53"/>
      <c r="U149" s="56"/>
      <c r="V149" s="64"/>
      <c r="W149" s="55"/>
      <c r="X149" s="56"/>
      <c r="Y149" s="56"/>
      <c r="Z149" s="64"/>
      <c r="AA149" s="55"/>
      <c r="AB149" s="56"/>
      <c r="AC149" s="56"/>
      <c r="AD14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9" s="35">
        <f>List[[#This Row],[Running Budget Total]]-List[[#This Row],[Cash Out Total]]</f>
        <v>36.496350364963504</v>
      </c>
      <c r="AF149" s="36" t="str">
        <f>IF(AND(List[[#This Row],[Remaining]]=0,NOT(List[[#This Row],[Running Budget Total]]=0)),Status1,
IF(AND(List[[#This Row],[Remaining]]&lt;0,NOT(List[[#This Row],[Running Budget Total]]=0)),Status2,
IF(AND(List[[#This Row],[Remaining]]=0),Status3,
List[[#This Row],[Spent %]] &amp; Status4)))</f>
        <v>0% paid</v>
      </c>
      <c r="AG149" s="57">
        <f>IFERROR(ROUND(100*List[[#This Row],[Cash Out Total]]/List[[#This Row],[Running Budget Total]],0),0)</f>
        <v>0</v>
      </c>
    </row>
    <row r="150" spans="1:33" ht="40" customHeight="1" x14ac:dyDescent="0.2">
      <c r="A150" s="11" t="s">
        <v>14</v>
      </c>
      <c r="B150" s="22" t="s">
        <v>33</v>
      </c>
      <c r="C150" s="11" t="s">
        <v>19</v>
      </c>
      <c r="D150" s="22" t="s">
        <v>381</v>
      </c>
      <c r="E150" s="22"/>
      <c r="F150" s="21"/>
      <c r="G150" s="51" t="s">
        <v>47</v>
      </c>
      <c r="H150" s="37">
        <f>DisplayToUSD/(_xlfn.IFNA(INDEX('Quick Inputs- Constants'!$B$15:$C$18,MATCH(List[[#This Row],[Currency]],'Quick Inputs- Constants'!B$15:B$18,0),2),1))</f>
        <v>2.4330900243309003E-3</v>
      </c>
      <c r="I150" s="62">
        <v>1</v>
      </c>
      <c r="J150" s="52">
        <v>15000</v>
      </c>
      <c r="K150" s="53" t="s">
        <v>14</v>
      </c>
      <c r="L150" s="54">
        <f>List[[#This Row],[Exchange Rate]]*(1+IF(List[[#This Row],[Budget VAT]]="Yes",VATRate,0))*List[[#This Row],[Budget Quantity]]*List[[#This Row],[Budget Price]]</f>
        <v>36.496350364963504</v>
      </c>
      <c r="M150" s="63"/>
      <c r="N150" s="53"/>
      <c r="O150" s="53"/>
      <c r="P150" s="35">
        <f>IF(AND(ISBLANK(List[[#This Row],[Updated Quantity]]),ISBLANK(List[[#This Row],[Updated Price]]),ISBLANK(List[[#This Row],[Updated VAT]])),List[[#This Row],[Budget Total]],
List[[#This Row],[Exchange Rate]]*(1+IF(List[[#This Row],[Updated VAT]]="Yes",VATRate,0))*List[[#This Row],[Updated Quantity]]*List[[#This Row],[Updated Price]])</f>
        <v>36.496350364963504</v>
      </c>
      <c r="Q150" s="87">
        <f>100%</f>
        <v>1</v>
      </c>
      <c r="R150" s="61"/>
      <c r="S150" s="55"/>
      <c r="T150" s="53"/>
      <c r="U150" s="56"/>
      <c r="V150" s="64"/>
      <c r="W150" s="55"/>
      <c r="X150" s="56"/>
      <c r="Y150" s="56"/>
      <c r="Z150" s="64"/>
      <c r="AA150" s="55"/>
      <c r="AB150" s="56"/>
      <c r="AC150" s="56"/>
      <c r="AD15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0" s="35">
        <f>List[[#This Row],[Running Budget Total]]-List[[#This Row],[Cash Out Total]]</f>
        <v>36.496350364963504</v>
      </c>
      <c r="AF150" s="36" t="str">
        <f>IF(AND(List[[#This Row],[Remaining]]=0,NOT(List[[#This Row],[Running Budget Total]]=0)),Status1,
IF(AND(List[[#This Row],[Remaining]]&lt;0,NOT(List[[#This Row],[Running Budget Total]]=0)),Status2,
IF(AND(List[[#This Row],[Remaining]]=0),Status3,
List[[#This Row],[Spent %]] &amp; Status4)))</f>
        <v>0% paid</v>
      </c>
      <c r="AG150" s="57">
        <f>IFERROR(ROUND(100*List[[#This Row],[Cash Out Total]]/List[[#This Row],[Running Budget Total]],0),0)</f>
        <v>0</v>
      </c>
    </row>
    <row r="151" spans="1:33" s="165" customFormat="1" ht="40" customHeight="1" x14ac:dyDescent="0.2">
      <c r="A151" s="151" t="s">
        <v>99</v>
      </c>
      <c r="B151" s="152" t="s">
        <v>33</v>
      </c>
      <c r="C151" s="151" t="s">
        <v>107</v>
      </c>
      <c r="D151" s="152" t="s">
        <v>90</v>
      </c>
      <c r="E151" s="152" t="s">
        <v>101</v>
      </c>
      <c r="F151" s="153"/>
      <c r="G151" s="154" t="s">
        <v>18</v>
      </c>
      <c r="H151" s="155">
        <f>DisplayToUSD/(_xlfn.IFNA(INDEX('Quick Inputs- Constants'!$B$15:$C$18,MATCH(List[[#This Row],[Currency]],'Quick Inputs- Constants'!B$15:B$18,0),2),1))</f>
        <v>1</v>
      </c>
      <c r="I151" s="137">
        <f>PVPanelCount</f>
        <v>90</v>
      </c>
      <c r="J151" s="156">
        <f>PVPricePerPanel</f>
        <v>147.42000000000002</v>
      </c>
      <c r="K151" s="157" t="s">
        <v>14</v>
      </c>
      <c r="L151" s="158">
        <f>List[[#This Row],[Exchange Rate]]*(1+IF(List[[#This Row],[Budget VAT]]="Yes",VATRate,0))*List[[#This Row],[Budget Quantity]]*List[[#This Row],[Budget Price]]</f>
        <v>13267.800000000001</v>
      </c>
      <c r="M151" s="164"/>
      <c r="N151" s="157"/>
      <c r="O151" s="157"/>
      <c r="P151" s="159">
        <f>IF(AND(ISBLANK(List[[#This Row],[Updated Quantity]]),ISBLANK(List[[#This Row],[Updated Price]]),ISBLANK(List[[#This Row],[Updated VAT]])),List[[#This Row],[Budget Total]],
List[[#This Row],[Exchange Rate]]*(1+IF(List[[#This Row],[Updated VAT]]="Yes",VATRate,0))*List[[#This Row],[Updated Quantity]]*List[[#This Row],[Updated Price]])</f>
        <v>13267.800000000001</v>
      </c>
      <c r="Q151" s="143">
        <f>100%</f>
        <v>1</v>
      </c>
      <c r="R151" s="160"/>
      <c r="S151" s="159"/>
      <c r="T151" s="157"/>
      <c r="U151" s="161"/>
      <c r="V151" s="146"/>
      <c r="W151" s="159"/>
      <c r="X151" s="161"/>
      <c r="Y151" s="161"/>
      <c r="Z151" s="146"/>
      <c r="AA151" s="159"/>
      <c r="AB151" s="161"/>
      <c r="AC151" s="161"/>
      <c r="AD151"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1" s="159">
        <f>List[[#This Row],[Running Budget Total]]-List[[#This Row],[Cash Out Total]]</f>
        <v>13267.800000000001</v>
      </c>
      <c r="AF151" s="162" t="str">
        <f>IF(AND(List[[#This Row],[Remaining]]=0,NOT(List[[#This Row],[Running Budget Total]]=0)),Status1,
IF(AND(List[[#This Row],[Remaining]]&lt;0,NOT(List[[#This Row],[Running Budget Total]]=0)),Status2,
IF(AND(List[[#This Row],[Remaining]]=0),Status3,
List[[#This Row],[Spent %]] &amp; Status4)))</f>
        <v>0% paid</v>
      </c>
      <c r="AG151" s="163">
        <f>IFERROR(ROUND(100*List[[#This Row],[Cash Out Total]]/List[[#This Row],[Running Budget Total]],0),0)</f>
        <v>0</v>
      </c>
    </row>
    <row r="152" spans="1:33" s="165" customFormat="1" ht="40" customHeight="1" x14ac:dyDescent="0.2">
      <c r="A152" s="151" t="s">
        <v>99</v>
      </c>
      <c r="B152" s="152" t="s">
        <v>33</v>
      </c>
      <c r="C152" s="151" t="s">
        <v>16</v>
      </c>
      <c r="D152" s="152" t="s">
        <v>72</v>
      </c>
      <c r="E152" s="152" t="s">
        <v>101</v>
      </c>
      <c r="F152" s="153"/>
      <c r="G152" s="154" t="s">
        <v>18</v>
      </c>
      <c r="H152" s="155">
        <f>DisplayToUSD/(_xlfn.IFNA(INDEX('Quick Inputs- Constants'!$B$15:$C$18,MATCH(List[[#This Row],[Currency]],'Quick Inputs- Constants'!B$15:B$18,0),2),1))</f>
        <v>1</v>
      </c>
      <c r="I152" s="137">
        <f>PVPanelCount</f>
        <v>90</v>
      </c>
      <c r="J152" s="156">
        <f>PVTransportPerPanel</f>
        <v>6.4516129032258061</v>
      </c>
      <c r="K152" s="157" t="s">
        <v>14</v>
      </c>
      <c r="L152" s="158">
        <f>List[[#This Row],[Exchange Rate]]*(1+IF(List[[#This Row],[Budget VAT]]="Yes",VATRate,0))*List[[#This Row],[Budget Quantity]]*List[[#This Row],[Budget Price]]</f>
        <v>580.64516129032256</v>
      </c>
      <c r="M152" s="164"/>
      <c r="N152" s="157"/>
      <c r="O152" s="157"/>
      <c r="P152" s="159">
        <f>IF(AND(ISBLANK(List[[#This Row],[Updated Quantity]]),ISBLANK(List[[#This Row],[Updated Price]]),ISBLANK(List[[#This Row],[Updated VAT]])),List[[#This Row],[Budget Total]],
List[[#This Row],[Exchange Rate]]*(1+IF(List[[#This Row],[Updated VAT]]="Yes",VATRate,0))*List[[#This Row],[Updated Quantity]]*List[[#This Row],[Updated Price]])</f>
        <v>580.64516129032256</v>
      </c>
      <c r="Q152" s="143">
        <f>100%</f>
        <v>1</v>
      </c>
      <c r="R152" s="160"/>
      <c r="S152" s="159"/>
      <c r="T152" s="157"/>
      <c r="U152" s="161"/>
      <c r="V152" s="146"/>
      <c r="W152" s="159"/>
      <c r="X152" s="161"/>
      <c r="Y152" s="161"/>
      <c r="Z152" s="146"/>
      <c r="AA152" s="159"/>
      <c r="AB152" s="161"/>
      <c r="AC152" s="161"/>
      <c r="AD152"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2" s="159">
        <f>List[[#This Row],[Running Budget Total]]-List[[#This Row],[Cash Out Total]]</f>
        <v>580.64516129032256</v>
      </c>
      <c r="AF152" s="162" t="str">
        <f>IF(AND(List[[#This Row],[Remaining]]=0,NOT(List[[#This Row],[Running Budget Total]]=0)),Status1,
IF(AND(List[[#This Row],[Remaining]]&lt;0,NOT(List[[#This Row],[Running Budget Total]]=0)),Status2,
IF(AND(List[[#This Row],[Remaining]]=0),Status3,
List[[#This Row],[Spent %]] &amp; Status4)))</f>
        <v>0% paid</v>
      </c>
      <c r="AG152" s="163">
        <f>IFERROR(ROUND(100*List[[#This Row],[Cash Out Total]]/List[[#This Row],[Running Budget Total]],0),0)</f>
        <v>0</v>
      </c>
    </row>
    <row r="153" spans="1:33" s="165" customFormat="1" ht="40" customHeight="1" x14ac:dyDescent="0.2">
      <c r="A153" s="151" t="s">
        <v>99</v>
      </c>
      <c r="B153" s="152" t="s">
        <v>33</v>
      </c>
      <c r="C153" s="151" t="s">
        <v>16</v>
      </c>
      <c r="D153" s="152" t="s">
        <v>73</v>
      </c>
      <c r="E153" s="152"/>
      <c r="F153" s="153"/>
      <c r="G153" s="154" t="s">
        <v>47</v>
      </c>
      <c r="H153" s="155">
        <f>DisplayToUSD/(_xlfn.IFNA(INDEX('Quick Inputs- Constants'!$B$15:$C$18,MATCH(List[[#This Row],[Currency]],'Quick Inputs- Constants'!B$15:B$18,0),2),1))</f>
        <v>2.4330900243309003E-3</v>
      </c>
      <c r="I153" s="137">
        <v>1</v>
      </c>
      <c r="J153" s="156">
        <f>TruckCost/TruckTransportSplitPV</f>
        <v>200000</v>
      </c>
      <c r="K153" s="157" t="s">
        <v>14</v>
      </c>
      <c r="L153" s="158">
        <f>List[[#This Row],[Exchange Rate]]*(1+IF(List[[#This Row],[Budget VAT]]="Yes",VATRate,0))*List[[#This Row],[Budget Quantity]]*List[[#This Row],[Budget Price]]</f>
        <v>486.61800486618006</v>
      </c>
      <c r="M153" s="164"/>
      <c r="N153" s="157"/>
      <c r="O153" s="157"/>
      <c r="P153" s="159">
        <f>IF(AND(ISBLANK(List[[#This Row],[Updated Quantity]]),ISBLANK(List[[#This Row],[Updated Price]]),ISBLANK(List[[#This Row],[Updated VAT]])),List[[#This Row],[Budget Total]],
List[[#This Row],[Exchange Rate]]*(1+IF(List[[#This Row],[Updated VAT]]="Yes",VATRate,0))*List[[#This Row],[Updated Quantity]]*List[[#This Row],[Updated Price]])</f>
        <v>486.61800486618006</v>
      </c>
      <c r="Q153" s="143">
        <f>100%</f>
        <v>1</v>
      </c>
      <c r="R153" s="160"/>
      <c r="S153" s="159"/>
      <c r="T153" s="157"/>
      <c r="U153" s="161"/>
      <c r="V153" s="146"/>
      <c r="W153" s="159"/>
      <c r="X153" s="161"/>
      <c r="Y153" s="161"/>
      <c r="Z153" s="146"/>
      <c r="AA153" s="159"/>
      <c r="AB153" s="161"/>
      <c r="AC153" s="161"/>
      <c r="AD153" s="14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3" s="159">
        <f>List[[#This Row],[Running Budget Total]]-List[[#This Row],[Cash Out Total]]</f>
        <v>486.61800486618006</v>
      </c>
      <c r="AF153" s="162" t="str">
        <f>IF(AND(List[[#This Row],[Remaining]]=0,NOT(List[[#This Row],[Running Budget Total]]=0)),Status1,
IF(AND(List[[#This Row],[Remaining]]&lt;0,NOT(List[[#This Row],[Running Budget Total]]=0)),Status2,
IF(AND(List[[#This Row],[Remaining]]=0),Status3,
List[[#This Row],[Spent %]] &amp; Status4)))</f>
        <v>0% paid</v>
      </c>
      <c r="AG153" s="163">
        <f>IFERROR(ROUND(100*List[[#This Row],[Cash Out Total]]/List[[#This Row],[Running Budget Total]],0),0)</f>
        <v>0</v>
      </c>
    </row>
    <row r="154" spans="1:33" ht="40" customHeight="1" x14ac:dyDescent="0.2">
      <c r="A154" s="73" t="s">
        <v>14</v>
      </c>
      <c r="B154" s="74" t="s">
        <v>34</v>
      </c>
      <c r="C154" s="73" t="s">
        <v>21</v>
      </c>
      <c r="D154" s="74" t="s">
        <v>300</v>
      </c>
      <c r="E154" s="74"/>
      <c r="F154" s="76"/>
      <c r="G154" s="75" t="s">
        <v>47</v>
      </c>
      <c r="H154" s="77">
        <f>DisplayToUSD/(_xlfn.IFNA(INDEX('Quick Inputs- Constants'!$B$15:$C$18,MATCH(List[[#This Row],[Currency]],'Quick Inputs- Constants'!B$15:B$18,0),2),1))</f>
        <v>2.4330900243309003E-3</v>
      </c>
      <c r="I154" s="62">
        <v>0</v>
      </c>
      <c r="J154" s="78">
        <v>50000</v>
      </c>
      <c r="K154" s="79" t="s">
        <v>14</v>
      </c>
      <c r="L154" s="80">
        <f>List[[#This Row],[Exchange Rate]]*(1+IF(List[[#This Row],[Budget VAT]]="Yes",VATRate,0))*List[[#This Row],[Budget Quantity]]*List[[#This Row],[Budget Price]]</f>
        <v>0</v>
      </c>
      <c r="M154" s="63"/>
      <c r="N154" s="79"/>
      <c r="O154" s="79"/>
      <c r="P154" s="81">
        <f>IF(AND(ISBLANK(List[[#This Row],[Updated Quantity]]),ISBLANK(List[[#This Row],[Updated Price]]),ISBLANK(List[[#This Row],[Updated VAT]])),List[[#This Row],[Budget Total]],
List[[#This Row],[Exchange Rate]]*(1+IF(List[[#This Row],[Updated VAT]]="Yes",VATRate,0))*List[[#This Row],[Updated Quantity]]*List[[#This Row],[Updated Price]])</f>
        <v>0</v>
      </c>
      <c r="Q154" s="87">
        <f>100%</f>
        <v>1</v>
      </c>
      <c r="R154" s="82"/>
      <c r="S154" s="83"/>
      <c r="T154" s="79"/>
      <c r="U154" s="84"/>
      <c r="V154" s="64"/>
      <c r="W154" s="83"/>
      <c r="X154" s="84"/>
      <c r="Y154" s="84"/>
      <c r="Z154" s="64"/>
      <c r="AA154" s="83"/>
      <c r="AB154" s="84"/>
      <c r="AC154" s="84"/>
      <c r="AD15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4" s="81">
        <f>List[[#This Row],[Running Budget Total]]-List[[#This Row],[Cash Out Total]]</f>
        <v>0</v>
      </c>
      <c r="AF154" s="85" t="str">
        <f>IF(AND(List[[#This Row],[Remaining]]=0,NOT(List[[#This Row],[Running Budget Total]]=0)),Status1,
IF(AND(List[[#This Row],[Remaining]]&lt;0,NOT(List[[#This Row],[Running Budget Total]]=0)),Status2,
IF(AND(List[[#This Row],[Remaining]]=0),Status3,
List[[#This Row],[Spent %]] &amp; Status4)))</f>
        <v>Cancelled</v>
      </c>
      <c r="AG154" s="86">
        <f>IFERROR(ROUND(100*List[[#This Row],[Cash Out Total]]/List[[#This Row],[Running Budget Total]],0),0)</f>
        <v>0</v>
      </c>
    </row>
    <row r="155" spans="1:33" ht="40" customHeight="1" x14ac:dyDescent="0.2">
      <c r="A155" s="73" t="s">
        <v>14</v>
      </c>
      <c r="B155" s="74" t="s">
        <v>34</v>
      </c>
      <c r="C155" s="73" t="s">
        <v>32</v>
      </c>
      <c r="D155" s="74" t="s">
        <v>301</v>
      </c>
      <c r="E155" s="74"/>
      <c r="F155" s="76"/>
      <c r="G155" s="75" t="s">
        <v>47</v>
      </c>
      <c r="H155" s="77">
        <f>DisplayToUSD/(_xlfn.IFNA(INDEX('Quick Inputs- Constants'!$B$15:$C$18,MATCH(List[[#This Row],[Currency]],'Quick Inputs- Constants'!B$15:B$18,0),2),1))</f>
        <v>2.4330900243309003E-3</v>
      </c>
      <c r="I155" s="62">
        <v>1</v>
      </c>
      <c r="J155" s="78">
        <v>50000</v>
      </c>
      <c r="K155" s="79" t="s">
        <v>14</v>
      </c>
      <c r="L155" s="80">
        <f>List[[#This Row],[Exchange Rate]]*(1+IF(List[[#This Row],[Budget VAT]]="Yes",VATRate,0))*List[[#This Row],[Budget Quantity]]*List[[#This Row],[Budget Price]]</f>
        <v>121.65450121654501</v>
      </c>
      <c r="M155" s="63"/>
      <c r="N155" s="79"/>
      <c r="O155" s="79"/>
      <c r="P155" s="81">
        <f>IF(AND(ISBLANK(List[[#This Row],[Updated Quantity]]),ISBLANK(List[[#This Row],[Updated Price]]),ISBLANK(List[[#This Row],[Updated VAT]])),List[[#This Row],[Budget Total]],
List[[#This Row],[Exchange Rate]]*(1+IF(List[[#This Row],[Updated VAT]]="Yes",VATRate,0))*List[[#This Row],[Updated Quantity]]*List[[#This Row],[Updated Price]])</f>
        <v>121.65450121654501</v>
      </c>
      <c r="Q155" s="87">
        <f>100%</f>
        <v>1</v>
      </c>
      <c r="R155" s="82"/>
      <c r="S155" s="83"/>
      <c r="T155" s="79"/>
      <c r="U155" s="84"/>
      <c r="V155" s="64"/>
      <c r="W155" s="83"/>
      <c r="X155" s="84"/>
      <c r="Y155" s="84"/>
      <c r="Z155" s="64"/>
      <c r="AA155" s="83"/>
      <c r="AB155" s="84"/>
      <c r="AC155" s="84"/>
      <c r="AD15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5" s="81">
        <f>List[[#This Row],[Running Budget Total]]-List[[#This Row],[Cash Out Total]]</f>
        <v>121.65450121654501</v>
      </c>
      <c r="AF155" s="85" t="str">
        <f>IF(AND(List[[#This Row],[Remaining]]=0,NOT(List[[#This Row],[Running Budget Total]]=0)),Status1,
IF(AND(List[[#This Row],[Remaining]]&lt;0,NOT(List[[#This Row],[Running Budget Total]]=0)),Status2,
IF(AND(List[[#This Row],[Remaining]]=0),Status3,
List[[#This Row],[Spent %]] &amp; Status4)))</f>
        <v>0% paid</v>
      </c>
      <c r="AG155" s="86">
        <f>IFERROR(ROUND(100*List[[#This Row],[Cash Out Total]]/List[[#This Row],[Running Budget Total]],0),0)</f>
        <v>0</v>
      </c>
    </row>
    <row r="156" spans="1:33" ht="40" customHeight="1" x14ac:dyDescent="0.2">
      <c r="A156" s="73" t="s">
        <v>14</v>
      </c>
      <c r="B156" s="74" t="s">
        <v>35</v>
      </c>
      <c r="C156" s="73" t="s">
        <v>21</v>
      </c>
      <c r="D156" s="74" t="s">
        <v>302</v>
      </c>
      <c r="E156" s="74"/>
      <c r="F156" s="76"/>
      <c r="G156" s="75" t="s">
        <v>47</v>
      </c>
      <c r="H156" s="77">
        <f>DisplayToUSD/(_xlfn.IFNA(INDEX('Quick Inputs- Constants'!$B$15:$C$18,MATCH(List[[#This Row],[Currency]],'Quick Inputs- Constants'!B$15:B$18,0),2),1))</f>
        <v>2.4330900243309003E-3</v>
      </c>
      <c r="I156" s="62">
        <v>0</v>
      </c>
      <c r="J156" s="78">
        <v>0</v>
      </c>
      <c r="K156" s="79" t="s">
        <v>14</v>
      </c>
      <c r="L156" s="80">
        <f>List[[#This Row],[Exchange Rate]]*(1+IF(List[[#This Row],[Budget VAT]]="Yes",VATRate,0))*List[[#This Row],[Budget Quantity]]*List[[#This Row],[Budget Price]]</f>
        <v>0</v>
      </c>
      <c r="M156" s="63"/>
      <c r="N156" s="79"/>
      <c r="O156" s="79"/>
      <c r="P156" s="81">
        <f>IF(AND(ISBLANK(List[[#This Row],[Updated Quantity]]),ISBLANK(List[[#This Row],[Updated Price]]),ISBLANK(List[[#This Row],[Updated VAT]])),List[[#This Row],[Budget Total]],
List[[#This Row],[Exchange Rate]]*(1+IF(List[[#This Row],[Updated VAT]]="Yes",VATRate,0))*List[[#This Row],[Updated Quantity]]*List[[#This Row],[Updated Price]])</f>
        <v>0</v>
      </c>
      <c r="Q156" s="87">
        <f>100%</f>
        <v>1</v>
      </c>
      <c r="R156" s="82"/>
      <c r="S156" s="83"/>
      <c r="T156" s="79"/>
      <c r="U156" s="84"/>
      <c r="V156" s="64"/>
      <c r="W156" s="83"/>
      <c r="X156" s="84"/>
      <c r="Y156" s="84"/>
      <c r="Z156" s="64"/>
      <c r="AA156" s="83"/>
      <c r="AB156" s="84"/>
      <c r="AC156" s="84"/>
      <c r="AD15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6" s="81">
        <f>List[[#This Row],[Running Budget Total]]-List[[#This Row],[Cash Out Total]]</f>
        <v>0</v>
      </c>
      <c r="AF156" s="85" t="str">
        <f>IF(AND(List[[#This Row],[Remaining]]=0,NOT(List[[#This Row],[Running Budget Total]]=0)),Status1,
IF(AND(List[[#This Row],[Remaining]]&lt;0,NOT(List[[#This Row],[Running Budget Total]]=0)),Status2,
IF(AND(List[[#This Row],[Remaining]]=0),Status3,
List[[#This Row],[Spent %]] &amp; Status4)))</f>
        <v>Cancelled</v>
      </c>
      <c r="AG156" s="86">
        <f>IFERROR(ROUND(100*List[[#This Row],[Cash Out Total]]/List[[#This Row],[Running Budget Total]],0),0)</f>
        <v>0</v>
      </c>
    </row>
    <row r="157" spans="1:33" ht="40" customHeight="1" x14ac:dyDescent="0.2">
      <c r="A157" s="73" t="s">
        <v>14</v>
      </c>
      <c r="B157" s="74" t="s">
        <v>35</v>
      </c>
      <c r="C157" s="73" t="s">
        <v>19</v>
      </c>
      <c r="D157" s="74" t="s">
        <v>275</v>
      </c>
      <c r="E157" s="74"/>
      <c r="F157" s="76"/>
      <c r="G157" s="75" t="s">
        <v>47</v>
      </c>
      <c r="H157" s="77">
        <f>DisplayToUSD/(_xlfn.IFNA(INDEX('Quick Inputs- Constants'!$B$15:$C$18,MATCH(List[[#This Row],[Currency]],'Quick Inputs- Constants'!B$15:B$18,0),2),1))</f>
        <v>2.4330900243309003E-3</v>
      </c>
      <c r="I157" s="62">
        <v>0</v>
      </c>
      <c r="J157" s="78">
        <v>0</v>
      </c>
      <c r="K157" s="79" t="s">
        <v>14</v>
      </c>
      <c r="L157" s="80">
        <f>List[[#This Row],[Exchange Rate]]*(1+IF(List[[#This Row],[Budget VAT]]="Yes",VATRate,0))*List[[#This Row],[Budget Quantity]]*List[[#This Row],[Budget Price]]</f>
        <v>0</v>
      </c>
      <c r="M157" s="63"/>
      <c r="N157" s="79"/>
      <c r="O157" s="79"/>
      <c r="P157" s="81">
        <f>IF(AND(ISBLANK(List[[#This Row],[Updated Quantity]]),ISBLANK(List[[#This Row],[Updated Price]]),ISBLANK(List[[#This Row],[Updated VAT]])),List[[#This Row],[Budget Total]],
List[[#This Row],[Exchange Rate]]*(1+IF(List[[#This Row],[Updated VAT]]="Yes",VATRate,0))*List[[#This Row],[Updated Quantity]]*List[[#This Row],[Updated Price]])</f>
        <v>0</v>
      </c>
      <c r="Q157" s="87">
        <f>100%</f>
        <v>1</v>
      </c>
      <c r="R157" s="82"/>
      <c r="S157" s="83"/>
      <c r="T157" s="79"/>
      <c r="U157" s="84"/>
      <c r="V157" s="64"/>
      <c r="W157" s="83"/>
      <c r="X157" s="84"/>
      <c r="Y157" s="84"/>
      <c r="Z157" s="64"/>
      <c r="AA157" s="83"/>
      <c r="AB157" s="84"/>
      <c r="AC157" s="84"/>
      <c r="AD15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7" s="81">
        <f>List[[#This Row],[Running Budget Total]]-List[[#This Row],[Cash Out Total]]</f>
        <v>0</v>
      </c>
      <c r="AF157" s="85" t="str">
        <f>IF(AND(List[[#This Row],[Remaining]]=0,NOT(List[[#This Row],[Running Budget Total]]=0)),Status1,
IF(AND(List[[#This Row],[Remaining]]&lt;0,NOT(List[[#This Row],[Running Budget Total]]=0)),Status2,
IF(AND(List[[#This Row],[Remaining]]=0),Status3,
List[[#This Row],[Spent %]] &amp; Status4)))</f>
        <v>Cancelled</v>
      </c>
      <c r="AG157" s="86">
        <f>IFERROR(ROUND(100*List[[#This Row],[Cash Out Total]]/List[[#This Row],[Running Budget Total]],0),0)</f>
        <v>0</v>
      </c>
    </row>
    <row r="158" spans="1:33" ht="40" customHeight="1" x14ac:dyDescent="0.2">
      <c r="A158" s="73" t="s">
        <v>14</v>
      </c>
      <c r="B158" s="74" t="s">
        <v>35</v>
      </c>
      <c r="C158" s="73" t="s">
        <v>19</v>
      </c>
      <c r="D158" s="74" t="s">
        <v>303</v>
      </c>
      <c r="E158" s="74"/>
      <c r="F158" s="76"/>
      <c r="G158" s="75" t="s">
        <v>47</v>
      </c>
      <c r="H158" s="77">
        <f>DisplayToUSD/(_xlfn.IFNA(INDEX('Quick Inputs- Constants'!$B$15:$C$18,MATCH(List[[#This Row],[Currency]],'Quick Inputs- Constants'!B$15:B$18,0),2),1))</f>
        <v>2.4330900243309003E-3</v>
      </c>
      <c r="I158" s="62">
        <v>0</v>
      </c>
      <c r="J158" s="78">
        <v>0</v>
      </c>
      <c r="K158" s="79" t="s">
        <v>14</v>
      </c>
      <c r="L158" s="80">
        <f>List[[#This Row],[Exchange Rate]]*(1+IF(List[[#This Row],[Budget VAT]]="Yes",VATRate,0))*List[[#This Row],[Budget Quantity]]*List[[#This Row],[Budget Price]]</f>
        <v>0</v>
      </c>
      <c r="M158" s="63"/>
      <c r="N158" s="79"/>
      <c r="O158" s="79"/>
      <c r="P158" s="81">
        <f>IF(AND(ISBLANK(List[[#This Row],[Updated Quantity]]),ISBLANK(List[[#This Row],[Updated Price]]),ISBLANK(List[[#This Row],[Updated VAT]])),List[[#This Row],[Budget Total]],
List[[#This Row],[Exchange Rate]]*(1+IF(List[[#This Row],[Updated VAT]]="Yes",VATRate,0))*List[[#This Row],[Updated Quantity]]*List[[#This Row],[Updated Price]])</f>
        <v>0</v>
      </c>
      <c r="Q158" s="87">
        <f>100%</f>
        <v>1</v>
      </c>
      <c r="R158" s="82"/>
      <c r="S158" s="83"/>
      <c r="T158" s="79"/>
      <c r="U158" s="84"/>
      <c r="V158" s="64"/>
      <c r="W158" s="83"/>
      <c r="X158" s="84"/>
      <c r="Y158" s="84"/>
      <c r="Z158" s="64"/>
      <c r="AA158" s="83"/>
      <c r="AB158" s="84"/>
      <c r="AC158" s="84"/>
      <c r="AD15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8" s="81">
        <f>List[[#This Row],[Running Budget Total]]-List[[#This Row],[Cash Out Total]]</f>
        <v>0</v>
      </c>
      <c r="AF158" s="85" t="str">
        <f>IF(AND(List[[#This Row],[Remaining]]=0,NOT(List[[#This Row],[Running Budget Total]]=0)),Status1,
IF(AND(List[[#This Row],[Remaining]]&lt;0,NOT(List[[#This Row],[Running Budget Total]]=0)),Status2,
IF(AND(List[[#This Row],[Remaining]]=0),Status3,
List[[#This Row],[Spent %]] &amp; Status4)))</f>
        <v>Cancelled</v>
      </c>
      <c r="AG158" s="86">
        <f>IFERROR(ROUND(100*List[[#This Row],[Cash Out Total]]/List[[#This Row],[Running Budget Total]],0),0)</f>
        <v>0</v>
      </c>
    </row>
    <row r="159" spans="1:33" ht="40" customHeight="1" x14ac:dyDescent="0.2">
      <c r="A159" s="73" t="s">
        <v>14</v>
      </c>
      <c r="B159" s="74" t="s">
        <v>35</v>
      </c>
      <c r="C159" s="73" t="s">
        <v>19</v>
      </c>
      <c r="D159" s="74" t="s">
        <v>304</v>
      </c>
      <c r="E159" s="74"/>
      <c r="F159" s="76"/>
      <c r="G159" s="75" t="s">
        <v>47</v>
      </c>
      <c r="H159" s="77">
        <f>DisplayToUSD/(_xlfn.IFNA(INDEX('Quick Inputs- Constants'!$B$15:$C$18,MATCH(List[[#This Row],[Currency]],'Quick Inputs- Constants'!B$15:B$18,0),2),1))</f>
        <v>2.4330900243309003E-3</v>
      </c>
      <c r="I159" s="62">
        <v>0</v>
      </c>
      <c r="J159" s="78">
        <v>0</v>
      </c>
      <c r="K159" s="79" t="s">
        <v>14</v>
      </c>
      <c r="L159" s="80">
        <f>List[[#This Row],[Exchange Rate]]*(1+IF(List[[#This Row],[Budget VAT]]="Yes",VATRate,0))*List[[#This Row],[Budget Quantity]]*List[[#This Row],[Budget Price]]</f>
        <v>0</v>
      </c>
      <c r="M159" s="63"/>
      <c r="N159" s="79"/>
      <c r="O159" s="79"/>
      <c r="P159" s="35">
        <f>IF(AND(ISBLANK(List[[#This Row],[Updated Quantity]]),ISBLANK(List[[#This Row],[Updated Price]]),ISBLANK(List[[#This Row],[Updated VAT]])),List[[#This Row],[Budget Total]],
List[[#This Row],[Exchange Rate]]*(1+IF(List[[#This Row],[Updated VAT]]="Yes",VATRate,0))*List[[#This Row],[Updated Quantity]]*List[[#This Row],[Updated Price]])</f>
        <v>0</v>
      </c>
      <c r="Q159" s="87">
        <f>100%</f>
        <v>1</v>
      </c>
      <c r="R159" s="82"/>
      <c r="S159" s="83"/>
      <c r="T159" s="79"/>
      <c r="U159" s="84"/>
      <c r="V159" s="64"/>
      <c r="W159" s="83"/>
      <c r="X159" s="84"/>
      <c r="Y159" s="84"/>
      <c r="Z159" s="64"/>
      <c r="AA159" s="83"/>
      <c r="AB159" s="84"/>
      <c r="AC159" s="84"/>
      <c r="AD15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9" s="81">
        <f>List[[#This Row],[Running Budget Total]]-List[[#This Row],[Cash Out Total]]</f>
        <v>0</v>
      </c>
      <c r="AF159" s="85" t="str">
        <f>IF(AND(List[[#This Row],[Remaining]]=0,NOT(List[[#This Row],[Running Budget Total]]=0)),Status1,
IF(AND(List[[#This Row],[Remaining]]&lt;0,NOT(List[[#This Row],[Running Budget Total]]=0)),Status2,
IF(AND(List[[#This Row],[Remaining]]=0),Status3,
List[[#This Row],[Spent %]] &amp; Status4)))</f>
        <v>Cancelled</v>
      </c>
      <c r="AG159" s="86">
        <f>IFERROR(ROUND(100*List[[#This Row],[Cash Out Total]]/List[[#This Row],[Running Budget Total]],0),0)</f>
        <v>0</v>
      </c>
    </row>
    <row r="160" spans="1:33" ht="40" customHeight="1" x14ac:dyDescent="0.2">
      <c r="A160" s="73" t="s">
        <v>14</v>
      </c>
      <c r="B160" s="74" t="s">
        <v>35</v>
      </c>
      <c r="C160" s="73" t="s">
        <v>19</v>
      </c>
      <c r="D160" s="74" t="s">
        <v>305</v>
      </c>
      <c r="E160" s="74"/>
      <c r="F160" s="76"/>
      <c r="G160" s="75" t="s">
        <v>47</v>
      </c>
      <c r="H160" s="77">
        <f>DisplayToUSD/(_xlfn.IFNA(INDEX('Quick Inputs- Constants'!$B$15:$C$18,MATCH(List[[#This Row],[Currency]],'Quick Inputs- Constants'!B$15:B$18,0),2),1))</f>
        <v>2.4330900243309003E-3</v>
      </c>
      <c r="I160" s="62">
        <v>0</v>
      </c>
      <c r="J160" s="78">
        <v>0</v>
      </c>
      <c r="K160" s="79" t="s">
        <v>14</v>
      </c>
      <c r="L160" s="80">
        <f>List[[#This Row],[Exchange Rate]]*(1+IF(List[[#This Row],[Budget VAT]]="Yes",VATRate,0))*List[[#This Row],[Budget Quantity]]*List[[#This Row],[Budget Price]]</f>
        <v>0</v>
      </c>
      <c r="M160" s="63"/>
      <c r="N160" s="79"/>
      <c r="O160" s="79"/>
      <c r="P160" s="35">
        <f>IF(AND(ISBLANK(List[[#This Row],[Updated Quantity]]),ISBLANK(List[[#This Row],[Updated Price]]),ISBLANK(List[[#This Row],[Updated VAT]])),List[[#This Row],[Budget Total]],
List[[#This Row],[Exchange Rate]]*(1+IF(List[[#This Row],[Updated VAT]]="Yes",VATRate,0))*List[[#This Row],[Updated Quantity]]*List[[#This Row],[Updated Price]])</f>
        <v>0</v>
      </c>
      <c r="Q160" s="87">
        <f>100%</f>
        <v>1</v>
      </c>
      <c r="R160" s="82"/>
      <c r="S160" s="83"/>
      <c r="T160" s="79"/>
      <c r="U160" s="84"/>
      <c r="V160" s="64"/>
      <c r="W160" s="83"/>
      <c r="X160" s="84"/>
      <c r="Y160" s="84"/>
      <c r="Z160" s="64"/>
      <c r="AA160" s="83"/>
      <c r="AB160" s="84"/>
      <c r="AC160" s="84"/>
      <c r="AD16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0" s="81">
        <f>List[[#This Row],[Running Budget Total]]-List[[#This Row],[Cash Out Total]]</f>
        <v>0</v>
      </c>
      <c r="AF160" s="85" t="str">
        <f>IF(AND(List[[#This Row],[Remaining]]=0,NOT(List[[#This Row],[Running Budget Total]]=0)),Status1,
IF(AND(List[[#This Row],[Remaining]]&lt;0,NOT(List[[#This Row],[Running Budget Total]]=0)),Status2,
IF(AND(List[[#This Row],[Remaining]]=0),Status3,
List[[#This Row],[Spent %]] &amp; Status4)))</f>
        <v>Cancelled</v>
      </c>
      <c r="AG160" s="86">
        <f>IFERROR(ROUND(100*List[[#This Row],[Cash Out Total]]/List[[#This Row],[Running Budget Total]],0),0)</f>
        <v>0</v>
      </c>
    </row>
    <row r="161" spans="1:33" ht="40" customHeight="1" x14ac:dyDescent="0.2">
      <c r="A161" s="73" t="s">
        <v>14</v>
      </c>
      <c r="B161" s="74" t="s">
        <v>35</v>
      </c>
      <c r="C161" s="73" t="s">
        <v>19</v>
      </c>
      <c r="D161" s="74" t="s">
        <v>360</v>
      </c>
      <c r="E161" s="74"/>
      <c r="F161" s="76"/>
      <c r="G161" s="75" t="s">
        <v>47</v>
      </c>
      <c r="H161" s="77">
        <f>DisplayToUSD/(_xlfn.IFNA(INDEX('Quick Inputs- Constants'!$B$15:$C$18,MATCH(List[[#This Row],[Currency]],'Quick Inputs- Constants'!B$15:B$18,0),2),1))</f>
        <v>2.4330900243309003E-3</v>
      </c>
      <c r="I161" s="62">
        <v>0</v>
      </c>
      <c r="J161" s="78">
        <v>0</v>
      </c>
      <c r="K161" s="79" t="s">
        <v>14</v>
      </c>
      <c r="L161" s="80">
        <f>List[[#This Row],[Exchange Rate]]*(1+IF(List[[#This Row],[Budget VAT]]="Yes",VATRate,0))*List[[#This Row],[Budget Quantity]]*List[[#This Row],[Budget Price]]</f>
        <v>0</v>
      </c>
      <c r="M161" s="63"/>
      <c r="N161" s="79"/>
      <c r="O161" s="79"/>
      <c r="P161" s="35">
        <f>IF(AND(ISBLANK(List[[#This Row],[Updated Quantity]]),ISBLANK(List[[#This Row],[Updated Price]]),ISBLANK(List[[#This Row],[Updated VAT]])),List[[#This Row],[Budget Total]],
List[[#This Row],[Exchange Rate]]*(1+IF(List[[#This Row],[Updated VAT]]="Yes",VATRate,0))*List[[#This Row],[Updated Quantity]]*List[[#This Row],[Updated Price]])</f>
        <v>0</v>
      </c>
      <c r="Q161" s="87">
        <f>100%</f>
        <v>1</v>
      </c>
      <c r="R161" s="82"/>
      <c r="S161" s="83"/>
      <c r="T161" s="79"/>
      <c r="U161" s="84"/>
      <c r="V161" s="64"/>
      <c r="W161" s="83"/>
      <c r="X161" s="84"/>
      <c r="Y161" s="84"/>
      <c r="Z161" s="64"/>
      <c r="AA161" s="83"/>
      <c r="AB161" s="84"/>
      <c r="AC161" s="84"/>
      <c r="AD16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1" s="81">
        <f>List[[#This Row],[Running Budget Total]]-List[[#This Row],[Cash Out Total]]</f>
        <v>0</v>
      </c>
      <c r="AF161" s="85" t="str">
        <f>IF(AND(List[[#This Row],[Remaining]]=0,NOT(List[[#This Row],[Running Budget Total]]=0)),Status1,
IF(AND(List[[#This Row],[Remaining]]&lt;0,NOT(List[[#This Row],[Running Budget Total]]=0)),Status2,
IF(AND(List[[#This Row],[Remaining]]=0),Status3,
List[[#This Row],[Spent %]] &amp; Status4)))</f>
        <v>Cancelled</v>
      </c>
      <c r="AG161" s="86">
        <f>IFERROR(ROUND(100*List[[#This Row],[Cash Out Total]]/List[[#This Row],[Running Budget Total]],0),0)</f>
        <v>0</v>
      </c>
    </row>
    <row r="162" spans="1:33" ht="40" customHeight="1" x14ac:dyDescent="0.2">
      <c r="A162" s="73" t="s">
        <v>14</v>
      </c>
      <c r="B162" s="74" t="s">
        <v>35</v>
      </c>
      <c r="C162" s="73" t="s">
        <v>107</v>
      </c>
      <c r="D162" s="74" t="s">
        <v>306</v>
      </c>
      <c r="E162" s="74"/>
      <c r="F162" s="76"/>
      <c r="G162" s="75" t="s">
        <v>47</v>
      </c>
      <c r="H162" s="77">
        <f>DisplayToUSD/(_xlfn.IFNA(INDEX('Quick Inputs- Constants'!$B$15:$C$18,MATCH(List[[#This Row],[Currency]],'Quick Inputs- Constants'!B$15:B$18,0),2),1))</f>
        <v>2.4330900243309003E-3</v>
      </c>
      <c r="I162" s="62">
        <v>0</v>
      </c>
      <c r="J162" s="78">
        <v>0</v>
      </c>
      <c r="K162" s="79" t="s">
        <v>99</v>
      </c>
      <c r="L162" s="80">
        <f>List[[#This Row],[Exchange Rate]]*(1+IF(List[[#This Row],[Budget VAT]]="Yes",VATRate,0))*List[[#This Row],[Budget Quantity]]*List[[#This Row],[Budget Price]]</f>
        <v>0</v>
      </c>
      <c r="M162" s="63"/>
      <c r="N162" s="79"/>
      <c r="O162" s="79"/>
      <c r="P162" s="35">
        <f>IF(AND(ISBLANK(List[[#This Row],[Updated Quantity]]),ISBLANK(List[[#This Row],[Updated Price]]),ISBLANK(List[[#This Row],[Updated VAT]])),List[[#This Row],[Budget Total]],
List[[#This Row],[Exchange Rate]]*(1+IF(List[[#This Row],[Updated VAT]]="Yes",VATRate,0))*List[[#This Row],[Updated Quantity]]*List[[#This Row],[Updated Price]])</f>
        <v>0</v>
      </c>
      <c r="Q162" s="87">
        <f>100%</f>
        <v>1</v>
      </c>
      <c r="R162" s="82"/>
      <c r="S162" s="83"/>
      <c r="T162" s="79"/>
      <c r="U162" s="84"/>
      <c r="V162" s="64"/>
      <c r="W162" s="83"/>
      <c r="X162" s="84"/>
      <c r="Y162" s="84"/>
      <c r="Z162" s="64"/>
      <c r="AA162" s="83"/>
      <c r="AB162" s="84"/>
      <c r="AC162" s="84"/>
      <c r="AD16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2" s="81">
        <f>List[[#This Row],[Running Budget Total]]-List[[#This Row],[Cash Out Total]]</f>
        <v>0</v>
      </c>
      <c r="AF162" s="85" t="str">
        <f>IF(AND(List[[#This Row],[Remaining]]=0,NOT(List[[#This Row],[Running Budget Total]]=0)),Status1,
IF(AND(List[[#This Row],[Remaining]]&lt;0,NOT(List[[#This Row],[Running Budget Total]]=0)),Status2,
IF(AND(List[[#This Row],[Remaining]]=0),Status3,
List[[#This Row],[Spent %]] &amp; Status4)))</f>
        <v>Cancelled</v>
      </c>
      <c r="AG162" s="86">
        <f>IFERROR(ROUND(100*List[[#This Row],[Cash Out Total]]/List[[#This Row],[Running Budget Total]],0),0)</f>
        <v>0</v>
      </c>
    </row>
    <row r="163" spans="1:33" ht="40" customHeight="1" x14ac:dyDescent="0.2">
      <c r="A163" s="73" t="s">
        <v>14</v>
      </c>
      <c r="B163" s="74" t="s">
        <v>35</v>
      </c>
      <c r="C163" s="73" t="s">
        <v>107</v>
      </c>
      <c r="D163" s="74" t="s">
        <v>307</v>
      </c>
      <c r="E163" s="74"/>
      <c r="F163" s="76"/>
      <c r="G163" s="75" t="s">
        <v>47</v>
      </c>
      <c r="H163" s="77">
        <f>DisplayToUSD/(_xlfn.IFNA(INDEX('Quick Inputs- Constants'!$B$15:$C$18,MATCH(List[[#This Row],[Currency]],'Quick Inputs- Constants'!B$15:B$18,0),2),1))</f>
        <v>2.4330900243309003E-3</v>
      </c>
      <c r="I163" s="62">
        <v>0</v>
      </c>
      <c r="J163" s="78">
        <v>0</v>
      </c>
      <c r="K163" s="79" t="s">
        <v>14</v>
      </c>
      <c r="L163" s="80">
        <f>List[[#This Row],[Exchange Rate]]*(1+IF(List[[#This Row],[Budget VAT]]="Yes",VATRate,0))*List[[#This Row],[Budget Quantity]]*List[[#This Row],[Budget Price]]</f>
        <v>0</v>
      </c>
      <c r="M163" s="63"/>
      <c r="N163" s="79"/>
      <c r="O163" s="79"/>
      <c r="P163" s="35">
        <f>IF(AND(ISBLANK(List[[#This Row],[Updated Quantity]]),ISBLANK(List[[#This Row],[Updated Price]]),ISBLANK(List[[#This Row],[Updated VAT]])),List[[#This Row],[Budget Total]],
List[[#This Row],[Exchange Rate]]*(1+IF(List[[#This Row],[Updated VAT]]="Yes",VATRate,0))*List[[#This Row],[Updated Quantity]]*List[[#This Row],[Updated Price]])</f>
        <v>0</v>
      </c>
      <c r="Q163" s="87">
        <f>100%</f>
        <v>1</v>
      </c>
      <c r="R163" s="82"/>
      <c r="S163" s="83"/>
      <c r="T163" s="79"/>
      <c r="U163" s="84"/>
      <c r="V163" s="64"/>
      <c r="W163" s="83"/>
      <c r="X163" s="84"/>
      <c r="Y163" s="84"/>
      <c r="Z163" s="64"/>
      <c r="AA163" s="83"/>
      <c r="AB163" s="84"/>
      <c r="AC163" s="84"/>
      <c r="AD16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3" s="81">
        <f>List[[#This Row],[Running Budget Total]]-List[[#This Row],[Cash Out Total]]</f>
        <v>0</v>
      </c>
      <c r="AF163" s="85" t="str">
        <f>IF(AND(List[[#This Row],[Remaining]]=0,NOT(List[[#This Row],[Running Budget Total]]=0)),Status1,
IF(AND(List[[#This Row],[Remaining]]&lt;0,NOT(List[[#This Row],[Running Budget Total]]=0)),Status2,
IF(AND(List[[#This Row],[Remaining]]=0),Status3,
List[[#This Row],[Spent %]] &amp; Status4)))</f>
        <v>Cancelled</v>
      </c>
      <c r="AG163" s="86">
        <f>IFERROR(ROUND(100*List[[#This Row],[Cash Out Total]]/List[[#This Row],[Running Budget Total]],0),0)</f>
        <v>0</v>
      </c>
    </row>
    <row r="164" spans="1:33" ht="40" customHeight="1" x14ac:dyDescent="0.2">
      <c r="A164" s="73" t="s">
        <v>14</v>
      </c>
      <c r="B164" s="74" t="s">
        <v>35</v>
      </c>
      <c r="C164" s="73" t="s">
        <v>107</v>
      </c>
      <c r="D164" s="74" t="s">
        <v>308</v>
      </c>
      <c r="E164" s="74"/>
      <c r="F164" s="76"/>
      <c r="G164" s="75" t="s">
        <v>47</v>
      </c>
      <c r="H164" s="77">
        <f>DisplayToUSD/(_xlfn.IFNA(INDEX('Quick Inputs- Constants'!$B$15:$C$18,MATCH(List[[#This Row],[Currency]],'Quick Inputs- Constants'!B$15:B$18,0),2),1))</f>
        <v>2.4330900243309003E-3</v>
      </c>
      <c r="I164" s="62">
        <v>0</v>
      </c>
      <c r="J164" s="78">
        <v>0</v>
      </c>
      <c r="K164" s="79" t="s">
        <v>14</v>
      </c>
      <c r="L164" s="80">
        <f>List[[#This Row],[Exchange Rate]]*(1+IF(List[[#This Row],[Budget VAT]]="Yes",VATRate,0))*List[[#This Row],[Budget Quantity]]*List[[#This Row],[Budget Price]]</f>
        <v>0</v>
      </c>
      <c r="M164" s="63"/>
      <c r="N164" s="79"/>
      <c r="O164" s="79"/>
      <c r="P164" s="88">
        <f>IF(AND(ISBLANK(List[[#This Row],[Updated Quantity]]),ISBLANK(List[[#This Row],[Updated Price]]),ISBLANK(List[[#This Row],[Updated VAT]])),List[[#This Row],[Budget Total]],
List[[#This Row],[Exchange Rate]]*(1+IF(List[[#This Row],[Updated VAT]]="Yes",VATRate,0))*List[[#This Row],[Updated Quantity]]*List[[#This Row],[Updated Price]])</f>
        <v>0</v>
      </c>
      <c r="Q164" s="87">
        <f>100%</f>
        <v>1</v>
      </c>
      <c r="R164" s="82"/>
      <c r="S164" s="83"/>
      <c r="T164" s="79"/>
      <c r="U164" s="84"/>
      <c r="V164" s="64"/>
      <c r="W164" s="83"/>
      <c r="X164" s="84"/>
      <c r="Y164" s="84"/>
      <c r="Z164" s="64"/>
      <c r="AA164" s="83"/>
      <c r="AB164" s="84"/>
      <c r="AC164" s="84"/>
      <c r="AD16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4" s="81">
        <f>List[[#This Row],[Running Budget Total]]-List[[#This Row],[Cash Out Total]]</f>
        <v>0</v>
      </c>
      <c r="AF164" s="85" t="str">
        <f>IF(AND(List[[#This Row],[Remaining]]=0,NOT(List[[#This Row],[Running Budget Total]]=0)),Status1,
IF(AND(List[[#This Row],[Remaining]]&lt;0,NOT(List[[#This Row],[Running Budget Total]]=0)),Status2,
IF(AND(List[[#This Row],[Remaining]]=0),Status3,
List[[#This Row],[Spent %]] &amp; Status4)))</f>
        <v>Cancelled</v>
      </c>
      <c r="AG164" s="86">
        <f>IFERROR(ROUND(100*List[[#This Row],[Cash Out Total]]/List[[#This Row],[Running Budget Total]],0),0)</f>
        <v>0</v>
      </c>
    </row>
    <row r="165" spans="1:33" ht="40" customHeight="1" x14ac:dyDescent="0.2">
      <c r="A165" s="73" t="s">
        <v>14</v>
      </c>
      <c r="B165" s="74" t="s">
        <v>35</v>
      </c>
      <c r="C165" s="73" t="s">
        <v>107</v>
      </c>
      <c r="D165" s="74" t="s">
        <v>309</v>
      </c>
      <c r="E165" s="74"/>
      <c r="F165" s="76"/>
      <c r="G165" s="75" t="s">
        <v>47</v>
      </c>
      <c r="H165" s="77">
        <f>DisplayToUSD/(_xlfn.IFNA(INDEX('Quick Inputs- Constants'!$B$15:$C$18,MATCH(List[[#This Row],[Currency]],'Quick Inputs- Constants'!B$15:B$18,0),2),1))</f>
        <v>2.4330900243309003E-3</v>
      </c>
      <c r="I165" s="62">
        <v>0</v>
      </c>
      <c r="J165" s="78">
        <v>0</v>
      </c>
      <c r="K165" s="79" t="s">
        <v>99</v>
      </c>
      <c r="L165" s="80">
        <f>List[[#This Row],[Exchange Rate]]*(1+IF(List[[#This Row],[Budget VAT]]="Yes",VATRate,0))*List[[#This Row],[Budget Quantity]]*List[[#This Row],[Budget Price]]</f>
        <v>0</v>
      </c>
      <c r="M165" s="63"/>
      <c r="N165" s="79"/>
      <c r="O165" s="79"/>
      <c r="P165" s="88">
        <f>IF(AND(ISBLANK(List[[#This Row],[Updated Quantity]]),ISBLANK(List[[#This Row],[Updated Price]]),ISBLANK(List[[#This Row],[Updated VAT]])),List[[#This Row],[Budget Total]],
List[[#This Row],[Exchange Rate]]*(1+IF(List[[#This Row],[Updated VAT]]="Yes",VATRate,0))*List[[#This Row],[Updated Quantity]]*List[[#This Row],[Updated Price]])</f>
        <v>0</v>
      </c>
      <c r="Q165" s="87">
        <f>100%</f>
        <v>1</v>
      </c>
      <c r="R165" s="82"/>
      <c r="S165" s="83"/>
      <c r="T165" s="79"/>
      <c r="U165" s="84"/>
      <c r="V165" s="64"/>
      <c r="W165" s="83"/>
      <c r="X165" s="84"/>
      <c r="Y165" s="84"/>
      <c r="Z165" s="64"/>
      <c r="AA165" s="83"/>
      <c r="AB165" s="84"/>
      <c r="AC165" s="84"/>
      <c r="AD16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5" s="81">
        <f>List[[#This Row],[Running Budget Total]]-List[[#This Row],[Cash Out Total]]</f>
        <v>0</v>
      </c>
      <c r="AF165" s="85" t="str">
        <f>IF(AND(List[[#This Row],[Remaining]]=0,NOT(List[[#This Row],[Running Budget Total]]=0)),Status1,
IF(AND(List[[#This Row],[Remaining]]&lt;0,NOT(List[[#This Row],[Running Budget Total]]=0)),Status2,
IF(AND(List[[#This Row],[Remaining]]=0),Status3,
List[[#This Row],[Spent %]] &amp; Status4)))</f>
        <v>Cancelled</v>
      </c>
      <c r="AG165" s="86">
        <f>IFERROR(ROUND(100*List[[#This Row],[Cash Out Total]]/List[[#This Row],[Running Budget Total]],0),0)</f>
        <v>0</v>
      </c>
    </row>
    <row r="166" spans="1:33" ht="40" customHeight="1" x14ac:dyDescent="0.2">
      <c r="A166" s="73" t="s">
        <v>14</v>
      </c>
      <c r="B166" s="74" t="s">
        <v>35</v>
      </c>
      <c r="C166" s="73" t="s">
        <v>107</v>
      </c>
      <c r="D166" s="74" t="s">
        <v>310</v>
      </c>
      <c r="E166" s="74"/>
      <c r="F166" s="76"/>
      <c r="G166" s="75" t="s">
        <v>47</v>
      </c>
      <c r="H166" s="77">
        <f>DisplayToUSD/(_xlfn.IFNA(INDEX('Quick Inputs- Constants'!$B$15:$C$18,MATCH(List[[#This Row],[Currency]],'Quick Inputs- Constants'!B$15:B$18,0),2),1))</f>
        <v>2.4330900243309003E-3</v>
      </c>
      <c r="I166" s="62">
        <v>0</v>
      </c>
      <c r="J166" s="78">
        <v>0</v>
      </c>
      <c r="K166" s="79" t="s">
        <v>14</v>
      </c>
      <c r="L166" s="80">
        <f>List[[#This Row],[Exchange Rate]]*(1+IF(List[[#This Row],[Budget VAT]]="Yes",VATRate,0))*List[[#This Row],[Budget Quantity]]*List[[#This Row],[Budget Price]]</f>
        <v>0</v>
      </c>
      <c r="M166" s="63"/>
      <c r="N166" s="79"/>
      <c r="O166" s="79"/>
      <c r="P166" s="88">
        <f>IF(AND(ISBLANK(List[[#This Row],[Updated Quantity]]),ISBLANK(List[[#This Row],[Updated Price]]),ISBLANK(List[[#This Row],[Updated VAT]])),List[[#This Row],[Budget Total]],
List[[#This Row],[Exchange Rate]]*(1+IF(List[[#This Row],[Updated VAT]]="Yes",VATRate,0))*List[[#This Row],[Updated Quantity]]*List[[#This Row],[Updated Price]])</f>
        <v>0</v>
      </c>
      <c r="Q166" s="87">
        <f>100%</f>
        <v>1</v>
      </c>
      <c r="R166" s="82"/>
      <c r="S166" s="83"/>
      <c r="T166" s="79"/>
      <c r="U166" s="84"/>
      <c r="V166" s="64"/>
      <c r="W166" s="83"/>
      <c r="X166" s="84"/>
      <c r="Y166" s="84"/>
      <c r="Z166" s="64"/>
      <c r="AA166" s="83"/>
      <c r="AB166" s="84"/>
      <c r="AC166" s="84"/>
      <c r="AD16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6" s="81">
        <f>List[[#This Row],[Running Budget Total]]-List[[#This Row],[Cash Out Total]]</f>
        <v>0</v>
      </c>
      <c r="AF166" s="85" t="str">
        <f>IF(AND(List[[#This Row],[Remaining]]=0,NOT(List[[#This Row],[Running Budget Total]]=0)),Status1,
IF(AND(List[[#This Row],[Remaining]]&lt;0,NOT(List[[#This Row],[Running Budget Total]]=0)),Status2,
IF(AND(List[[#This Row],[Remaining]]=0),Status3,
List[[#This Row],[Spent %]] &amp; Status4)))</f>
        <v>Cancelled</v>
      </c>
      <c r="AG166" s="86">
        <f>IFERROR(ROUND(100*List[[#This Row],[Cash Out Total]]/List[[#This Row],[Running Budget Total]],0),0)</f>
        <v>0</v>
      </c>
    </row>
    <row r="167" spans="1:33" ht="40" customHeight="1" x14ac:dyDescent="0.2">
      <c r="A167" s="73" t="s">
        <v>14</v>
      </c>
      <c r="B167" s="74" t="s">
        <v>35</v>
      </c>
      <c r="C167" s="73" t="s">
        <v>107</v>
      </c>
      <c r="D167" s="74" t="s">
        <v>311</v>
      </c>
      <c r="E167" s="74"/>
      <c r="F167" s="76"/>
      <c r="G167" s="75" t="s">
        <v>47</v>
      </c>
      <c r="H167" s="77">
        <f>DisplayToUSD/(_xlfn.IFNA(INDEX('Quick Inputs- Constants'!$B$15:$C$18,MATCH(List[[#This Row],[Currency]],'Quick Inputs- Constants'!B$15:B$18,0),2),1))</f>
        <v>2.4330900243309003E-3</v>
      </c>
      <c r="I167" s="62">
        <v>0</v>
      </c>
      <c r="J167" s="78">
        <v>0</v>
      </c>
      <c r="K167" s="79" t="s">
        <v>14</v>
      </c>
      <c r="L167" s="80">
        <f>List[[#This Row],[Exchange Rate]]*(1+IF(List[[#This Row],[Budget VAT]]="Yes",VATRate,0))*List[[#This Row],[Budget Quantity]]*List[[#This Row],[Budget Price]]</f>
        <v>0</v>
      </c>
      <c r="M167" s="63"/>
      <c r="N167" s="79"/>
      <c r="O167" s="79"/>
      <c r="P167" s="88">
        <f>IF(AND(ISBLANK(List[[#This Row],[Updated Quantity]]),ISBLANK(List[[#This Row],[Updated Price]]),ISBLANK(List[[#This Row],[Updated VAT]])),List[[#This Row],[Budget Total]],
List[[#This Row],[Exchange Rate]]*(1+IF(List[[#This Row],[Updated VAT]]="Yes",VATRate,0))*List[[#This Row],[Updated Quantity]]*List[[#This Row],[Updated Price]])</f>
        <v>0</v>
      </c>
      <c r="Q167" s="87">
        <f>100%</f>
        <v>1</v>
      </c>
      <c r="R167" s="82"/>
      <c r="S167" s="83"/>
      <c r="T167" s="79"/>
      <c r="U167" s="84"/>
      <c r="V167" s="64"/>
      <c r="W167" s="83"/>
      <c r="X167" s="84"/>
      <c r="Y167" s="84"/>
      <c r="Z167" s="64"/>
      <c r="AA167" s="83"/>
      <c r="AB167" s="84"/>
      <c r="AC167" s="84"/>
      <c r="AD16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7" s="81">
        <f>List[[#This Row],[Running Budget Total]]-List[[#This Row],[Cash Out Total]]</f>
        <v>0</v>
      </c>
      <c r="AF167" s="85" t="str">
        <f>IF(AND(List[[#This Row],[Remaining]]=0,NOT(List[[#This Row],[Running Budget Total]]=0)),Status1,
IF(AND(List[[#This Row],[Remaining]]&lt;0,NOT(List[[#This Row],[Running Budget Total]]=0)),Status2,
IF(AND(List[[#This Row],[Remaining]]=0),Status3,
List[[#This Row],[Spent %]] &amp; Status4)))</f>
        <v>Cancelled</v>
      </c>
      <c r="AG167" s="86">
        <f>IFERROR(ROUND(100*List[[#This Row],[Cash Out Total]]/List[[#This Row],[Running Budget Total]],0),0)</f>
        <v>0</v>
      </c>
    </row>
    <row r="168" spans="1:33" ht="40" customHeight="1" x14ac:dyDescent="0.2">
      <c r="A168" s="73" t="s">
        <v>14</v>
      </c>
      <c r="B168" s="74" t="s">
        <v>35</v>
      </c>
      <c r="C168" s="73" t="s">
        <v>107</v>
      </c>
      <c r="D168" s="74" t="s">
        <v>602</v>
      </c>
      <c r="E168" s="74"/>
      <c r="F168" s="76"/>
      <c r="G168" s="75" t="s">
        <v>47</v>
      </c>
      <c r="H168" s="77">
        <f>DisplayToUSD/(_xlfn.IFNA(INDEX('Quick Inputs- Constants'!$B$15:$C$18,MATCH(List[[#This Row],[Currency]],'Quick Inputs- Constants'!B$15:B$18,0),2),1))</f>
        <v>2.4330900243309003E-3</v>
      </c>
      <c r="I168" s="62">
        <v>0</v>
      </c>
      <c r="J168" s="78">
        <v>0</v>
      </c>
      <c r="K168" s="79" t="s">
        <v>99</v>
      </c>
      <c r="L168" s="80">
        <f>List[[#This Row],[Exchange Rate]]*(1+IF(List[[#This Row],[Budget VAT]]="Yes",VATRate,0))*List[[#This Row],[Budget Quantity]]*List[[#This Row],[Budget Price]]</f>
        <v>0</v>
      </c>
      <c r="M168" s="63"/>
      <c r="N168" s="79"/>
      <c r="O168" s="79"/>
      <c r="P168" s="88">
        <f>IF(AND(ISBLANK(List[[#This Row],[Updated Quantity]]),ISBLANK(List[[#This Row],[Updated Price]]),ISBLANK(List[[#This Row],[Updated VAT]])),List[[#This Row],[Budget Total]],
List[[#This Row],[Exchange Rate]]*(1+IF(List[[#This Row],[Updated VAT]]="Yes",VATRate,0))*List[[#This Row],[Updated Quantity]]*List[[#This Row],[Updated Price]])</f>
        <v>0</v>
      </c>
      <c r="Q168" s="87">
        <f>100%</f>
        <v>1</v>
      </c>
      <c r="R168" s="82"/>
      <c r="S168" s="83"/>
      <c r="T168" s="79"/>
      <c r="U168" s="84"/>
      <c r="V168" s="64"/>
      <c r="W168" s="83"/>
      <c r="X168" s="84"/>
      <c r="Y168" s="84"/>
      <c r="Z168" s="64"/>
      <c r="AA168" s="83"/>
      <c r="AB168" s="84"/>
      <c r="AC168" s="84"/>
      <c r="AD16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8" s="81">
        <f>List[[#This Row],[Running Budget Total]]-List[[#This Row],[Cash Out Total]]</f>
        <v>0</v>
      </c>
      <c r="AF168" s="85" t="str">
        <f>IF(AND(List[[#This Row],[Remaining]]=0,NOT(List[[#This Row],[Running Budget Total]]=0)),Status1,
IF(AND(List[[#This Row],[Remaining]]&lt;0,NOT(List[[#This Row],[Running Budget Total]]=0)),Status2,
IF(AND(List[[#This Row],[Remaining]]=0),Status3,
List[[#This Row],[Spent %]] &amp; Status4)))</f>
        <v>Cancelled</v>
      </c>
      <c r="AG168" s="86">
        <f>IFERROR(ROUND(100*List[[#This Row],[Cash Out Total]]/List[[#This Row],[Running Budget Total]],0),0)</f>
        <v>0</v>
      </c>
    </row>
    <row r="169" spans="1:33" ht="40" customHeight="1" x14ac:dyDescent="0.2">
      <c r="A169" s="73" t="s">
        <v>14</v>
      </c>
      <c r="B169" s="74" t="s">
        <v>35</v>
      </c>
      <c r="C169" s="73" t="s">
        <v>16</v>
      </c>
      <c r="D169" s="74" t="s">
        <v>312</v>
      </c>
      <c r="E169" s="74"/>
      <c r="F169" s="76"/>
      <c r="G169" s="75" t="s">
        <v>47</v>
      </c>
      <c r="H169" s="77">
        <f>DisplayToUSD/(_xlfn.IFNA(INDEX('Quick Inputs- Constants'!$B$15:$C$18,MATCH(List[[#This Row],[Currency]],'Quick Inputs- Constants'!B$15:B$18,0),2),1))</f>
        <v>2.4330900243309003E-3</v>
      </c>
      <c r="I169" s="62">
        <v>0</v>
      </c>
      <c r="J169" s="78">
        <v>0</v>
      </c>
      <c r="K169" s="79" t="s">
        <v>14</v>
      </c>
      <c r="L169" s="80">
        <f>List[[#This Row],[Exchange Rate]]*(1+IF(List[[#This Row],[Budget VAT]]="Yes",VATRate,0))*List[[#This Row],[Budget Quantity]]*List[[#This Row],[Budget Price]]</f>
        <v>0</v>
      </c>
      <c r="M169" s="63"/>
      <c r="N169" s="79"/>
      <c r="O169" s="79"/>
      <c r="P169" s="88">
        <f>IF(AND(ISBLANK(List[[#This Row],[Updated Quantity]]),ISBLANK(List[[#This Row],[Updated Price]]),ISBLANK(List[[#This Row],[Updated VAT]])),List[[#This Row],[Budget Total]],
List[[#This Row],[Exchange Rate]]*(1+IF(List[[#This Row],[Updated VAT]]="Yes",VATRate,0))*List[[#This Row],[Updated Quantity]]*List[[#This Row],[Updated Price]])</f>
        <v>0</v>
      </c>
      <c r="Q169" s="87">
        <f>100%</f>
        <v>1</v>
      </c>
      <c r="R169" s="82"/>
      <c r="S169" s="83"/>
      <c r="T169" s="79"/>
      <c r="U169" s="84"/>
      <c r="V169" s="64"/>
      <c r="W169" s="83"/>
      <c r="X169" s="84"/>
      <c r="Y169" s="84"/>
      <c r="Z169" s="64"/>
      <c r="AA169" s="83"/>
      <c r="AB169" s="84"/>
      <c r="AC169" s="84"/>
      <c r="AD169"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9" s="81">
        <f>List[[#This Row],[Running Budget Total]]-List[[#This Row],[Cash Out Total]]</f>
        <v>0</v>
      </c>
      <c r="AF169" s="85" t="str">
        <f>IF(AND(List[[#This Row],[Remaining]]=0,NOT(List[[#This Row],[Running Budget Total]]=0)),Status1,
IF(AND(List[[#This Row],[Remaining]]&lt;0,NOT(List[[#This Row],[Running Budget Total]]=0)),Status2,
IF(AND(List[[#This Row],[Remaining]]=0),Status3,
List[[#This Row],[Spent %]] &amp; Status4)))</f>
        <v>Cancelled</v>
      </c>
      <c r="AG169" s="86">
        <f>IFERROR(ROUND(100*List[[#This Row],[Cash Out Total]]/List[[#This Row],[Running Budget Total]],0),0)</f>
        <v>0</v>
      </c>
    </row>
    <row r="170" spans="1:33" ht="40" customHeight="1" x14ac:dyDescent="0.2">
      <c r="A170" s="73" t="s">
        <v>14</v>
      </c>
      <c r="B170" s="74" t="s">
        <v>35</v>
      </c>
      <c r="C170" s="73" t="s">
        <v>16</v>
      </c>
      <c r="D170" s="74" t="s">
        <v>277</v>
      </c>
      <c r="E170" s="74"/>
      <c r="F170" s="76"/>
      <c r="G170" s="75" t="s">
        <v>47</v>
      </c>
      <c r="H170" s="77">
        <f>DisplayToUSD/(_xlfn.IFNA(INDEX('Quick Inputs- Constants'!$B$15:$C$18,MATCH(List[[#This Row],[Currency]],'Quick Inputs- Constants'!B$15:B$18,0),2),1))</f>
        <v>2.4330900243309003E-3</v>
      </c>
      <c r="I170" s="62">
        <v>0</v>
      </c>
      <c r="J170" s="78">
        <v>0</v>
      </c>
      <c r="K170" s="79" t="s">
        <v>14</v>
      </c>
      <c r="L170" s="80">
        <f>List[[#This Row],[Exchange Rate]]*(1+IF(List[[#This Row],[Budget VAT]]="Yes",VATRate,0))*List[[#This Row],[Budget Quantity]]*List[[#This Row],[Budget Price]]</f>
        <v>0</v>
      </c>
      <c r="M170" s="63"/>
      <c r="N170" s="79"/>
      <c r="O170" s="79"/>
      <c r="P170" s="88">
        <f>IF(AND(ISBLANK(List[[#This Row],[Updated Quantity]]),ISBLANK(List[[#This Row],[Updated Price]]),ISBLANK(List[[#This Row],[Updated VAT]])),List[[#This Row],[Budget Total]],
List[[#This Row],[Exchange Rate]]*(1+IF(List[[#This Row],[Updated VAT]]="Yes",VATRate,0))*List[[#This Row],[Updated Quantity]]*List[[#This Row],[Updated Price]])</f>
        <v>0</v>
      </c>
      <c r="Q170" s="87">
        <f>100%</f>
        <v>1</v>
      </c>
      <c r="R170" s="82"/>
      <c r="S170" s="83"/>
      <c r="T170" s="79"/>
      <c r="U170" s="84"/>
      <c r="V170" s="64"/>
      <c r="W170" s="83"/>
      <c r="X170" s="84"/>
      <c r="Y170" s="84"/>
      <c r="Z170" s="64"/>
      <c r="AA170" s="83"/>
      <c r="AB170" s="84"/>
      <c r="AC170" s="84"/>
      <c r="AD170"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0" s="81">
        <f>List[[#This Row],[Running Budget Total]]-List[[#This Row],[Cash Out Total]]</f>
        <v>0</v>
      </c>
      <c r="AF170" s="85" t="str">
        <f>IF(AND(List[[#This Row],[Remaining]]=0,NOT(List[[#This Row],[Running Budget Total]]=0)),Status1,
IF(AND(List[[#This Row],[Remaining]]&lt;0,NOT(List[[#This Row],[Running Budget Total]]=0)),Status2,
IF(AND(List[[#This Row],[Remaining]]=0),Status3,
List[[#This Row],[Spent %]] &amp; Status4)))</f>
        <v>Cancelled</v>
      </c>
      <c r="AG170" s="86">
        <f>IFERROR(ROUND(100*List[[#This Row],[Cash Out Total]]/List[[#This Row],[Running Budget Total]],0),0)</f>
        <v>0</v>
      </c>
    </row>
    <row r="171" spans="1:33" ht="40" customHeight="1" x14ac:dyDescent="0.2">
      <c r="A171" s="73" t="s">
        <v>14</v>
      </c>
      <c r="B171" s="74" t="s">
        <v>35</v>
      </c>
      <c r="C171" s="73" t="s">
        <v>16</v>
      </c>
      <c r="D171" s="74" t="s">
        <v>313</v>
      </c>
      <c r="E171" s="74"/>
      <c r="F171" s="76"/>
      <c r="G171" s="75" t="s">
        <v>47</v>
      </c>
      <c r="H171" s="77">
        <f>DisplayToUSD/(_xlfn.IFNA(INDEX('Quick Inputs- Constants'!$B$15:$C$18,MATCH(List[[#This Row],[Currency]],'Quick Inputs- Constants'!B$15:B$18,0),2),1))</f>
        <v>2.4330900243309003E-3</v>
      </c>
      <c r="I171" s="62">
        <v>0</v>
      </c>
      <c r="J171" s="78">
        <v>0</v>
      </c>
      <c r="K171" s="79" t="s">
        <v>14</v>
      </c>
      <c r="L171" s="80">
        <f>List[[#This Row],[Exchange Rate]]*(1+IF(List[[#This Row],[Budget VAT]]="Yes",VATRate,0))*List[[#This Row],[Budget Quantity]]*List[[#This Row],[Budget Price]]</f>
        <v>0</v>
      </c>
      <c r="M171" s="63"/>
      <c r="N171" s="79"/>
      <c r="O171" s="79"/>
      <c r="P171" s="88">
        <f>IF(AND(ISBLANK(List[[#This Row],[Updated Quantity]]),ISBLANK(List[[#This Row],[Updated Price]]),ISBLANK(List[[#This Row],[Updated VAT]])),List[[#This Row],[Budget Total]],
List[[#This Row],[Exchange Rate]]*(1+IF(List[[#This Row],[Updated VAT]]="Yes",VATRate,0))*List[[#This Row],[Updated Quantity]]*List[[#This Row],[Updated Price]])</f>
        <v>0</v>
      </c>
      <c r="Q171" s="87">
        <f>100%</f>
        <v>1</v>
      </c>
      <c r="R171" s="82"/>
      <c r="S171" s="83"/>
      <c r="T171" s="79"/>
      <c r="U171" s="84"/>
      <c r="V171" s="64"/>
      <c r="W171" s="83"/>
      <c r="X171" s="84"/>
      <c r="Y171" s="84"/>
      <c r="Z171" s="64"/>
      <c r="AA171" s="83"/>
      <c r="AB171" s="84"/>
      <c r="AC171" s="84"/>
      <c r="AD171"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1" s="81">
        <f>List[[#This Row],[Running Budget Total]]-List[[#This Row],[Cash Out Total]]</f>
        <v>0</v>
      </c>
      <c r="AF171" s="85" t="str">
        <f>IF(AND(List[[#This Row],[Remaining]]=0,NOT(List[[#This Row],[Running Budget Total]]=0)),Status1,
IF(AND(List[[#This Row],[Remaining]]&lt;0,NOT(List[[#This Row],[Running Budget Total]]=0)),Status2,
IF(AND(List[[#This Row],[Remaining]]=0),Status3,
List[[#This Row],[Spent %]] &amp; Status4)))</f>
        <v>Cancelled</v>
      </c>
      <c r="AG171" s="86">
        <f>IFERROR(ROUND(100*List[[#This Row],[Cash Out Total]]/List[[#This Row],[Running Budget Total]],0),0)</f>
        <v>0</v>
      </c>
    </row>
    <row r="172" spans="1:33" ht="40" customHeight="1" x14ac:dyDescent="0.2">
      <c r="A172" s="73" t="s">
        <v>14</v>
      </c>
      <c r="B172" s="74" t="s">
        <v>35</v>
      </c>
      <c r="C172" s="73" t="s">
        <v>16</v>
      </c>
      <c r="D172" s="74" t="s">
        <v>314</v>
      </c>
      <c r="E172" s="74"/>
      <c r="F172" s="76"/>
      <c r="G172" s="75" t="s">
        <v>47</v>
      </c>
      <c r="H172" s="77">
        <f>DisplayToUSD/(_xlfn.IFNA(INDEX('Quick Inputs- Constants'!$B$15:$C$18,MATCH(List[[#This Row],[Currency]],'Quick Inputs- Constants'!B$15:B$18,0),2),1))</f>
        <v>2.4330900243309003E-3</v>
      </c>
      <c r="I172" s="62">
        <v>0</v>
      </c>
      <c r="J172" s="78">
        <v>0</v>
      </c>
      <c r="K172" s="79" t="s">
        <v>14</v>
      </c>
      <c r="L172" s="80">
        <f>List[[#This Row],[Exchange Rate]]*(1+IF(List[[#This Row],[Budget VAT]]="Yes",VATRate,0))*List[[#This Row],[Budget Quantity]]*List[[#This Row],[Budget Price]]</f>
        <v>0</v>
      </c>
      <c r="M172" s="63"/>
      <c r="N172" s="79"/>
      <c r="O172" s="79"/>
      <c r="P172" s="88">
        <f>IF(AND(ISBLANK(List[[#This Row],[Updated Quantity]]),ISBLANK(List[[#This Row],[Updated Price]]),ISBLANK(List[[#This Row],[Updated VAT]])),List[[#This Row],[Budget Total]],
List[[#This Row],[Exchange Rate]]*(1+IF(List[[#This Row],[Updated VAT]]="Yes",VATRate,0))*List[[#This Row],[Updated Quantity]]*List[[#This Row],[Updated Price]])</f>
        <v>0</v>
      </c>
      <c r="Q172" s="87">
        <f>100%</f>
        <v>1</v>
      </c>
      <c r="R172" s="82"/>
      <c r="S172" s="83"/>
      <c r="T172" s="79"/>
      <c r="U172" s="84"/>
      <c r="V172" s="64"/>
      <c r="W172" s="83"/>
      <c r="X172" s="84"/>
      <c r="Y172" s="84"/>
      <c r="Z172" s="64"/>
      <c r="AA172" s="83"/>
      <c r="AB172" s="84"/>
      <c r="AC172" s="84"/>
      <c r="AD172"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2" s="81">
        <f>List[[#This Row],[Running Budget Total]]-List[[#This Row],[Cash Out Total]]</f>
        <v>0</v>
      </c>
      <c r="AF172" s="85" t="str">
        <f>IF(AND(List[[#This Row],[Remaining]]=0,NOT(List[[#This Row],[Running Budget Total]]=0)),Status1,
IF(AND(List[[#This Row],[Remaining]]&lt;0,NOT(List[[#This Row],[Running Budget Total]]=0)),Status2,
IF(AND(List[[#This Row],[Remaining]]=0),Status3,
List[[#This Row],[Spent %]] &amp; Status4)))</f>
        <v>Cancelled</v>
      </c>
      <c r="AG172" s="86">
        <f>IFERROR(ROUND(100*List[[#This Row],[Cash Out Total]]/List[[#This Row],[Running Budget Total]],0),0)</f>
        <v>0</v>
      </c>
    </row>
    <row r="173" spans="1:33" ht="40" customHeight="1" x14ac:dyDescent="0.2">
      <c r="A173" s="11" t="s">
        <v>14</v>
      </c>
      <c r="B173" s="22" t="s">
        <v>36</v>
      </c>
      <c r="C173" s="11" t="s">
        <v>31</v>
      </c>
      <c r="D173" s="22" t="s">
        <v>91</v>
      </c>
      <c r="E173" s="22"/>
      <c r="F173" s="21" t="s">
        <v>603</v>
      </c>
      <c r="G173" s="51" t="s">
        <v>47</v>
      </c>
      <c r="H173" s="37">
        <f>DisplayToUSD/(_xlfn.IFNA(INDEX('Quick Inputs- Constants'!$B$15:$C$18,MATCH(List[[#This Row],[Currency]],'Quick Inputs- Constants'!B$15:B$18,0),2),1))</f>
        <v>2.4330900243309003E-3</v>
      </c>
      <c r="I173" s="62">
        <v>3</v>
      </c>
      <c r="J173" s="52">
        <v>6000</v>
      </c>
      <c r="K173" s="53" t="s">
        <v>14</v>
      </c>
      <c r="L173" s="54">
        <f>List[[#This Row],[Exchange Rate]]*(1+IF(List[[#This Row],[Budget VAT]]="Yes",VATRate,0))*List[[#This Row],[Budget Quantity]]*List[[#This Row],[Budget Price]]</f>
        <v>43.795620437956202</v>
      </c>
      <c r="M173" s="63"/>
      <c r="N173" s="53"/>
      <c r="O173" s="53"/>
      <c r="P173" s="88">
        <f>IF(AND(ISBLANK(List[[#This Row],[Updated Quantity]]),ISBLANK(List[[#This Row],[Updated Price]]),ISBLANK(List[[#This Row],[Updated VAT]])),List[[#This Row],[Budget Total]],
List[[#This Row],[Exchange Rate]]*(1+IF(List[[#This Row],[Updated VAT]]="Yes",VATRate,0))*List[[#This Row],[Updated Quantity]]*List[[#This Row],[Updated Price]])</f>
        <v>43.795620437956202</v>
      </c>
      <c r="Q173" s="87">
        <f>100%</f>
        <v>1</v>
      </c>
      <c r="R173" s="61"/>
      <c r="S173" s="55"/>
      <c r="T173" s="53"/>
      <c r="U173" s="56"/>
      <c r="V173" s="64"/>
      <c r="W173" s="55"/>
      <c r="X173" s="56"/>
      <c r="Y173" s="56"/>
      <c r="Z173" s="64"/>
      <c r="AA173" s="55"/>
      <c r="AB173" s="56"/>
      <c r="AC173" s="56"/>
      <c r="AD173"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3" s="35">
        <f>List[[#This Row],[Running Budget Total]]-List[[#This Row],[Cash Out Total]]</f>
        <v>43.795620437956202</v>
      </c>
      <c r="AF173" s="36" t="str">
        <f>IF(AND(List[[#This Row],[Remaining]]=0,NOT(List[[#This Row],[Running Budget Total]]=0)),Status1,
IF(AND(List[[#This Row],[Remaining]]&lt;0,NOT(List[[#This Row],[Running Budget Total]]=0)),Status2,
IF(AND(List[[#This Row],[Remaining]]=0),Status3,
List[[#This Row],[Spent %]] &amp; Status4)))</f>
        <v>0% paid</v>
      </c>
      <c r="AG173" s="57">
        <f>IFERROR(ROUND(100*List[[#This Row],[Cash Out Total]]/List[[#This Row],[Running Budget Total]],0),0)</f>
        <v>0</v>
      </c>
    </row>
    <row r="174" spans="1:33" ht="40" customHeight="1" x14ac:dyDescent="0.2">
      <c r="A174" s="11" t="s">
        <v>14</v>
      </c>
      <c r="B174" s="22" t="s">
        <v>36</v>
      </c>
      <c r="C174" s="11" t="s">
        <v>106</v>
      </c>
      <c r="D174" s="22" t="s">
        <v>92</v>
      </c>
      <c r="E174" s="22"/>
      <c r="F174" s="21" t="s">
        <v>347</v>
      </c>
      <c r="G174" s="51" t="s">
        <v>47</v>
      </c>
      <c r="H174" s="37">
        <f>DisplayToUSD/(_xlfn.IFNA(INDEX('Quick Inputs- Constants'!$B$15:$C$18,MATCH(List[[#This Row],[Currency]],'Quick Inputs- Constants'!B$15:B$18,0),2),1))</f>
        <v>2.4330900243309003E-3</v>
      </c>
      <c r="I174" s="62">
        <v>63</v>
      </c>
      <c r="J174" s="52">
        <v>12000</v>
      </c>
      <c r="K174" s="53" t="s">
        <v>99</v>
      </c>
      <c r="L174" s="54">
        <f>List[[#This Row],[Exchange Rate]]*(1+IF(List[[#This Row],[Budget VAT]]="Yes",VATRate,0))*List[[#This Row],[Budget Quantity]]*List[[#This Row],[Budget Price]]</f>
        <v>1977.3722627737225</v>
      </c>
      <c r="M174" s="63"/>
      <c r="N174" s="53"/>
      <c r="O174" s="53"/>
      <c r="P174" s="88">
        <f>IF(AND(ISBLANK(List[[#This Row],[Updated Quantity]]),ISBLANK(List[[#This Row],[Updated Price]]),ISBLANK(List[[#This Row],[Updated VAT]])),List[[#This Row],[Budget Total]],
List[[#This Row],[Exchange Rate]]*(1+IF(List[[#This Row],[Updated VAT]]="Yes",VATRate,0))*List[[#This Row],[Updated Quantity]]*List[[#This Row],[Updated Price]])</f>
        <v>1977.3722627737225</v>
      </c>
      <c r="Q174" s="87">
        <f>100%</f>
        <v>1</v>
      </c>
      <c r="R174" s="61"/>
      <c r="S174" s="55"/>
      <c r="T174" s="53"/>
      <c r="U174" s="56"/>
      <c r="V174" s="64"/>
      <c r="W174" s="55"/>
      <c r="X174" s="56"/>
      <c r="Y174" s="56"/>
      <c r="Z174" s="64"/>
      <c r="AA174" s="55"/>
      <c r="AB174" s="56"/>
      <c r="AC174" s="56"/>
      <c r="AD174"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4" s="35">
        <f>List[[#This Row],[Running Budget Total]]-List[[#This Row],[Cash Out Total]]</f>
        <v>1977.3722627737225</v>
      </c>
      <c r="AF174" s="36" t="str">
        <f>IF(AND(List[[#This Row],[Remaining]]=0,NOT(List[[#This Row],[Running Budget Total]]=0)),Status1,
IF(AND(List[[#This Row],[Remaining]]&lt;0,NOT(List[[#This Row],[Running Budget Total]]=0)),Status2,
IF(AND(List[[#This Row],[Remaining]]=0),Status3,
List[[#This Row],[Spent %]] &amp; Status4)))</f>
        <v>0% paid</v>
      </c>
      <c r="AG174" s="57">
        <f>IFERROR(ROUND(100*List[[#This Row],[Cash Out Total]]/List[[#This Row],[Running Budget Total]],0),0)</f>
        <v>0</v>
      </c>
    </row>
    <row r="175" spans="1:33" ht="40" customHeight="1" x14ac:dyDescent="0.2">
      <c r="A175" s="11" t="s">
        <v>14</v>
      </c>
      <c r="B175" s="22" t="s">
        <v>36</v>
      </c>
      <c r="C175" s="11" t="s">
        <v>106</v>
      </c>
      <c r="D175" s="22" t="s">
        <v>93</v>
      </c>
      <c r="E175" s="22"/>
      <c r="F175" s="21" t="s">
        <v>347</v>
      </c>
      <c r="G175" s="51" t="s">
        <v>47</v>
      </c>
      <c r="H175" s="37">
        <f>DisplayToUSD/(_xlfn.IFNA(INDEX('Quick Inputs- Constants'!$B$15:$C$18,MATCH(List[[#This Row],[Currency]],'Quick Inputs- Constants'!B$15:B$18,0),2),1))</f>
        <v>2.4330900243309003E-3</v>
      </c>
      <c r="I175" s="62">
        <v>63</v>
      </c>
      <c r="J175" s="52">
        <v>4000</v>
      </c>
      <c r="K175" s="53" t="s">
        <v>14</v>
      </c>
      <c r="L175" s="54">
        <f>List[[#This Row],[Exchange Rate]]*(1+IF(List[[#This Row],[Budget VAT]]="Yes",VATRate,0))*List[[#This Row],[Budget Quantity]]*List[[#This Row],[Budget Price]]</f>
        <v>613.13868613138686</v>
      </c>
      <c r="M175" s="63"/>
      <c r="N175" s="53"/>
      <c r="O175" s="53"/>
      <c r="P175" s="88">
        <f>IF(AND(ISBLANK(List[[#This Row],[Updated Quantity]]),ISBLANK(List[[#This Row],[Updated Price]]),ISBLANK(List[[#This Row],[Updated VAT]])),List[[#This Row],[Budget Total]],
List[[#This Row],[Exchange Rate]]*(1+IF(List[[#This Row],[Updated VAT]]="Yes",VATRate,0))*List[[#This Row],[Updated Quantity]]*List[[#This Row],[Updated Price]])</f>
        <v>613.13868613138686</v>
      </c>
      <c r="Q175" s="87">
        <f>100%</f>
        <v>1</v>
      </c>
      <c r="R175" s="61"/>
      <c r="S175" s="55"/>
      <c r="T175" s="53"/>
      <c r="U175" s="56"/>
      <c r="V175" s="64"/>
      <c r="W175" s="55"/>
      <c r="X175" s="56"/>
      <c r="Y175" s="56"/>
      <c r="Z175" s="64"/>
      <c r="AA175" s="55"/>
      <c r="AB175" s="56"/>
      <c r="AC175" s="56"/>
      <c r="AD175"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5" s="35">
        <f>List[[#This Row],[Running Budget Total]]-List[[#This Row],[Cash Out Total]]</f>
        <v>613.13868613138686</v>
      </c>
      <c r="AF175" s="36" t="str">
        <f>IF(AND(List[[#This Row],[Remaining]]=0,NOT(List[[#This Row],[Running Budget Total]]=0)),Status1,
IF(AND(List[[#This Row],[Remaining]]&lt;0,NOT(List[[#This Row],[Running Budget Total]]=0)),Status2,
IF(AND(List[[#This Row],[Remaining]]=0),Status3,
List[[#This Row],[Spent %]] &amp; Status4)))</f>
        <v>0% paid</v>
      </c>
      <c r="AG175" s="57">
        <f>IFERROR(ROUND(100*List[[#This Row],[Cash Out Total]]/List[[#This Row],[Running Budget Total]],0),0)</f>
        <v>0</v>
      </c>
    </row>
    <row r="176" spans="1:33" ht="40" customHeight="1" x14ac:dyDescent="0.2">
      <c r="A176" s="11" t="s">
        <v>14</v>
      </c>
      <c r="B176" s="22" t="s">
        <v>36</v>
      </c>
      <c r="C176" s="11" t="s">
        <v>106</v>
      </c>
      <c r="D176" s="22" t="s">
        <v>316</v>
      </c>
      <c r="E176" s="22"/>
      <c r="F176" s="21" t="s">
        <v>348</v>
      </c>
      <c r="G176" s="51" t="s">
        <v>47</v>
      </c>
      <c r="H176" s="37">
        <f>DisplayToUSD/(_xlfn.IFNA(INDEX('Quick Inputs- Constants'!$B$15:$C$18,MATCH(List[[#This Row],[Currency]],'Quick Inputs- Constants'!B$15:B$18,0),2),1))</f>
        <v>2.4330900243309003E-3</v>
      </c>
      <c r="I176" s="62">
        <v>3</v>
      </c>
      <c r="J176" s="52">
        <v>40000</v>
      </c>
      <c r="K176" s="53" t="s">
        <v>99</v>
      </c>
      <c r="L176" s="54">
        <f>List[[#This Row],[Exchange Rate]]*(1+IF(List[[#This Row],[Budget VAT]]="Yes",VATRate,0))*List[[#This Row],[Budget Quantity]]*List[[#This Row],[Budget Price]]</f>
        <v>313.86861313868616</v>
      </c>
      <c r="M176" s="63"/>
      <c r="N176" s="53"/>
      <c r="O176" s="53"/>
      <c r="P176" s="88">
        <f>IF(AND(ISBLANK(List[[#This Row],[Updated Quantity]]),ISBLANK(List[[#This Row],[Updated Price]]),ISBLANK(List[[#This Row],[Updated VAT]])),List[[#This Row],[Budget Total]],
List[[#This Row],[Exchange Rate]]*(1+IF(List[[#This Row],[Updated VAT]]="Yes",VATRate,0))*List[[#This Row],[Updated Quantity]]*List[[#This Row],[Updated Price]])</f>
        <v>313.86861313868616</v>
      </c>
      <c r="Q176" s="87">
        <f>100%</f>
        <v>1</v>
      </c>
      <c r="R176" s="61"/>
      <c r="S176" s="55"/>
      <c r="T176" s="53"/>
      <c r="U176" s="56"/>
      <c r="V176" s="64"/>
      <c r="W176" s="55"/>
      <c r="X176" s="56"/>
      <c r="Y176" s="56"/>
      <c r="Z176" s="64"/>
      <c r="AA176" s="55"/>
      <c r="AB176" s="56"/>
      <c r="AC176" s="56"/>
      <c r="AD176"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6" s="35">
        <f>List[[#This Row],[Running Budget Total]]-List[[#This Row],[Cash Out Total]]</f>
        <v>313.86861313868616</v>
      </c>
      <c r="AF176" s="36" t="str">
        <f>IF(AND(List[[#This Row],[Remaining]]=0,NOT(List[[#This Row],[Running Budget Total]]=0)),Status1,
IF(AND(List[[#This Row],[Remaining]]&lt;0,NOT(List[[#This Row],[Running Budget Total]]=0)),Status2,
IF(AND(List[[#This Row],[Remaining]]=0),Status3,
List[[#This Row],[Spent %]] &amp; Status4)))</f>
        <v>0% paid</v>
      </c>
      <c r="AG176" s="57">
        <f>IFERROR(ROUND(100*List[[#This Row],[Cash Out Total]]/List[[#This Row],[Running Budget Total]],0),0)</f>
        <v>0</v>
      </c>
    </row>
    <row r="177" spans="1:33" ht="40" customHeight="1" x14ac:dyDescent="0.2">
      <c r="A177" s="11" t="s">
        <v>14</v>
      </c>
      <c r="B177" s="22" t="s">
        <v>36</v>
      </c>
      <c r="C177" s="11" t="s">
        <v>32</v>
      </c>
      <c r="D177" s="22" t="s">
        <v>315</v>
      </c>
      <c r="E177" s="22"/>
      <c r="F177" s="21" t="s">
        <v>349</v>
      </c>
      <c r="G177" s="51" t="s">
        <v>47</v>
      </c>
      <c r="H177" s="37">
        <f>DisplayToUSD/(_xlfn.IFNA(INDEX('Quick Inputs- Constants'!$B$15:$C$18,MATCH(List[[#This Row],[Currency]],'Quick Inputs- Constants'!B$15:B$18,0),2),1))</f>
        <v>2.4330900243309003E-3</v>
      </c>
      <c r="I177" s="62">
        <v>21</v>
      </c>
      <c r="J177" s="52">
        <v>10000</v>
      </c>
      <c r="K177" s="53" t="s">
        <v>14</v>
      </c>
      <c r="L177" s="54">
        <f>List[[#This Row],[Exchange Rate]]*(1+IF(List[[#This Row],[Budget VAT]]="Yes",VATRate,0))*List[[#This Row],[Budget Quantity]]*List[[#This Row],[Budget Price]]</f>
        <v>510.94890510948903</v>
      </c>
      <c r="M177" s="63"/>
      <c r="N177" s="53"/>
      <c r="O177" s="53"/>
      <c r="P177" s="88">
        <f>IF(AND(ISBLANK(List[[#This Row],[Updated Quantity]]),ISBLANK(List[[#This Row],[Updated Price]]),ISBLANK(List[[#This Row],[Updated VAT]])),List[[#This Row],[Budget Total]],
List[[#This Row],[Exchange Rate]]*(1+IF(List[[#This Row],[Updated VAT]]="Yes",VATRate,0))*List[[#This Row],[Updated Quantity]]*List[[#This Row],[Updated Price]])</f>
        <v>510.94890510948903</v>
      </c>
      <c r="Q177" s="87">
        <f>100%</f>
        <v>1</v>
      </c>
      <c r="R177" s="61"/>
      <c r="S177" s="55"/>
      <c r="T177" s="53"/>
      <c r="U177" s="56"/>
      <c r="V177" s="64"/>
      <c r="W177" s="55"/>
      <c r="X177" s="56"/>
      <c r="Y177" s="56"/>
      <c r="Z177" s="64"/>
      <c r="AA177" s="55"/>
      <c r="AB177" s="56"/>
      <c r="AC177" s="56"/>
      <c r="AD177"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7" s="35">
        <f>List[[#This Row],[Running Budget Total]]-List[[#This Row],[Cash Out Total]]</f>
        <v>510.94890510948903</v>
      </c>
      <c r="AF177" s="36" t="str">
        <f>IF(AND(List[[#This Row],[Remaining]]=0,NOT(List[[#This Row],[Running Budget Total]]=0)),Status1,
IF(AND(List[[#This Row],[Remaining]]&lt;0,NOT(List[[#This Row],[Running Budget Total]]=0)),Status2,
IF(AND(List[[#This Row],[Remaining]]=0),Status3,
List[[#This Row],[Spent %]] &amp; Status4)))</f>
        <v>0% paid</v>
      </c>
      <c r="AG177" s="57">
        <f>IFERROR(ROUND(100*List[[#This Row],[Cash Out Total]]/List[[#This Row],[Running Budget Total]],0),0)</f>
        <v>0</v>
      </c>
    </row>
    <row r="178" spans="1:33" ht="40" customHeight="1" x14ac:dyDescent="0.2">
      <c r="A178" s="73" t="s">
        <v>14</v>
      </c>
      <c r="B178" s="74" t="s">
        <v>36</v>
      </c>
      <c r="C178" s="73" t="s">
        <v>32</v>
      </c>
      <c r="D178" s="74" t="s">
        <v>317</v>
      </c>
      <c r="E178" s="74"/>
      <c r="F178" s="76"/>
      <c r="G178" s="75" t="s">
        <v>47</v>
      </c>
      <c r="H178" s="77">
        <f>DisplayToUSD/(_xlfn.IFNA(INDEX('Quick Inputs- Constants'!$B$15:$C$18,MATCH(List[[#This Row],[Currency]],'Quick Inputs- Constants'!B$15:B$18,0),2),1))</f>
        <v>2.4330900243309003E-3</v>
      </c>
      <c r="I178" s="62">
        <v>0</v>
      </c>
      <c r="J178" s="78">
        <v>0</v>
      </c>
      <c r="K178" s="79" t="s">
        <v>14</v>
      </c>
      <c r="L178" s="80">
        <f>List[[#This Row],[Exchange Rate]]*(1+IF(List[[#This Row],[Budget VAT]]="Yes",VATRate,0))*List[[#This Row],[Budget Quantity]]*List[[#This Row],[Budget Price]]</f>
        <v>0</v>
      </c>
      <c r="M178" s="63"/>
      <c r="N178" s="79"/>
      <c r="O178" s="79"/>
      <c r="P178" s="88">
        <f>IF(AND(ISBLANK(List[[#This Row],[Updated Quantity]]),ISBLANK(List[[#This Row],[Updated Price]]),ISBLANK(List[[#This Row],[Updated VAT]])),List[[#This Row],[Budget Total]],
List[[#This Row],[Exchange Rate]]*(1+IF(List[[#This Row],[Updated VAT]]="Yes",VATRate,0))*List[[#This Row],[Updated Quantity]]*List[[#This Row],[Updated Price]])</f>
        <v>0</v>
      </c>
      <c r="Q178" s="87">
        <f>100%</f>
        <v>1</v>
      </c>
      <c r="R178" s="82"/>
      <c r="S178" s="83"/>
      <c r="T178" s="79"/>
      <c r="U178" s="84"/>
      <c r="V178" s="64"/>
      <c r="W178" s="83"/>
      <c r="X178" s="84"/>
      <c r="Y178" s="84"/>
      <c r="Z178" s="64"/>
      <c r="AA178" s="83"/>
      <c r="AB178" s="84"/>
      <c r="AC178" s="84"/>
      <c r="AD178" s="65">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8" s="81">
        <f>List[[#This Row],[Running Budget Total]]-List[[#This Row],[Cash Out Total]]</f>
        <v>0</v>
      </c>
      <c r="AF178" s="85" t="str">
        <f>IF(AND(List[[#This Row],[Remaining]]=0,NOT(List[[#This Row],[Running Budget Total]]=0)),Status1,
IF(AND(List[[#This Row],[Remaining]]&lt;0,NOT(List[[#This Row],[Running Budget Total]]=0)),Status2,
IF(AND(List[[#This Row],[Remaining]]=0),Status3,
List[[#This Row],[Spent %]] &amp; Status4)))</f>
        <v>Cancelled</v>
      </c>
      <c r="AG178" s="86">
        <f>IFERROR(ROUND(100*List[[#This Row],[Cash Out Total]]/List[[#This Row],[Running Budget Total]],0),0)</f>
        <v>0</v>
      </c>
    </row>
    <row r="179" spans="1:33" ht="40" customHeight="1" x14ac:dyDescent="0.2"/>
    <row r="180" spans="1:33" ht="40" customHeight="1" x14ac:dyDescent="0.2"/>
    <row r="181" spans="1:33" ht="40" customHeight="1" x14ac:dyDescent="0.2"/>
    <row r="182" spans="1:33" ht="40" customHeight="1" x14ac:dyDescent="0.2"/>
    <row r="183" spans="1:33" ht="40" customHeight="1" x14ac:dyDescent="0.2"/>
    <row r="184" spans="1:33" ht="40" customHeight="1" x14ac:dyDescent="0.2"/>
    <row r="185" spans="1:33" ht="40" customHeight="1" x14ac:dyDescent="0.2"/>
    <row r="186" spans="1:33" ht="40" customHeight="1" x14ac:dyDescent="0.2"/>
    <row r="187" spans="1:33" ht="40" customHeight="1" x14ac:dyDescent="0.2"/>
    <row r="188" spans="1:33" ht="40" customHeight="1" x14ac:dyDescent="0.2"/>
    <row r="189" spans="1:33" ht="40" customHeight="1" x14ac:dyDescent="0.2"/>
    <row r="190" spans="1:33" ht="40" customHeight="1" x14ac:dyDescent="0.2"/>
    <row r="191" spans="1:33" ht="40" customHeight="1" x14ac:dyDescent="0.2"/>
    <row r="192" spans="1:33" ht="40" customHeight="1" x14ac:dyDescent="0.2"/>
    <row r="193" ht="40" customHeight="1" x14ac:dyDescent="0.2"/>
    <row r="194" ht="40" customHeight="1" x14ac:dyDescent="0.2"/>
    <row r="195" ht="40" customHeight="1" x14ac:dyDescent="0.2"/>
    <row r="196" ht="40" customHeight="1" x14ac:dyDescent="0.2"/>
    <row r="197" ht="40" customHeight="1" x14ac:dyDescent="0.2"/>
    <row r="198" ht="40" customHeight="1" x14ac:dyDescent="0.2"/>
    <row r="199" ht="40" customHeight="1" x14ac:dyDescent="0.2"/>
    <row r="200" ht="40" customHeight="1" x14ac:dyDescent="0.2"/>
    <row r="201" ht="40" customHeight="1" x14ac:dyDescent="0.2"/>
    <row r="202" ht="40" customHeight="1" x14ac:dyDescent="0.2"/>
    <row r="203" ht="40" customHeight="1" x14ac:dyDescent="0.2"/>
    <row r="204" ht="40" customHeight="1" x14ac:dyDescent="0.2"/>
    <row r="205" ht="40" customHeight="1" x14ac:dyDescent="0.2"/>
    <row r="206" ht="40" customHeight="1" x14ac:dyDescent="0.2"/>
    <row r="207" ht="40" customHeight="1" x14ac:dyDescent="0.2"/>
    <row r="208" ht="40" customHeight="1" x14ac:dyDescent="0.2"/>
    <row r="209" ht="40" customHeight="1" x14ac:dyDescent="0.2"/>
    <row r="210" ht="40" customHeight="1" x14ac:dyDescent="0.2"/>
    <row r="211" ht="40" customHeight="1" x14ac:dyDescent="0.2"/>
    <row r="212" ht="40" customHeight="1" x14ac:dyDescent="0.2"/>
    <row r="213" ht="40" customHeight="1" x14ac:dyDescent="0.2"/>
    <row r="214" ht="40" customHeight="1" x14ac:dyDescent="0.2"/>
    <row r="215" ht="40" customHeight="1" x14ac:dyDescent="0.2"/>
    <row r="216" ht="40" customHeight="1" x14ac:dyDescent="0.2"/>
    <row r="217" ht="40" customHeight="1" x14ac:dyDescent="0.2"/>
    <row r="218" ht="40" customHeight="1" x14ac:dyDescent="0.2"/>
    <row r="219" ht="40" customHeight="1" x14ac:dyDescent="0.2"/>
    <row r="220" ht="40" customHeight="1" x14ac:dyDescent="0.2"/>
    <row r="221" ht="40" customHeight="1" x14ac:dyDescent="0.2"/>
    <row r="222" ht="40" customHeight="1" x14ac:dyDescent="0.2"/>
    <row r="223" ht="40" customHeight="1" x14ac:dyDescent="0.2"/>
    <row r="224" ht="40" customHeight="1" x14ac:dyDescent="0.2"/>
    <row r="225" ht="40" customHeight="1" x14ac:dyDescent="0.2"/>
  </sheetData>
  <phoneticPr fontId="8" type="noConversion"/>
  <dataValidations count="4">
    <dataValidation type="list" allowBlank="1" showInputMessage="1" showErrorMessage="1" sqref="T2:T178 K2:K178 O2:O178" xr:uid="{C43B0CA2-3C92-134F-BF76-A20F22A867CE}">
      <formula1>"Yes, No, Only VAT"</formula1>
    </dataValidation>
    <dataValidation type="list" operator="greaterThan" allowBlank="1" showInputMessage="1" showErrorMessage="1" sqref="X2:X178 AB2:AB178" xr:uid="{E25891E7-AFEB-6B45-838D-98269B3DBFAA}">
      <formula1>"Yes, No, Only VAT"</formula1>
    </dataValidation>
    <dataValidation type="list" allowBlank="1" showInputMessage="1" showErrorMessage="1" sqref="B2:B178" xr:uid="{B55FACC7-4732-DA43-997D-3519D6A30FE2}">
      <formula1>Categories</formula1>
    </dataValidation>
    <dataValidation type="list" allowBlank="1" showInputMessage="1" showErrorMessage="1" sqref="C2:C178" xr:uid="{DD69C332-F685-FA48-86D9-F0C085FAE346}">
      <formula1>Types</formula1>
    </dataValidation>
  </dataValidations>
  <pageMargins left="0.7" right="0.7" top="0.75" bottom="0.75" header="0.3" footer="0.3"/>
  <pageSetup paperSize="9" orientation="portrait" horizontalDpi="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7A045850-B149-2A48-84A9-73858FBA5289}">
          <x14:formula1>
            <xm:f>'Quick Inputs- Constants'!$B$15:$B$18</xm:f>
          </x14:formula1>
          <xm:sqref>G2:G178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540B-5AC0-2548-A07B-3961AA849364}">
  <sheetPr codeName="Sheet21"/>
  <dimension ref="A1:AL119"/>
  <sheetViews>
    <sheetView showGridLines="0" zoomScale="50" workbookViewId="0">
      <selection activeCell="G10" sqref="G10"/>
    </sheetView>
  </sheetViews>
  <sheetFormatPr baseColWidth="10" defaultColWidth="0" defaultRowHeight="16" zeroHeight="1" x14ac:dyDescent="0.2"/>
  <cols>
    <col min="1" max="1" width="10.83203125" style="7" customWidth="1"/>
    <col min="2" max="2" width="58.83203125" style="7" customWidth="1"/>
    <col min="3" max="3" width="16.1640625" style="7" bestFit="1" customWidth="1"/>
    <col min="4" max="4" width="10.83203125" style="7" customWidth="1"/>
    <col min="5" max="5" width="28.33203125" style="7" bestFit="1" customWidth="1"/>
    <col min="6" max="6" width="24.33203125" style="7" bestFit="1" customWidth="1"/>
    <col min="7" max="7" width="12.83203125" style="7" bestFit="1" customWidth="1"/>
    <col min="8" max="8" width="11.1640625" style="7" bestFit="1" customWidth="1"/>
    <col min="9" max="9" width="14.6640625" style="7" bestFit="1" customWidth="1"/>
    <col min="10" max="10" width="18.1640625" style="7" bestFit="1" customWidth="1"/>
    <col min="11" max="11" width="11.1640625" style="7" bestFit="1" customWidth="1"/>
    <col min="12" max="12" width="12.1640625" style="7" bestFit="1" customWidth="1"/>
    <col min="13" max="13" width="11.1640625" style="7" bestFit="1" customWidth="1"/>
    <col min="14" max="14" width="12.1640625" style="7" bestFit="1" customWidth="1"/>
    <col min="15" max="15" width="21.5" style="7" bestFit="1" customWidth="1"/>
    <col min="16" max="16" width="133" style="7" customWidth="1"/>
    <col min="17" max="17" width="21.5" style="7" bestFit="1" customWidth="1"/>
    <col min="18" max="18" width="116.83203125" style="7" customWidth="1"/>
    <col min="19" max="19" width="21.5" style="7" bestFit="1" customWidth="1"/>
    <col min="20" max="20" width="10.5" style="7" hidden="1" customWidth="1"/>
    <col min="21" max="21" width="21.5" style="7" hidden="1" customWidth="1"/>
    <col min="22" max="22" width="14.5" style="7" hidden="1" customWidth="1"/>
    <col min="23" max="23" width="26.5" style="7" hidden="1" customWidth="1"/>
    <col min="24" max="24" width="27.83203125" style="7" hidden="1" customWidth="1"/>
    <col min="25" max="25" width="28.33203125" style="7" hidden="1" customWidth="1"/>
    <col min="26" max="26" width="36.6640625" style="7" hidden="1" customWidth="1"/>
    <col min="27" max="27" width="33" style="7" hidden="1" customWidth="1"/>
    <col min="28" max="28" width="33.5" style="7" hidden="1" customWidth="1"/>
    <col min="29" max="29" width="28.33203125" style="7" hidden="1" customWidth="1"/>
    <col min="30" max="30" width="21" style="7" hidden="1" customWidth="1"/>
    <col min="31" max="31" width="16.33203125" style="7" hidden="1" customWidth="1"/>
    <col min="32" max="32" width="12.83203125" style="7" hidden="1" customWidth="1"/>
    <col min="33" max="33" width="16.33203125" style="7" hidden="1" customWidth="1"/>
    <col min="34" max="34" width="11" style="7" hidden="1" customWidth="1"/>
    <col min="35" max="35" width="13" style="7" hidden="1" customWidth="1"/>
    <col min="36" max="36" width="10.83203125" style="7" hidden="1" customWidth="1"/>
    <col min="37" max="38" width="0" style="7" hidden="1" customWidth="1"/>
    <col min="39" max="49" width="10.83203125" style="7" hidden="1" customWidth="1"/>
    <col min="50" max="16384" width="10.83203125" style="7" hidden="1"/>
  </cols>
  <sheetData>
    <row r="1" spans="2:14" ht="26" customHeight="1" x14ac:dyDescent="0.2">
      <c r="N1" s="8"/>
    </row>
    <row r="2" spans="2:14" ht="66" customHeight="1" x14ac:dyDescent="0.2">
      <c r="B2" s="38" t="s">
        <v>260</v>
      </c>
      <c r="E2"/>
      <c r="F2"/>
      <c r="G2" s="8"/>
      <c r="H2" s="8"/>
      <c r="I2" s="8"/>
      <c r="J2" s="8"/>
      <c r="K2" s="8"/>
      <c r="L2" s="8"/>
      <c r="M2" s="8"/>
      <c r="N2" s="8"/>
    </row>
    <row r="3" spans="2:14" ht="26" customHeight="1" x14ac:dyDescent="0.2">
      <c r="B3" s="38"/>
      <c r="E3"/>
      <c r="F3"/>
      <c r="G3" s="8"/>
      <c r="H3" s="8"/>
      <c r="I3" s="8"/>
      <c r="J3" s="8"/>
      <c r="K3" s="8"/>
      <c r="L3" s="8"/>
      <c r="M3" s="8"/>
      <c r="N3" s="8"/>
    </row>
    <row r="4" spans="2:14" ht="26" customHeight="1" x14ac:dyDescent="0.2">
      <c r="B4" s="97" t="s">
        <v>383</v>
      </c>
      <c r="F4" s="8"/>
      <c r="G4" s="8"/>
      <c r="H4" s="8"/>
      <c r="I4" s="8"/>
      <c r="J4" s="8"/>
      <c r="K4" s="8"/>
      <c r="L4" s="8"/>
      <c r="M4" s="8"/>
      <c r="N4" s="8"/>
    </row>
    <row r="5" spans="2:14" ht="24" x14ac:dyDescent="0.2">
      <c r="B5" s="92" t="s">
        <v>109</v>
      </c>
      <c r="C5" s="41" t="s">
        <v>18</v>
      </c>
      <c r="E5" s="19" t="s">
        <v>49</v>
      </c>
      <c r="F5" s="9"/>
      <c r="G5" s="9"/>
      <c r="H5" s="9"/>
      <c r="I5" s="9"/>
      <c r="J5" s="9"/>
      <c r="K5" s="9"/>
      <c r="L5" s="9"/>
      <c r="M5" s="9"/>
      <c r="N5" s="9"/>
    </row>
    <row r="6" spans="2:14" ht="26" customHeight="1" x14ac:dyDescent="0.2">
      <c r="B6" s="38"/>
      <c r="E6" s="9"/>
      <c r="F6" s="9" t="s">
        <v>31</v>
      </c>
      <c r="G6" s="9" t="s">
        <v>21</v>
      </c>
      <c r="H6" s="9" t="s">
        <v>12</v>
      </c>
      <c r="I6" s="9" t="s">
        <v>106</v>
      </c>
      <c r="J6" s="9" t="s">
        <v>32</v>
      </c>
      <c r="K6" s="9" t="s">
        <v>19</v>
      </c>
      <c r="L6" s="9" t="s">
        <v>107</v>
      </c>
      <c r="M6" s="9" t="s">
        <v>16</v>
      </c>
      <c r="N6" s="9" t="s">
        <v>50</v>
      </c>
    </row>
    <row r="7" spans="2:14" ht="26" customHeight="1" x14ac:dyDescent="0.2">
      <c r="B7" s="97" t="s">
        <v>382</v>
      </c>
      <c r="C7" s="12"/>
      <c r="E7" s="14" t="s">
        <v>11</v>
      </c>
      <c r="F7" s="32"/>
      <c r="G7" s="32"/>
      <c r="H7" s="32">
        <v>5518.4633257299283</v>
      </c>
      <c r="I7" s="32"/>
      <c r="J7" s="32"/>
      <c r="K7" s="32"/>
      <c r="L7" s="32">
        <v>22170.53</v>
      </c>
      <c r="M7" s="32">
        <v>444</v>
      </c>
      <c r="N7" s="32">
        <v>28132.993325729927</v>
      </c>
    </row>
    <row r="8" spans="2:14" ht="26" customHeight="1" x14ac:dyDescent="0.2">
      <c r="B8" s="92" t="s">
        <v>38</v>
      </c>
      <c r="C8" s="98">
        <f>GETPIVOTDATA("Running Budget Total",$E$28)/(1000*'Quick Inputs- Change Every Time'!C16)</f>
        <v>4.3775625449562874</v>
      </c>
      <c r="E8" s="14" t="s">
        <v>94</v>
      </c>
      <c r="F8" s="32"/>
      <c r="G8" s="32"/>
      <c r="H8" s="32"/>
      <c r="I8" s="32">
        <v>951.33819951338182</v>
      </c>
      <c r="J8" s="32">
        <v>48.661800486618006</v>
      </c>
      <c r="K8" s="32">
        <v>189.78102189781023</v>
      </c>
      <c r="L8" s="32"/>
      <c r="M8" s="32"/>
      <c r="N8" s="32">
        <v>1189.78102189781</v>
      </c>
    </row>
    <row r="9" spans="2:14" ht="26" customHeight="1" x14ac:dyDescent="0.2">
      <c r="B9" s="92" t="s">
        <v>105</v>
      </c>
      <c r="C9" s="93">
        <f>GETPIVOTDATA("Running Budget Total",$E$28)/'Quick Inputs- Change Every Time'!C20</f>
        <v>531.87384921218893</v>
      </c>
      <c r="E9" s="14" t="s">
        <v>17</v>
      </c>
      <c r="F9" s="32"/>
      <c r="G9" s="32"/>
      <c r="H9" s="32">
        <v>11186.175182481753</v>
      </c>
      <c r="I9" s="32">
        <v>0</v>
      </c>
      <c r="J9" s="32"/>
      <c r="K9" s="32">
        <v>1644.7688564476884</v>
      </c>
      <c r="L9" s="32">
        <v>29021.015815085157</v>
      </c>
      <c r="M9" s="32">
        <v>3535.2432116788323</v>
      </c>
      <c r="N9" s="32">
        <v>45387.203065693429</v>
      </c>
    </row>
    <row r="10" spans="2:14" ht="26" customHeight="1" x14ac:dyDescent="0.2">
      <c r="B10" s="92"/>
      <c r="C10" s="93"/>
      <c r="E10" s="14" t="s">
        <v>20</v>
      </c>
      <c r="F10" s="32"/>
      <c r="G10" s="32">
        <v>6618.6763990267655</v>
      </c>
      <c r="H10" s="32"/>
      <c r="I10" s="32">
        <v>313.8686131386861</v>
      </c>
      <c r="J10" s="32"/>
      <c r="K10" s="32">
        <v>15439.092457420922</v>
      </c>
      <c r="L10" s="32">
        <v>54927.007299270066</v>
      </c>
      <c r="M10" s="32">
        <v>729.92700729927014</v>
      </c>
      <c r="N10" s="32">
        <v>78028.571776155703</v>
      </c>
    </row>
    <row r="11" spans="2:14" ht="26" customHeight="1" x14ac:dyDescent="0.2">
      <c r="B11" s="97" t="s">
        <v>39</v>
      </c>
      <c r="C11" s="10"/>
      <c r="E11" s="14" t="s">
        <v>22</v>
      </c>
      <c r="F11" s="32"/>
      <c r="G11" s="32"/>
      <c r="H11" s="32"/>
      <c r="I11" s="32"/>
      <c r="J11" s="32"/>
      <c r="K11" s="32">
        <v>425.79075425790757</v>
      </c>
      <c r="L11" s="32">
        <v>1830.9002433090022</v>
      </c>
      <c r="M11" s="32">
        <v>183.09002433090021</v>
      </c>
      <c r="N11" s="32">
        <v>2439.7810218978098</v>
      </c>
    </row>
    <row r="12" spans="2:14" ht="26" customHeight="1" x14ac:dyDescent="0.2">
      <c r="B12" s="92" t="s">
        <v>41</v>
      </c>
      <c r="C12" s="94">
        <f>SUMIF(CategoriesTable[Scales By],B12,CategoriesTable[Running Budget])/(1000*'Quick Inputs- Change Every Time'!C16)</f>
        <v>1.2347940431151998</v>
      </c>
      <c r="E12" s="14" t="s">
        <v>23</v>
      </c>
      <c r="F12" s="32"/>
      <c r="G12" s="32"/>
      <c r="H12" s="32"/>
      <c r="I12" s="32"/>
      <c r="J12" s="32"/>
      <c r="K12" s="32">
        <v>0</v>
      </c>
      <c r="L12" s="32">
        <v>0</v>
      </c>
      <c r="M12" s="32">
        <v>0</v>
      </c>
      <c r="N12" s="32">
        <v>0</v>
      </c>
    </row>
    <row r="13" spans="2:14" ht="26" customHeight="1" x14ac:dyDescent="0.2">
      <c r="B13" s="92" t="s">
        <v>43</v>
      </c>
      <c r="C13" s="95">
        <f>SUMIF(CategoriesTable[Scales By],B13,CategoriesTable[Running Budget])/'Quick Inputs- Change Every Time'!C17</f>
        <v>380.17558548283688</v>
      </c>
      <c r="E13" s="14" t="s">
        <v>24</v>
      </c>
      <c r="F13" s="32"/>
      <c r="G13" s="32"/>
      <c r="H13" s="32">
        <v>1350.1493309002433</v>
      </c>
      <c r="I13" s="32"/>
      <c r="J13" s="32"/>
      <c r="K13" s="32"/>
      <c r="L13" s="32">
        <v>2600</v>
      </c>
      <c r="M13" s="32">
        <v>540</v>
      </c>
      <c r="N13" s="32">
        <v>4490.1493309002435</v>
      </c>
    </row>
    <row r="14" spans="2:14" ht="26" customHeight="1" x14ac:dyDescent="0.2">
      <c r="B14" s="92" t="s">
        <v>45</v>
      </c>
      <c r="C14" s="95">
        <f>SUMIF(CategoriesTable[Scales By],B14,CategoriesTable[Running Budget])/'Quick Inputs- Change Every Time'!C20</f>
        <v>116.4424602189781</v>
      </c>
      <c r="E14" s="14" t="s">
        <v>25</v>
      </c>
      <c r="F14" s="32"/>
      <c r="G14" s="32"/>
      <c r="H14" s="32">
        <v>403.38686131386862</v>
      </c>
      <c r="I14" s="32"/>
      <c r="J14" s="32"/>
      <c r="K14" s="32"/>
      <c r="L14" s="32">
        <v>5888.8</v>
      </c>
      <c r="M14" s="32"/>
      <c r="N14" s="32">
        <v>6292.1868613138686</v>
      </c>
    </row>
    <row r="15" spans="2:14" ht="26" customHeight="1" x14ac:dyDescent="0.2">
      <c r="B15" s="92" t="s">
        <v>46</v>
      </c>
      <c r="C15" s="95">
        <f>IFERROR(SUMIF(CategoriesTable[Scales By],B15,CategoriesTable[Running Budget])/'Quick Inputs- Change Every Time'!C18,"-")</f>
        <v>15605.714355231141</v>
      </c>
      <c r="E15" s="14" t="s">
        <v>26</v>
      </c>
      <c r="F15" s="32"/>
      <c r="G15" s="32">
        <v>973.23600973236012</v>
      </c>
      <c r="H15" s="32"/>
      <c r="I15" s="32">
        <v>3109.580291970803</v>
      </c>
      <c r="J15" s="32"/>
      <c r="K15" s="32"/>
      <c r="L15" s="32"/>
      <c r="M15" s="32"/>
      <c r="N15" s="32">
        <v>4082.8163017031629</v>
      </c>
    </row>
    <row r="16" spans="2:14" ht="26" customHeight="1" x14ac:dyDescent="0.2">
      <c r="B16" s="92" t="s">
        <v>48</v>
      </c>
      <c r="C16" s="96">
        <f>IFERROR(SUMIF(CategoriesTable[Scales By],B16,CategoriesTable[Running Budget])/'Quick Inputs- Change Every Time'!C19,"N/A")</f>
        <v>0</v>
      </c>
      <c r="E16" s="14" t="s">
        <v>27</v>
      </c>
      <c r="F16" s="32"/>
      <c r="G16" s="32">
        <v>182.48175182481754</v>
      </c>
      <c r="H16" s="32"/>
      <c r="I16" s="32"/>
      <c r="J16" s="32"/>
      <c r="K16" s="32">
        <v>153.28467153284672</v>
      </c>
      <c r="L16" s="32">
        <v>4002.6173236009731</v>
      </c>
      <c r="M16" s="32"/>
      <c r="N16" s="32">
        <v>4338.3837469586379</v>
      </c>
    </row>
    <row r="17" spans="2:23" ht="26" customHeight="1" x14ac:dyDescent="0.2">
      <c r="E17" s="14" t="s">
        <v>28</v>
      </c>
      <c r="F17" s="32"/>
      <c r="G17" s="32"/>
      <c r="H17" s="32"/>
      <c r="I17" s="32"/>
      <c r="J17" s="32"/>
      <c r="K17" s="32">
        <v>535.27980535279812</v>
      </c>
      <c r="L17" s="32">
        <v>1861.3746958637471</v>
      </c>
      <c r="M17" s="32"/>
      <c r="N17" s="32">
        <v>2396.6545012165452</v>
      </c>
    </row>
    <row r="18" spans="2:23" ht="26" customHeight="1" x14ac:dyDescent="0.2">
      <c r="E18" s="14" t="s">
        <v>29</v>
      </c>
      <c r="F18" s="32"/>
      <c r="G18" s="32"/>
      <c r="H18" s="32"/>
      <c r="I18" s="32"/>
      <c r="J18" s="32"/>
      <c r="K18" s="32">
        <v>85.15815085158151</v>
      </c>
      <c r="L18" s="32">
        <v>4263.594890510949</v>
      </c>
      <c r="M18" s="32">
        <v>486.61800486618006</v>
      </c>
      <c r="N18" s="32">
        <v>4835.3710462287108</v>
      </c>
    </row>
    <row r="19" spans="2:23" ht="26" customHeight="1" x14ac:dyDescent="0.2">
      <c r="B19"/>
      <c r="C19"/>
      <c r="E19" s="14" t="s">
        <v>30</v>
      </c>
      <c r="F19" s="32"/>
      <c r="G19" s="32"/>
      <c r="H19" s="32">
        <v>1903.3738458029197</v>
      </c>
      <c r="I19" s="32"/>
      <c r="J19" s="32"/>
      <c r="K19" s="32">
        <v>564.46715328467155</v>
      </c>
      <c r="L19" s="32">
        <v>2902.992700729927</v>
      </c>
      <c r="M19" s="32">
        <v>4669.0997566909982</v>
      </c>
      <c r="N19" s="32">
        <v>10039.933456508516</v>
      </c>
    </row>
    <row r="20" spans="2:23" ht="26" customHeight="1" x14ac:dyDescent="0.2">
      <c r="B20"/>
      <c r="C20"/>
      <c r="E20" s="14" t="s">
        <v>33</v>
      </c>
      <c r="F20" s="32"/>
      <c r="G20" s="32">
        <v>2433.0900243309002</v>
      </c>
      <c r="H20" s="32">
        <v>673.78974864610313</v>
      </c>
      <c r="I20" s="32"/>
      <c r="J20" s="32"/>
      <c r="K20" s="32">
        <v>72.992700729927009</v>
      </c>
      <c r="L20" s="32">
        <v>13267.800000000001</v>
      </c>
      <c r="M20" s="32">
        <v>1067.2631661565026</v>
      </c>
      <c r="N20" s="32">
        <v>17514.935639863434</v>
      </c>
    </row>
    <row r="21" spans="2:23" ht="26" customHeight="1" x14ac:dyDescent="0.2">
      <c r="B21"/>
      <c r="C21"/>
      <c r="E21" s="14" t="s">
        <v>34</v>
      </c>
      <c r="F21" s="32"/>
      <c r="G21" s="32">
        <v>0</v>
      </c>
      <c r="H21" s="32"/>
      <c r="I21" s="32"/>
      <c r="J21" s="32">
        <v>121.65450121654501</v>
      </c>
      <c r="K21" s="32"/>
      <c r="L21" s="32"/>
      <c r="M21" s="32"/>
      <c r="N21" s="32">
        <v>121.65450121654501</v>
      </c>
    </row>
    <row r="22" spans="2:23" ht="26" customHeight="1" x14ac:dyDescent="0.2">
      <c r="B22"/>
      <c r="C22"/>
      <c r="E22" s="14" t="s">
        <v>35</v>
      </c>
      <c r="F22" s="32"/>
      <c r="G22" s="32">
        <v>0</v>
      </c>
      <c r="H22" s="32"/>
      <c r="I22" s="32"/>
      <c r="J22" s="32"/>
      <c r="K22" s="32">
        <v>0</v>
      </c>
      <c r="L22" s="32">
        <v>0</v>
      </c>
      <c r="M22" s="32">
        <v>0</v>
      </c>
      <c r="N22" s="32">
        <v>0</v>
      </c>
    </row>
    <row r="23" spans="2:23" ht="26" customHeight="1" x14ac:dyDescent="0.2">
      <c r="B23"/>
      <c r="C23"/>
      <c r="E23" s="14" t="s">
        <v>36</v>
      </c>
      <c r="F23" s="32">
        <v>43.795620437956202</v>
      </c>
      <c r="G23" s="32"/>
      <c r="H23" s="32"/>
      <c r="I23" s="32">
        <v>2904.3795620437954</v>
      </c>
      <c r="J23" s="32">
        <v>510.94890510948903</v>
      </c>
      <c r="K23" s="32"/>
      <c r="L23" s="32"/>
      <c r="M23" s="32"/>
      <c r="N23" s="32">
        <v>3459.1240875912408</v>
      </c>
    </row>
    <row r="24" spans="2:23" ht="26" customHeight="1" x14ac:dyDescent="0.2">
      <c r="E24" s="14" t="s">
        <v>50</v>
      </c>
      <c r="F24" s="32">
        <v>43.795620437956202</v>
      </c>
      <c r="G24" s="32">
        <v>10207.484184914843</v>
      </c>
      <c r="H24" s="32">
        <v>21035.338294874819</v>
      </c>
      <c r="I24" s="32">
        <v>7279.1666666666661</v>
      </c>
      <c r="J24" s="32">
        <v>681.26520681265208</v>
      </c>
      <c r="K24" s="32">
        <v>19110.615571776154</v>
      </c>
      <c r="L24" s="32">
        <v>142736.63296836984</v>
      </c>
      <c r="M24" s="32">
        <v>11655.241171022684</v>
      </c>
      <c r="N24" s="32">
        <v>212749.53968487558</v>
      </c>
    </row>
    <row r="25" spans="2:23" ht="26" customHeight="1" x14ac:dyDescent="0.2">
      <c r="F25" s="15"/>
      <c r="G25" s="15"/>
      <c r="H25" s="15"/>
      <c r="I25" s="15"/>
      <c r="J25" s="15"/>
      <c r="K25" s="15"/>
      <c r="L25" s="15"/>
      <c r="M25" s="15"/>
      <c r="N25" s="16"/>
    </row>
    <row r="26" spans="2:23" ht="26" customHeight="1" x14ac:dyDescent="0.2">
      <c r="N26" s="8"/>
    </row>
    <row r="27" spans="2:23" ht="26" customHeight="1" x14ac:dyDescent="0.2">
      <c r="N27" s="8"/>
    </row>
    <row r="28" spans="2:23" ht="24" x14ac:dyDescent="0.2">
      <c r="E28" s="19" t="s">
        <v>51</v>
      </c>
      <c r="F28" s="9"/>
      <c r="G28" s="9"/>
      <c r="H28" s="9"/>
      <c r="I28" s="9"/>
      <c r="J28" s="9"/>
      <c r="K28" s="9"/>
      <c r="L28" s="9"/>
      <c r="M28" s="9"/>
      <c r="N28" s="9"/>
      <c r="O28"/>
      <c r="P28"/>
      <c r="Q28"/>
      <c r="R28"/>
      <c r="S28"/>
      <c r="T28"/>
      <c r="U28"/>
      <c r="V28"/>
      <c r="W28"/>
    </row>
    <row r="29" spans="2:23" ht="26" customHeight="1" x14ac:dyDescent="0.2">
      <c r="E29" s="9"/>
      <c r="F29" s="9" t="s">
        <v>31</v>
      </c>
      <c r="G29" s="9" t="s">
        <v>21</v>
      </c>
      <c r="H29" s="9" t="s">
        <v>12</v>
      </c>
      <c r="I29" s="9" t="s">
        <v>106</v>
      </c>
      <c r="J29" s="9" t="s">
        <v>32</v>
      </c>
      <c r="K29" s="9" t="s">
        <v>19</v>
      </c>
      <c r="L29" s="9" t="s">
        <v>107</v>
      </c>
      <c r="M29" s="9" t="s">
        <v>16</v>
      </c>
      <c r="N29" s="9" t="s">
        <v>50</v>
      </c>
      <c r="O29"/>
      <c r="P29"/>
      <c r="Q29"/>
      <c r="R29"/>
      <c r="S29"/>
      <c r="T29"/>
      <c r="U29"/>
      <c r="V29"/>
      <c r="W29"/>
    </row>
    <row r="30" spans="2:23" ht="26" customHeight="1" x14ac:dyDescent="0.2">
      <c r="E30" s="14" t="s">
        <v>11</v>
      </c>
      <c r="F30" s="9"/>
      <c r="G30" s="9"/>
      <c r="H30" s="9">
        <v>5518.4633257299283</v>
      </c>
      <c r="I30" s="9"/>
      <c r="J30" s="9"/>
      <c r="K30" s="9"/>
      <c r="L30" s="9">
        <v>22170.53</v>
      </c>
      <c r="M30" s="9">
        <v>444</v>
      </c>
      <c r="N30" s="9">
        <v>28132.993325729927</v>
      </c>
      <c r="O30"/>
      <c r="P30"/>
      <c r="Q30"/>
      <c r="R30"/>
      <c r="S30"/>
      <c r="T30"/>
      <c r="U30"/>
      <c r="V30"/>
      <c r="W30"/>
    </row>
    <row r="31" spans="2:23" ht="26" customHeight="1" x14ac:dyDescent="0.2">
      <c r="E31" s="14" t="s">
        <v>94</v>
      </c>
      <c r="F31" s="9"/>
      <c r="G31" s="9"/>
      <c r="H31" s="9"/>
      <c r="I31" s="9">
        <v>951.33819951338182</v>
      </c>
      <c r="J31" s="9">
        <v>48.661800486618006</v>
      </c>
      <c r="K31" s="9">
        <v>189.78102189781023</v>
      </c>
      <c r="L31" s="9"/>
      <c r="M31" s="9"/>
      <c r="N31" s="9">
        <v>1189.78102189781</v>
      </c>
      <c r="O31"/>
      <c r="P31"/>
      <c r="Q31"/>
      <c r="R31"/>
      <c r="S31"/>
      <c r="T31"/>
      <c r="U31"/>
      <c r="V31"/>
      <c r="W31"/>
    </row>
    <row r="32" spans="2:23" ht="26" customHeight="1" x14ac:dyDescent="0.2">
      <c r="E32" s="14" t="s">
        <v>17</v>
      </c>
      <c r="F32" s="9"/>
      <c r="G32" s="9"/>
      <c r="H32" s="9">
        <v>11186.175182481753</v>
      </c>
      <c r="I32" s="9">
        <v>0</v>
      </c>
      <c r="J32" s="9"/>
      <c r="K32" s="9">
        <v>1644.7688564476884</v>
      </c>
      <c r="L32" s="9">
        <v>29021.015815085157</v>
      </c>
      <c r="M32" s="9">
        <v>3535.2432116788323</v>
      </c>
      <c r="N32" s="9">
        <v>45387.203065693429</v>
      </c>
      <c r="O32"/>
      <c r="P32"/>
      <c r="Q32"/>
      <c r="R32"/>
      <c r="S32"/>
      <c r="T32"/>
      <c r="U32"/>
      <c r="V32"/>
      <c r="W32"/>
    </row>
    <row r="33" spans="5:23" ht="26" customHeight="1" x14ac:dyDescent="0.2">
      <c r="E33" s="14" t="s">
        <v>20</v>
      </c>
      <c r="F33" s="9"/>
      <c r="G33" s="9">
        <v>6618.6763990267655</v>
      </c>
      <c r="H33" s="9"/>
      <c r="I33" s="9">
        <v>313.8686131386861</v>
      </c>
      <c r="J33" s="9"/>
      <c r="K33" s="9">
        <v>15439.092457420922</v>
      </c>
      <c r="L33" s="9">
        <v>54927.007299270066</v>
      </c>
      <c r="M33" s="9">
        <v>729.92700729927014</v>
      </c>
      <c r="N33" s="9">
        <v>78028.571776155703</v>
      </c>
      <c r="O33"/>
      <c r="P33"/>
      <c r="Q33"/>
      <c r="R33"/>
      <c r="S33"/>
      <c r="T33"/>
      <c r="U33"/>
      <c r="V33"/>
      <c r="W33"/>
    </row>
    <row r="34" spans="5:23" ht="26" customHeight="1" x14ac:dyDescent="0.2">
      <c r="E34" s="14" t="s">
        <v>22</v>
      </c>
      <c r="F34" s="9"/>
      <c r="G34" s="9"/>
      <c r="H34" s="9"/>
      <c r="I34" s="9"/>
      <c r="J34" s="9"/>
      <c r="K34" s="9">
        <v>425.79075425790757</v>
      </c>
      <c r="L34" s="9">
        <v>1830.9002433090022</v>
      </c>
      <c r="M34" s="9">
        <v>183.09002433090021</v>
      </c>
      <c r="N34" s="9">
        <v>2439.7810218978098</v>
      </c>
      <c r="O34"/>
      <c r="P34"/>
      <c r="Q34"/>
      <c r="R34"/>
      <c r="S34"/>
      <c r="T34"/>
      <c r="U34"/>
      <c r="V34"/>
      <c r="W34"/>
    </row>
    <row r="35" spans="5:23" ht="26" customHeight="1" x14ac:dyDescent="0.2">
      <c r="E35" s="14" t="s">
        <v>23</v>
      </c>
      <c r="F35" s="9"/>
      <c r="G35" s="9"/>
      <c r="H35" s="9"/>
      <c r="I35" s="9"/>
      <c r="J35" s="9"/>
      <c r="K35" s="9">
        <v>0</v>
      </c>
      <c r="L35" s="9">
        <v>0</v>
      </c>
      <c r="M35" s="9">
        <v>0</v>
      </c>
      <c r="N35" s="9">
        <v>0</v>
      </c>
      <c r="O35"/>
      <c r="P35"/>
      <c r="Q35"/>
      <c r="R35"/>
      <c r="S35"/>
      <c r="T35"/>
      <c r="U35"/>
      <c r="V35"/>
      <c r="W35"/>
    </row>
    <row r="36" spans="5:23" ht="26" customHeight="1" x14ac:dyDescent="0.2">
      <c r="E36" s="14" t="s">
        <v>24</v>
      </c>
      <c r="F36" s="9"/>
      <c r="G36" s="9"/>
      <c r="H36" s="9">
        <v>1350.1493309002433</v>
      </c>
      <c r="I36" s="9"/>
      <c r="J36" s="9"/>
      <c r="K36" s="9"/>
      <c r="L36" s="9">
        <v>2600</v>
      </c>
      <c r="M36" s="9">
        <v>540</v>
      </c>
      <c r="N36" s="9">
        <v>4490.1493309002435</v>
      </c>
      <c r="O36"/>
      <c r="P36"/>
      <c r="Q36"/>
      <c r="R36"/>
      <c r="S36"/>
      <c r="T36"/>
      <c r="U36"/>
      <c r="V36"/>
      <c r="W36"/>
    </row>
    <row r="37" spans="5:23" ht="26" customHeight="1" x14ac:dyDescent="0.2">
      <c r="E37" s="14" t="s">
        <v>25</v>
      </c>
      <c r="F37" s="9"/>
      <c r="G37" s="9"/>
      <c r="H37" s="9">
        <v>403.38686131386862</v>
      </c>
      <c r="I37" s="9"/>
      <c r="J37" s="9"/>
      <c r="K37" s="9"/>
      <c r="L37" s="9">
        <v>5888.8</v>
      </c>
      <c r="M37" s="9"/>
      <c r="N37" s="9">
        <v>6292.1868613138686</v>
      </c>
      <c r="O37"/>
      <c r="P37"/>
      <c r="Q37"/>
      <c r="R37"/>
      <c r="S37"/>
      <c r="T37"/>
      <c r="U37"/>
      <c r="V37"/>
      <c r="W37"/>
    </row>
    <row r="38" spans="5:23" ht="26" customHeight="1" x14ac:dyDescent="0.2">
      <c r="E38" s="14" t="s">
        <v>26</v>
      </c>
      <c r="F38" s="9"/>
      <c r="G38" s="9">
        <v>973.23600973236012</v>
      </c>
      <c r="H38" s="9"/>
      <c r="I38" s="9">
        <v>3109.580291970803</v>
      </c>
      <c r="J38" s="9"/>
      <c r="K38" s="9"/>
      <c r="L38" s="9"/>
      <c r="M38" s="9"/>
      <c r="N38" s="9">
        <v>4082.8163017031629</v>
      </c>
      <c r="O38"/>
      <c r="P38"/>
      <c r="Q38"/>
      <c r="R38"/>
      <c r="S38"/>
      <c r="T38"/>
      <c r="U38"/>
      <c r="V38"/>
      <c r="W38"/>
    </row>
    <row r="39" spans="5:23" ht="26" customHeight="1" x14ac:dyDescent="0.2">
      <c r="E39" s="14" t="s">
        <v>27</v>
      </c>
      <c r="F39" s="9"/>
      <c r="G39" s="9">
        <v>182.48175182481754</v>
      </c>
      <c r="H39" s="9"/>
      <c r="I39" s="9"/>
      <c r="J39" s="9"/>
      <c r="K39" s="9">
        <v>153.28467153284672</v>
      </c>
      <c r="L39" s="9">
        <v>4002.6173236009731</v>
      </c>
      <c r="M39" s="9"/>
      <c r="N39" s="9">
        <v>4338.3837469586379</v>
      </c>
      <c r="O39"/>
      <c r="P39"/>
      <c r="Q39"/>
      <c r="R39"/>
      <c r="S39"/>
      <c r="T39"/>
      <c r="U39"/>
      <c r="V39"/>
      <c r="W39"/>
    </row>
    <row r="40" spans="5:23" ht="26" customHeight="1" x14ac:dyDescent="0.2">
      <c r="E40" s="14" t="s">
        <v>28</v>
      </c>
      <c r="F40" s="9"/>
      <c r="G40" s="9"/>
      <c r="H40" s="9"/>
      <c r="I40" s="9"/>
      <c r="J40" s="9"/>
      <c r="K40" s="9">
        <v>535.27980535279812</v>
      </c>
      <c r="L40" s="9">
        <v>1861.3746958637471</v>
      </c>
      <c r="M40" s="9"/>
      <c r="N40" s="9">
        <v>2396.6545012165452</v>
      </c>
      <c r="O40"/>
      <c r="P40"/>
      <c r="Q40"/>
      <c r="R40"/>
      <c r="S40"/>
      <c r="T40"/>
      <c r="U40"/>
      <c r="V40"/>
      <c r="W40"/>
    </row>
    <row r="41" spans="5:23" ht="26" customHeight="1" x14ac:dyDescent="0.2">
      <c r="E41" s="14" t="s">
        <v>29</v>
      </c>
      <c r="F41" s="9"/>
      <c r="G41" s="9"/>
      <c r="H41" s="9"/>
      <c r="I41" s="9"/>
      <c r="J41" s="9"/>
      <c r="K41" s="9">
        <v>85.15815085158151</v>
      </c>
      <c r="L41" s="9">
        <v>4263.594890510949</v>
      </c>
      <c r="M41" s="9">
        <v>486.61800486618006</v>
      </c>
      <c r="N41" s="9">
        <v>4835.3710462287108</v>
      </c>
      <c r="O41"/>
      <c r="P41"/>
      <c r="Q41"/>
      <c r="R41"/>
      <c r="S41"/>
      <c r="T41"/>
      <c r="U41"/>
      <c r="V41"/>
      <c r="W41"/>
    </row>
    <row r="42" spans="5:23" ht="26" customHeight="1" x14ac:dyDescent="0.2">
      <c r="E42" s="14" t="s">
        <v>30</v>
      </c>
      <c r="F42" s="9"/>
      <c r="G42" s="9"/>
      <c r="H42" s="9">
        <v>1903.3738458029197</v>
      </c>
      <c r="I42" s="9"/>
      <c r="J42" s="9"/>
      <c r="K42" s="9">
        <v>564.46715328467155</v>
      </c>
      <c r="L42" s="9">
        <v>2902.992700729927</v>
      </c>
      <c r="M42" s="9">
        <v>4669.0997566909982</v>
      </c>
      <c r="N42" s="9">
        <v>10039.933456508516</v>
      </c>
      <c r="O42"/>
      <c r="P42"/>
      <c r="Q42"/>
      <c r="R42"/>
      <c r="S42"/>
      <c r="T42"/>
      <c r="U42"/>
      <c r="V42"/>
      <c r="W42"/>
    </row>
    <row r="43" spans="5:23" ht="26" customHeight="1" x14ac:dyDescent="0.2">
      <c r="E43" s="14" t="s">
        <v>33</v>
      </c>
      <c r="F43" s="9"/>
      <c r="G43" s="9">
        <v>2433.0900243309002</v>
      </c>
      <c r="H43" s="9">
        <v>673.78974864610313</v>
      </c>
      <c r="I43" s="9"/>
      <c r="J43" s="9"/>
      <c r="K43" s="9">
        <v>72.992700729927009</v>
      </c>
      <c r="L43" s="9">
        <v>13267.800000000001</v>
      </c>
      <c r="M43" s="9">
        <v>1067.2631661565026</v>
      </c>
      <c r="N43" s="9">
        <v>17514.935639863434</v>
      </c>
    </row>
    <row r="44" spans="5:23" ht="26" customHeight="1" x14ac:dyDescent="0.2">
      <c r="E44" s="14" t="s">
        <v>34</v>
      </c>
      <c r="F44" s="9"/>
      <c r="G44" s="9">
        <v>0</v>
      </c>
      <c r="H44" s="9"/>
      <c r="I44" s="9"/>
      <c r="J44" s="9">
        <v>121.65450121654501</v>
      </c>
      <c r="K44" s="9"/>
      <c r="L44" s="9"/>
      <c r="M44" s="9"/>
      <c r="N44" s="9">
        <v>121.65450121654501</v>
      </c>
    </row>
    <row r="45" spans="5:23" ht="26" customHeight="1" x14ac:dyDescent="0.2">
      <c r="E45" s="14" t="s">
        <v>35</v>
      </c>
      <c r="F45" s="9"/>
      <c r="G45" s="9">
        <v>0</v>
      </c>
      <c r="H45" s="9"/>
      <c r="I45" s="9"/>
      <c r="J45" s="9"/>
      <c r="K45" s="9">
        <v>0</v>
      </c>
      <c r="L45" s="9">
        <v>0</v>
      </c>
      <c r="M45" s="9">
        <v>0</v>
      </c>
      <c r="N45" s="9">
        <v>0</v>
      </c>
    </row>
    <row r="46" spans="5:23" ht="26" customHeight="1" x14ac:dyDescent="0.2">
      <c r="E46" s="14" t="s">
        <v>36</v>
      </c>
      <c r="F46" s="9">
        <v>43.795620437956202</v>
      </c>
      <c r="G46" s="9"/>
      <c r="H46" s="9"/>
      <c r="I46" s="9">
        <v>2904.3795620437954</v>
      </c>
      <c r="J46" s="9">
        <v>510.94890510948903</v>
      </c>
      <c r="K46" s="9"/>
      <c r="L46" s="9"/>
      <c r="M46" s="9"/>
      <c r="N46" s="9">
        <v>3459.1240875912408</v>
      </c>
    </row>
    <row r="47" spans="5:23" ht="26" customHeight="1" x14ac:dyDescent="0.2">
      <c r="E47" s="14" t="s">
        <v>50</v>
      </c>
      <c r="F47" s="9">
        <v>43.795620437956202</v>
      </c>
      <c r="G47" s="9">
        <v>10207.484184914843</v>
      </c>
      <c r="H47" s="9">
        <v>21035.338294874819</v>
      </c>
      <c r="I47" s="9">
        <v>7279.1666666666661</v>
      </c>
      <c r="J47" s="9">
        <v>681.26520681265208</v>
      </c>
      <c r="K47" s="9">
        <v>19110.615571776154</v>
      </c>
      <c r="L47" s="9">
        <v>142736.63296836984</v>
      </c>
      <c r="M47" s="9">
        <v>11655.241171022684</v>
      </c>
      <c r="N47" s="9">
        <v>212749.53968487558</v>
      </c>
    </row>
    <row r="48" spans="5:23" ht="26" customHeight="1" x14ac:dyDescent="0.2">
      <c r="E48"/>
      <c r="F48"/>
      <c r="G48"/>
      <c r="H48"/>
      <c r="I48"/>
      <c r="J48"/>
      <c r="K48"/>
      <c r="L48"/>
      <c r="M48"/>
      <c r="N48"/>
    </row>
    <row r="49" spans="5:23" ht="26" customHeight="1" x14ac:dyDescent="0.2">
      <c r="F49" s="8"/>
      <c r="G49" s="8"/>
      <c r="H49" s="8"/>
      <c r="I49" s="8"/>
      <c r="J49" s="8"/>
      <c r="K49" s="8"/>
      <c r="L49" s="8"/>
      <c r="M49" s="8"/>
      <c r="N49" s="8"/>
    </row>
    <row r="50" spans="5:23" ht="26" customHeight="1" x14ac:dyDescent="0.2">
      <c r="F50" s="8"/>
      <c r="G50" s="8"/>
      <c r="H50" s="8"/>
      <c r="I50" s="8"/>
      <c r="J50" s="8"/>
      <c r="K50" s="8"/>
      <c r="L50" s="8"/>
      <c r="M50" s="8"/>
      <c r="N50" s="8"/>
    </row>
    <row r="51" spans="5:23" ht="24" x14ac:dyDescent="0.2">
      <c r="E51" s="19" t="s">
        <v>15</v>
      </c>
      <c r="F51" s="9"/>
      <c r="G51" s="9"/>
      <c r="H51" s="9"/>
      <c r="I51" s="9"/>
      <c r="J51" s="9"/>
      <c r="K51" s="9"/>
      <c r="L51" s="9"/>
      <c r="M51" s="9"/>
      <c r="N51" s="9"/>
      <c r="O51"/>
      <c r="P51"/>
      <c r="Q51"/>
      <c r="R51"/>
      <c r="S51"/>
      <c r="T51"/>
      <c r="U51"/>
      <c r="V51"/>
      <c r="W51"/>
    </row>
    <row r="52" spans="5:23" ht="26" customHeight="1" x14ac:dyDescent="0.2">
      <c r="E52" s="9"/>
      <c r="F52" s="9" t="s">
        <v>31</v>
      </c>
      <c r="G52" s="9" t="s">
        <v>21</v>
      </c>
      <c r="H52" s="9" t="s">
        <v>12</v>
      </c>
      <c r="I52" s="9" t="s">
        <v>106</v>
      </c>
      <c r="J52" s="9" t="s">
        <v>32</v>
      </c>
      <c r="K52" s="9" t="s">
        <v>19</v>
      </c>
      <c r="L52" s="9" t="s">
        <v>107</v>
      </c>
      <c r="M52" s="9" t="s">
        <v>16</v>
      </c>
      <c r="N52" s="9" t="s">
        <v>50</v>
      </c>
      <c r="O52"/>
      <c r="P52"/>
      <c r="Q52"/>
      <c r="R52"/>
      <c r="S52"/>
      <c r="T52"/>
      <c r="U52"/>
      <c r="V52"/>
      <c r="W52"/>
    </row>
    <row r="53" spans="5:23" ht="26" customHeight="1" x14ac:dyDescent="0.2">
      <c r="E53" s="14" t="s">
        <v>11</v>
      </c>
      <c r="F53" s="9"/>
      <c r="G53" s="9"/>
      <c r="H53" s="9">
        <v>0</v>
      </c>
      <c r="I53" s="9"/>
      <c r="J53" s="9"/>
      <c r="K53" s="9"/>
      <c r="L53" s="9">
        <v>0</v>
      </c>
      <c r="M53" s="9">
        <v>0</v>
      </c>
      <c r="N53" s="9">
        <v>0</v>
      </c>
      <c r="O53"/>
      <c r="P53"/>
      <c r="Q53"/>
      <c r="R53"/>
      <c r="S53"/>
      <c r="T53"/>
      <c r="U53"/>
      <c r="V53"/>
      <c r="W53"/>
    </row>
    <row r="54" spans="5:23" ht="26" customHeight="1" x14ac:dyDescent="0.2">
      <c r="E54" s="14" t="s">
        <v>94</v>
      </c>
      <c r="F54" s="9"/>
      <c r="G54" s="9"/>
      <c r="H54" s="9"/>
      <c r="I54" s="9">
        <v>0</v>
      </c>
      <c r="J54" s="9">
        <v>0</v>
      </c>
      <c r="K54" s="9">
        <v>0</v>
      </c>
      <c r="L54" s="9"/>
      <c r="M54" s="9"/>
      <c r="N54" s="9">
        <v>0</v>
      </c>
      <c r="O54"/>
      <c r="P54"/>
      <c r="Q54"/>
      <c r="R54"/>
      <c r="S54"/>
      <c r="T54"/>
      <c r="U54"/>
      <c r="V54"/>
      <c r="W54"/>
    </row>
    <row r="55" spans="5:23" ht="26" customHeight="1" x14ac:dyDescent="0.2">
      <c r="E55" s="14" t="s">
        <v>17</v>
      </c>
      <c r="F55" s="9"/>
      <c r="G55" s="9"/>
      <c r="H55" s="9">
        <v>0</v>
      </c>
      <c r="I55" s="9">
        <v>0</v>
      </c>
      <c r="J55" s="9"/>
      <c r="K55" s="9">
        <v>0</v>
      </c>
      <c r="L55" s="9">
        <v>0</v>
      </c>
      <c r="M55" s="9">
        <v>0</v>
      </c>
      <c r="N55" s="9">
        <v>0</v>
      </c>
      <c r="O55"/>
      <c r="P55"/>
      <c r="Q55"/>
      <c r="R55"/>
      <c r="S55"/>
      <c r="T55"/>
      <c r="U55"/>
      <c r="V55"/>
      <c r="W55"/>
    </row>
    <row r="56" spans="5:23" ht="26" customHeight="1" x14ac:dyDescent="0.2">
      <c r="E56" s="14" t="s">
        <v>20</v>
      </c>
      <c r="F56" s="9"/>
      <c r="G56" s="9">
        <v>0</v>
      </c>
      <c r="H56" s="9"/>
      <c r="I56" s="9">
        <v>0</v>
      </c>
      <c r="J56" s="9"/>
      <c r="K56" s="9">
        <v>0</v>
      </c>
      <c r="L56" s="9">
        <v>0</v>
      </c>
      <c r="M56" s="9">
        <v>0</v>
      </c>
      <c r="N56" s="9">
        <v>0</v>
      </c>
      <c r="O56"/>
      <c r="P56"/>
      <c r="Q56"/>
      <c r="R56"/>
      <c r="S56"/>
      <c r="T56"/>
      <c r="U56"/>
      <c r="V56"/>
      <c r="W56"/>
    </row>
    <row r="57" spans="5:23" ht="26" customHeight="1" x14ac:dyDescent="0.2">
      <c r="E57" s="14" t="s">
        <v>22</v>
      </c>
      <c r="F57" s="9"/>
      <c r="G57" s="9"/>
      <c r="H57" s="9"/>
      <c r="I57" s="9"/>
      <c r="J57" s="9"/>
      <c r="K57" s="9">
        <v>0</v>
      </c>
      <c r="L57" s="9">
        <v>0</v>
      </c>
      <c r="M57" s="9">
        <v>0</v>
      </c>
      <c r="N57" s="9">
        <v>0</v>
      </c>
      <c r="O57"/>
      <c r="P57"/>
      <c r="Q57"/>
      <c r="R57"/>
      <c r="S57"/>
      <c r="T57"/>
      <c r="U57"/>
      <c r="V57"/>
      <c r="W57"/>
    </row>
    <row r="58" spans="5:23" ht="26" customHeight="1" x14ac:dyDescent="0.2">
      <c r="E58" s="14" t="s">
        <v>23</v>
      </c>
      <c r="F58" s="9"/>
      <c r="G58" s="9"/>
      <c r="H58" s="9"/>
      <c r="I58" s="9"/>
      <c r="J58" s="9"/>
      <c r="K58" s="9">
        <v>0</v>
      </c>
      <c r="L58" s="9">
        <v>0</v>
      </c>
      <c r="M58" s="9">
        <v>0</v>
      </c>
      <c r="N58" s="9">
        <v>0</v>
      </c>
      <c r="O58"/>
      <c r="P58"/>
      <c r="Q58"/>
      <c r="R58"/>
      <c r="S58"/>
      <c r="T58"/>
      <c r="U58"/>
      <c r="V58"/>
      <c r="W58"/>
    </row>
    <row r="59" spans="5:23" ht="26" customHeight="1" x14ac:dyDescent="0.2">
      <c r="E59" s="14" t="s">
        <v>24</v>
      </c>
      <c r="F59" s="9"/>
      <c r="G59" s="9"/>
      <c r="H59" s="9">
        <v>0</v>
      </c>
      <c r="I59" s="9"/>
      <c r="J59" s="9"/>
      <c r="K59" s="9"/>
      <c r="L59" s="9">
        <v>0</v>
      </c>
      <c r="M59" s="9">
        <v>0</v>
      </c>
      <c r="N59" s="9">
        <v>0</v>
      </c>
      <c r="O59"/>
      <c r="P59"/>
      <c r="Q59"/>
      <c r="R59"/>
      <c r="S59"/>
      <c r="T59"/>
      <c r="U59"/>
      <c r="V59"/>
      <c r="W59"/>
    </row>
    <row r="60" spans="5:23" ht="26" customHeight="1" x14ac:dyDescent="0.2">
      <c r="E60" s="14" t="s">
        <v>25</v>
      </c>
      <c r="F60" s="9"/>
      <c r="G60" s="9"/>
      <c r="H60" s="9">
        <v>0</v>
      </c>
      <c r="I60" s="9"/>
      <c r="J60" s="9"/>
      <c r="K60" s="9"/>
      <c r="L60" s="9">
        <v>0</v>
      </c>
      <c r="M60" s="9"/>
      <c r="N60" s="9">
        <v>0</v>
      </c>
      <c r="O60"/>
      <c r="P60"/>
      <c r="Q60"/>
      <c r="R60"/>
      <c r="S60"/>
      <c r="T60"/>
      <c r="U60"/>
      <c r="V60"/>
      <c r="W60"/>
    </row>
    <row r="61" spans="5:23" ht="26" customHeight="1" x14ac:dyDescent="0.2">
      <c r="E61" s="14" t="s">
        <v>26</v>
      </c>
      <c r="F61" s="9"/>
      <c r="G61" s="9">
        <v>0</v>
      </c>
      <c r="H61" s="9"/>
      <c r="I61" s="9">
        <v>0</v>
      </c>
      <c r="J61" s="9"/>
      <c r="K61" s="9"/>
      <c r="L61" s="9"/>
      <c r="M61" s="9"/>
      <c r="N61" s="9">
        <v>0</v>
      </c>
      <c r="O61"/>
      <c r="P61"/>
      <c r="Q61"/>
      <c r="R61"/>
      <c r="S61"/>
      <c r="T61"/>
      <c r="U61"/>
      <c r="V61"/>
      <c r="W61"/>
    </row>
    <row r="62" spans="5:23" ht="26" customHeight="1" x14ac:dyDescent="0.2">
      <c r="E62" s="14" t="s">
        <v>27</v>
      </c>
      <c r="F62" s="9"/>
      <c r="G62" s="9">
        <v>0</v>
      </c>
      <c r="H62" s="9"/>
      <c r="I62" s="9"/>
      <c r="J62" s="9"/>
      <c r="K62" s="9">
        <v>0</v>
      </c>
      <c r="L62" s="9">
        <v>0</v>
      </c>
      <c r="M62" s="9"/>
      <c r="N62" s="9">
        <v>0</v>
      </c>
      <c r="O62"/>
      <c r="P62"/>
      <c r="Q62"/>
      <c r="R62"/>
      <c r="S62"/>
      <c r="T62"/>
      <c r="U62"/>
      <c r="V62"/>
      <c r="W62"/>
    </row>
    <row r="63" spans="5:23" ht="26" customHeight="1" x14ac:dyDescent="0.2">
      <c r="E63" s="14" t="s">
        <v>28</v>
      </c>
      <c r="F63" s="9"/>
      <c r="G63" s="9"/>
      <c r="H63" s="9"/>
      <c r="I63" s="9"/>
      <c r="J63" s="9"/>
      <c r="K63" s="9">
        <v>0</v>
      </c>
      <c r="L63" s="9">
        <v>0</v>
      </c>
      <c r="M63" s="9"/>
      <c r="N63" s="9">
        <v>0</v>
      </c>
      <c r="O63"/>
      <c r="P63"/>
      <c r="Q63"/>
      <c r="R63"/>
      <c r="S63"/>
      <c r="T63"/>
      <c r="U63"/>
      <c r="V63"/>
      <c r="W63"/>
    </row>
    <row r="64" spans="5:23" ht="26" customHeight="1" x14ac:dyDescent="0.2">
      <c r="E64" s="14" t="s">
        <v>29</v>
      </c>
      <c r="F64" s="9"/>
      <c r="G64" s="9"/>
      <c r="H64" s="9"/>
      <c r="I64" s="9"/>
      <c r="J64" s="9"/>
      <c r="K64" s="9">
        <v>0</v>
      </c>
      <c r="L64" s="9">
        <v>0</v>
      </c>
      <c r="M64" s="9">
        <v>0</v>
      </c>
      <c r="N64" s="9">
        <v>0</v>
      </c>
      <c r="O64"/>
      <c r="P64"/>
      <c r="Q64"/>
      <c r="R64"/>
      <c r="S64"/>
      <c r="T64"/>
      <c r="U64"/>
      <c r="V64"/>
      <c r="W64"/>
    </row>
    <row r="65" spans="5:23" ht="26" customHeight="1" x14ac:dyDescent="0.2">
      <c r="E65" s="14" t="s">
        <v>30</v>
      </c>
      <c r="F65" s="9"/>
      <c r="G65" s="9"/>
      <c r="H65" s="9">
        <v>0</v>
      </c>
      <c r="I65" s="9"/>
      <c r="J65" s="9"/>
      <c r="K65" s="9">
        <v>0</v>
      </c>
      <c r="L65" s="9">
        <v>0</v>
      </c>
      <c r="M65" s="9">
        <v>0</v>
      </c>
      <c r="N65" s="9">
        <v>0</v>
      </c>
      <c r="O65"/>
      <c r="P65"/>
      <c r="Q65"/>
      <c r="R65"/>
      <c r="S65"/>
      <c r="T65"/>
      <c r="U65"/>
      <c r="V65"/>
      <c r="W65"/>
    </row>
    <row r="66" spans="5:23" ht="26" customHeight="1" x14ac:dyDescent="0.2">
      <c r="E66" s="14" t="s">
        <v>33</v>
      </c>
      <c r="F66" s="9"/>
      <c r="G66" s="9">
        <v>0</v>
      </c>
      <c r="H66" s="9">
        <v>0</v>
      </c>
      <c r="I66" s="9"/>
      <c r="J66" s="9"/>
      <c r="K66" s="9">
        <v>0</v>
      </c>
      <c r="L66" s="9">
        <v>0</v>
      </c>
      <c r="M66" s="9">
        <v>0</v>
      </c>
      <c r="N66" s="9">
        <v>0</v>
      </c>
    </row>
    <row r="67" spans="5:23" ht="26" customHeight="1" x14ac:dyDescent="0.2">
      <c r="E67" s="14" t="s">
        <v>34</v>
      </c>
      <c r="F67" s="9"/>
      <c r="G67" s="9">
        <v>0</v>
      </c>
      <c r="H67" s="9"/>
      <c r="I67" s="9"/>
      <c r="J67" s="9">
        <v>0</v>
      </c>
      <c r="K67" s="9"/>
      <c r="L67" s="9"/>
      <c r="M67" s="9"/>
      <c r="N67" s="9">
        <v>0</v>
      </c>
    </row>
    <row r="68" spans="5:23" ht="26" customHeight="1" x14ac:dyDescent="0.2">
      <c r="E68" s="14" t="s">
        <v>35</v>
      </c>
      <c r="F68" s="9"/>
      <c r="G68" s="9">
        <v>0</v>
      </c>
      <c r="H68" s="9"/>
      <c r="I68" s="9"/>
      <c r="J68" s="9"/>
      <c r="K68" s="9">
        <v>0</v>
      </c>
      <c r="L68" s="9">
        <v>0</v>
      </c>
      <c r="M68" s="9">
        <v>0</v>
      </c>
      <c r="N68" s="9">
        <v>0</v>
      </c>
    </row>
    <row r="69" spans="5:23" ht="26" customHeight="1" x14ac:dyDescent="0.2">
      <c r="E69" s="14" t="s">
        <v>36</v>
      </c>
      <c r="F69" s="9">
        <v>0</v>
      </c>
      <c r="G69" s="9"/>
      <c r="H69" s="9"/>
      <c r="I69" s="9">
        <v>0</v>
      </c>
      <c r="J69" s="9">
        <v>0</v>
      </c>
      <c r="K69" s="9"/>
      <c r="L69" s="9"/>
      <c r="M69" s="9"/>
      <c r="N69" s="9">
        <v>0</v>
      </c>
    </row>
    <row r="70" spans="5:23" ht="26" customHeight="1" x14ac:dyDescent="0.2">
      <c r="E70" s="14" t="s">
        <v>50</v>
      </c>
      <c r="F70" s="9">
        <v>0</v>
      </c>
      <c r="G70" s="9">
        <v>0</v>
      </c>
      <c r="H70" s="9">
        <v>0</v>
      </c>
      <c r="I70" s="9">
        <v>0</v>
      </c>
      <c r="J70" s="9">
        <v>0</v>
      </c>
      <c r="K70" s="9">
        <v>0</v>
      </c>
      <c r="L70" s="9">
        <v>0</v>
      </c>
      <c r="M70" s="9">
        <v>0</v>
      </c>
      <c r="N70" s="9">
        <v>0</v>
      </c>
    </row>
    <row r="71" spans="5:23" ht="26" customHeight="1" x14ac:dyDescent="0.2">
      <c r="E71"/>
      <c r="F71"/>
      <c r="G71"/>
      <c r="H71"/>
      <c r="I71"/>
      <c r="J71"/>
      <c r="K71"/>
      <c r="L71"/>
      <c r="M71"/>
      <c r="N71"/>
    </row>
    <row r="72" spans="5:23" ht="26" customHeight="1" x14ac:dyDescent="0.2">
      <c r="F72" s="8"/>
      <c r="G72" s="8"/>
      <c r="H72" s="17"/>
      <c r="I72" s="17"/>
      <c r="J72" s="17"/>
      <c r="K72" s="8"/>
      <c r="L72" s="8"/>
      <c r="M72" s="8"/>
    </row>
    <row r="73" spans="5:23" ht="26" customHeight="1" x14ac:dyDescent="0.2">
      <c r="F73" s="8"/>
      <c r="G73" s="8"/>
      <c r="H73" s="17"/>
      <c r="I73" s="17"/>
      <c r="J73" s="17"/>
      <c r="K73" s="8"/>
      <c r="L73" s="8"/>
      <c r="M73" s="8"/>
    </row>
    <row r="74" spans="5:23" hidden="1" x14ac:dyDescent="0.2">
      <c r="F74" s="8"/>
      <c r="G74" s="8"/>
      <c r="H74" s="17"/>
      <c r="I74" s="17"/>
      <c r="J74" s="17"/>
      <c r="K74" s="8"/>
      <c r="L74" s="8"/>
      <c r="M74" s="8"/>
    </row>
    <row r="75" spans="5:23" hidden="1" x14ac:dyDescent="0.2">
      <c r="F75" s="8"/>
      <c r="G75" s="8"/>
      <c r="H75" s="17"/>
      <c r="I75" s="17"/>
      <c r="J75" s="17"/>
      <c r="K75" s="8"/>
      <c r="L75" s="8"/>
      <c r="M75" s="8"/>
    </row>
    <row r="76" spans="5:23" hidden="1" x14ac:dyDescent="0.2">
      <c r="F76" s="8"/>
      <c r="G76" s="8"/>
      <c r="H76" s="17"/>
      <c r="I76" s="17"/>
      <c r="J76" s="17"/>
      <c r="K76" s="8"/>
      <c r="L76" s="8"/>
      <c r="M76" s="8"/>
    </row>
    <row r="77" spans="5:23" hidden="1" x14ac:dyDescent="0.2">
      <c r="F77" s="8"/>
      <c r="G77" s="8"/>
      <c r="H77" s="17"/>
      <c r="I77" s="17"/>
      <c r="J77" s="17"/>
      <c r="K77" s="8"/>
      <c r="L77" s="8"/>
      <c r="M77" s="8"/>
    </row>
    <row r="78" spans="5:23" hidden="1" x14ac:dyDescent="0.2">
      <c r="F78" s="8"/>
      <c r="G78" s="8"/>
      <c r="H78" s="17"/>
      <c r="I78" s="17"/>
      <c r="J78" s="17"/>
      <c r="K78" s="8"/>
      <c r="L78" s="8"/>
      <c r="M78" s="8"/>
    </row>
    <row r="79" spans="5:23" hidden="1" x14ac:dyDescent="0.2">
      <c r="F79" s="15"/>
      <c r="G79" s="15"/>
      <c r="H79" s="15"/>
      <c r="I79" s="15"/>
      <c r="J79" s="15"/>
      <c r="K79" s="15"/>
      <c r="L79" s="15"/>
      <c r="M79" s="15"/>
    </row>
    <row r="80" spans="5:23" x14ac:dyDescent="0.2"/>
    <row r="81" spans="12:12" x14ac:dyDescent="0.2"/>
    <row r="82" spans="12:12" x14ac:dyDescent="0.2"/>
    <row r="83" spans="12:12" hidden="1" x14ac:dyDescent="0.2">
      <c r="L83" s="18"/>
    </row>
    <row r="84" spans="12:12" hidden="1" x14ac:dyDescent="0.2">
      <c r="L84" s="9"/>
    </row>
    <row r="85" spans="12:12" x14ac:dyDescent="0.2"/>
    <row r="86" spans="12:12" x14ac:dyDescent="0.2"/>
    <row r="87" spans="12:12" x14ac:dyDescent="0.2"/>
    <row r="88" spans="12:12" x14ac:dyDescent="0.2"/>
    <row r="89" spans="12:12" x14ac:dyDescent="0.2"/>
    <row r="90" spans="12:12" x14ac:dyDescent="0.2"/>
    <row r="91" spans="12:12" x14ac:dyDescent="0.2"/>
    <row r="92" spans="12:12" x14ac:dyDescent="0.2"/>
    <row r="93" spans="12:12" x14ac:dyDescent="0.2"/>
    <row r="94" spans="12:12" x14ac:dyDescent="0.2"/>
    <row r="95" spans="12:12" x14ac:dyDescent="0.2"/>
    <row r="96" spans="12:12"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9" x14ac:dyDescent="0.2"/>
  </sheetData>
  <sortState xmlns:xlrd2="http://schemas.microsoft.com/office/spreadsheetml/2017/richdata2" ref="E51:N70">
    <sortCondition ref="E58"/>
  </sortState>
  <pageMargins left="0.7" right="0.7" top="0.75" bottom="0.75" header="0.3" footer="0.3"/>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441501D0-89F4-DE4C-ADDD-160D2D3DB3A0}">
          <x14:formula1>
            <xm:f>'Quick Inputs- Constants'!$B$15:$B$18</xm:f>
          </x14:formula1>
          <xm:sqref>C5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EC19-E060-8649-AA1D-B4DF84147764}">
  <sheetPr codeName="Sheet5"/>
  <dimension ref="A1:N41"/>
  <sheetViews>
    <sheetView showGridLines="0" workbookViewId="0">
      <selection activeCell="F36" sqref="F36"/>
    </sheetView>
  </sheetViews>
  <sheetFormatPr baseColWidth="10" defaultColWidth="0" defaultRowHeight="16" x14ac:dyDescent="0.2"/>
  <cols>
    <col min="1" max="1" width="11" customWidth="1"/>
    <col min="2" max="2" width="31.33203125" bestFit="1" customWidth="1"/>
    <col min="3" max="3" width="11.33203125" customWidth="1"/>
    <col min="4" max="4" width="22" customWidth="1"/>
    <col min="5" max="5" width="16.33203125" customWidth="1"/>
    <col min="6" max="6" width="16.6640625" customWidth="1"/>
    <col min="7" max="7" width="16.5" customWidth="1"/>
    <col min="8" max="9" width="12.1640625" customWidth="1"/>
    <col min="10" max="10" width="17.1640625" bestFit="1" customWidth="1"/>
    <col min="11" max="11" width="12.1640625" customWidth="1"/>
    <col min="12" max="12" width="11" customWidth="1"/>
    <col min="13" max="13" width="39.83203125" hidden="1" customWidth="1"/>
    <col min="14" max="14" width="15" hidden="1" customWidth="1"/>
    <col min="15" max="16384" width="11" hidden="1"/>
  </cols>
  <sheetData>
    <row r="1" spans="2:14" x14ac:dyDescent="0.2">
      <c r="B1" s="69" t="s">
        <v>384</v>
      </c>
      <c r="C1" s="69" t="s">
        <v>58</v>
      </c>
      <c r="D1" s="69" t="s">
        <v>59</v>
      </c>
      <c r="E1" s="69" t="s">
        <v>60</v>
      </c>
      <c r="F1" s="69" t="s">
        <v>49</v>
      </c>
      <c r="G1" s="69" t="s">
        <v>51</v>
      </c>
      <c r="H1" s="69" t="s">
        <v>63</v>
      </c>
      <c r="I1" s="67"/>
      <c r="J1" s="69" t="s">
        <v>61</v>
      </c>
      <c r="K1" s="69" t="s">
        <v>62</v>
      </c>
      <c r="L1" s="20"/>
    </row>
    <row r="2" spans="2:14" x14ac:dyDescent="0.2">
      <c r="B2" s="49" t="s">
        <v>11</v>
      </c>
      <c r="C2" s="49" t="s">
        <v>43</v>
      </c>
      <c r="D2" s="70">
        <f>IFERROR(GETPIVOTDATA("Running Budget Total",Summary!$E$28,"Category",B2),0)/GETPIVOTDATA("Running Budget Total",Summary!$E$28)</f>
        <v>0.13223527236486854</v>
      </c>
      <c r="E2" s="71">
        <f t="shared" ref="E2:E20" si="0">IF(D2&lt;$J$2,NA(),D2)</f>
        <v>0.13223527236486854</v>
      </c>
      <c r="F2" s="68">
        <f>IFERROR(GETPIVOTDATA("Budget Total",Summary!$E$5,"Category",CategoriesTable[[#This Row],[Expense Categories]]),0)</f>
        <v>28132.993325729927</v>
      </c>
      <c r="G2" s="68">
        <f>IFERROR(GETPIVOTDATA("Running Budget Total",Summary!$E$28,"Category",B2),0)</f>
        <v>28132.993325729927</v>
      </c>
      <c r="H2" s="68">
        <f t="shared" ref="H2:H20" si="1">G2-F2</f>
        <v>0</v>
      </c>
      <c r="I2" s="68"/>
      <c r="J2" s="99">
        <v>0.03</v>
      </c>
      <c r="K2" s="70">
        <f>SUM(D:D)-SUMIF(E:E,"&gt;0")</f>
        <v>0.15814794462427906</v>
      </c>
    </row>
    <row r="3" spans="2:14" x14ac:dyDescent="0.2">
      <c r="B3" s="72" t="s">
        <v>94</v>
      </c>
      <c r="C3" s="72" t="s">
        <v>45</v>
      </c>
      <c r="D3" s="70">
        <f>IFERROR(GETPIVOTDATA("Running Budget Total",Summary!$E$28,"Category",B3),0)/GETPIVOTDATA("Running Budget Total",Summary!$E$28)</f>
        <v>5.592402332151282E-3</v>
      </c>
      <c r="E3" s="71" t="e">
        <f t="shared" si="0"/>
        <v>#N/A</v>
      </c>
      <c r="F3" s="68">
        <f>IFERROR(GETPIVOTDATA("Budget Total",Summary!$E$5,"Category",CategoriesTable[[#This Row],[Expense Categories]]),0)</f>
        <v>1189.78102189781</v>
      </c>
      <c r="G3" s="68">
        <f>IFERROR(GETPIVOTDATA("Running Budget Total",Summary!$E$28,"Category",B3),0)</f>
        <v>1189.78102189781</v>
      </c>
      <c r="H3" s="68">
        <f t="shared" si="1"/>
        <v>0</v>
      </c>
      <c r="I3" s="68"/>
      <c r="J3" s="68"/>
      <c r="K3" s="68"/>
    </row>
    <row r="4" spans="2:14" x14ac:dyDescent="0.2">
      <c r="B4" s="49" t="s">
        <v>17</v>
      </c>
      <c r="C4" s="49" t="s">
        <v>45</v>
      </c>
      <c r="D4" s="70">
        <f>IFERROR(GETPIVOTDATA("Running Budget Total",Summary!$E$28,"Category",B4),0)/GETPIVOTDATA("Running Budget Total",Summary!$E$28)</f>
        <v>0.21333631618155749</v>
      </c>
      <c r="E4" s="71">
        <f t="shared" si="0"/>
        <v>0.21333631618155749</v>
      </c>
      <c r="F4" s="68">
        <f>IFERROR(GETPIVOTDATA("Budget Total",Summary!$E$5,"Category",CategoriesTable[[#This Row],[Expense Categories]]),0)</f>
        <v>45387.203065693429</v>
      </c>
      <c r="G4" s="68">
        <f>IFERROR(GETPIVOTDATA("Running Budget Total",Summary!$E$28,"Category",B4),0)</f>
        <v>45387.203065693429</v>
      </c>
      <c r="H4" s="68">
        <f t="shared" si="1"/>
        <v>0</v>
      </c>
      <c r="I4" s="68"/>
      <c r="J4" s="68"/>
      <c r="K4" s="68"/>
    </row>
    <row r="5" spans="2:14" x14ac:dyDescent="0.2">
      <c r="B5" s="49" t="s">
        <v>20</v>
      </c>
      <c r="C5" s="49" t="s">
        <v>46</v>
      </c>
      <c r="D5" s="70">
        <f>IFERROR(GETPIVOTDATA("Running Budget Total",Summary!$E$28,"Category",B5),0)/GETPIVOTDATA("Running Budget Total",Summary!$E$28)</f>
        <v>0.36676258802595557</v>
      </c>
      <c r="E5" s="71">
        <f t="shared" si="0"/>
        <v>0.36676258802595557</v>
      </c>
      <c r="F5" s="68">
        <f>IFERROR(GETPIVOTDATA("Budget Total",Summary!$E$5,"Category",CategoriesTable[[#This Row],[Expense Categories]]),0)</f>
        <v>78028.571776155703</v>
      </c>
      <c r="G5" s="68">
        <f>IFERROR(GETPIVOTDATA("Running Budget Total",Summary!$E$28,"Category",B5),0)</f>
        <v>78028.571776155703</v>
      </c>
      <c r="H5" s="68">
        <f t="shared" si="1"/>
        <v>0</v>
      </c>
      <c r="I5" s="68"/>
      <c r="J5" s="68"/>
      <c r="K5" s="68"/>
    </row>
    <row r="6" spans="2:14" x14ac:dyDescent="0.2">
      <c r="B6" s="49" t="s">
        <v>69</v>
      </c>
      <c r="C6" s="49" t="s">
        <v>41</v>
      </c>
      <c r="D6" s="70">
        <f>IFERROR(GETPIVOTDATA("Running Budget Total",Summary!$E$28,"Category",B6),0)/GETPIVOTDATA("Running Budget Total",Summary!$E$28)</f>
        <v>0</v>
      </c>
      <c r="E6" s="71" t="e">
        <f t="shared" si="0"/>
        <v>#N/A</v>
      </c>
      <c r="F6" s="68">
        <f>IFERROR(GETPIVOTDATA("Budget Total",Summary!$E$5,"Category",CategoriesTable[[#This Row],[Expense Categories]]),0)</f>
        <v>0</v>
      </c>
      <c r="G6" s="68">
        <f>IFERROR(GETPIVOTDATA("Running Budget Total",Summary!$E$28,"Category",B6),0)</f>
        <v>0</v>
      </c>
      <c r="H6" s="68">
        <f t="shared" si="1"/>
        <v>0</v>
      </c>
      <c r="I6" s="68"/>
      <c r="J6" s="68"/>
      <c r="K6" s="68"/>
    </row>
    <row r="7" spans="2:14" x14ac:dyDescent="0.2">
      <c r="B7" s="49" t="s">
        <v>22</v>
      </c>
      <c r="C7" s="49" t="s">
        <v>41</v>
      </c>
      <c r="D7" s="70">
        <f>IFERROR(GETPIVOTDATA("Running Budget Total",Summary!$E$28,"Category",B7),0)/GETPIVOTDATA("Running Budget Total",Summary!$E$28)</f>
        <v>1.1467855702586295E-2</v>
      </c>
      <c r="E7" s="71" t="e">
        <f t="shared" si="0"/>
        <v>#N/A</v>
      </c>
      <c r="F7" s="68">
        <f>IFERROR(GETPIVOTDATA("Budget Total",Summary!$E$5,"Category",CategoriesTable[[#This Row],[Expense Categories]]),0)</f>
        <v>2439.7810218978098</v>
      </c>
      <c r="G7" s="68">
        <f>IFERROR(GETPIVOTDATA("Running Budget Total",Summary!$E$28,"Category",B7),0)</f>
        <v>2439.7810218978098</v>
      </c>
      <c r="H7" s="68">
        <f t="shared" si="1"/>
        <v>0</v>
      </c>
      <c r="I7" s="68"/>
      <c r="J7" s="68"/>
      <c r="K7" s="68"/>
    </row>
    <row r="8" spans="2:14" x14ac:dyDescent="0.2">
      <c r="B8" s="49" t="s">
        <v>23</v>
      </c>
      <c r="C8" s="49" t="s">
        <v>41</v>
      </c>
      <c r="D8" s="70">
        <f>IFERROR(GETPIVOTDATA("Running Budget Total",Summary!$E$28,"Category",B8),0)/GETPIVOTDATA("Running Budget Total",Summary!$E$28)</f>
        <v>0</v>
      </c>
      <c r="E8" s="71" t="e">
        <f t="shared" si="0"/>
        <v>#N/A</v>
      </c>
      <c r="F8" s="68">
        <f>IFERROR(GETPIVOTDATA("Budget Total",Summary!$E$5,"Category",CategoriesTable[[#This Row],[Expense Categories]]),0)</f>
        <v>0</v>
      </c>
      <c r="G8" s="68">
        <f>IFERROR(GETPIVOTDATA("Running Budget Total",Summary!$E$28,"Category",B8),0)</f>
        <v>0</v>
      </c>
      <c r="H8" s="68">
        <f t="shared" si="1"/>
        <v>0</v>
      </c>
      <c r="I8" s="68"/>
      <c r="J8" s="68"/>
      <c r="K8" s="68"/>
    </row>
    <row r="9" spans="2:14" x14ac:dyDescent="0.2">
      <c r="B9" s="49" t="s">
        <v>24</v>
      </c>
      <c r="C9" s="49" t="s">
        <v>41</v>
      </c>
      <c r="D9" s="70">
        <f>IFERROR(GETPIVOTDATA("Running Budget Total",Summary!$E$28,"Category",B9),0)/GETPIVOTDATA("Running Budget Total",Summary!$E$28)</f>
        <v>2.1105330415995487E-2</v>
      </c>
      <c r="E9" s="71" t="e">
        <f t="shared" si="0"/>
        <v>#N/A</v>
      </c>
      <c r="F9" s="68">
        <f>IFERROR(GETPIVOTDATA("Budget Total",Summary!$E$5,"Category",CategoriesTable[[#This Row],[Expense Categories]]),0)</f>
        <v>4490.1493309002435</v>
      </c>
      <c r="G9" s="68">
        <f>IFERROR(GETPIVOTDATA("Running Budget Total",Summary!$E$28,"Category",B9),0)</f>
        <v>4490.1493309002435</v>
      </c>
      <c r="H9" s="68">
        <f t="shared" si="1"/>
        <v>0</v>
      </c>
      <c r="I9" s="68"/>
      <c r="J9" s="68"/>
      <c r="K9" s="68"/>
    </row>
    <row r="10" spans="2:14" x14ac:dyDescent="0.2">
      <c r="B10" s="49" t="s">
        <v>25</v>
      </c>
      <c r="C10" s="49" t="s">
        <v>41</v>
      </c>
      <c r="D10" s="70">
        <f>IFERROR(GETPIVOTDATA("Running Budget Total",Summary!$E$28,"Category",B10),0)/GETPIVOTDATA("Running Budget Total",Summary!$E$28)</f>
        <v>2.9575560401370785E-2</v>
      </c>
      <c r="E10" s="71" t="e">
        <f t="shared" si="0"/>
        <v>#N/A</v>
      </c>
      <c r="F10" s="68">
        <f>IFERROR(GETPIVOTDATA("Budget Total",Summary!$E$5,"Category",CategoriesTable[[#This Row],[Expense Categories]]),0)</f>
        <v>6292.1868613138686</v>
      </c>
      <c r="G10" s="68">
        <f>IFERROR(GETPIVOTDATA("Running Budget Total",Summary!$E$28,"Category",B10),0)</f>
        <v>6292.1868613138686</v>
      </c>
      <c r="H10" s="68">
        <f t="shared" si="1"/>
        <v>0</v>
      </c>
      <c r="I10" s="68"/>
      <c r="J10" s="68"/>
      <c r="K10" s="68"/>
    </row>
    <row r="11" spans="2:14" x14ac:dyDescent="0.2">
      <c r="B11" s="49" t="s">
        <v>70</v>
      </c>
      <c r="C11" s="49" t="s">
        <v>41</v>
      </c>
      <c r="D11" s="70">
        <f>IFERROR(GETPIVOTDATA("Running Budget Total",Summary!$E$28,"Category",B11),0)/GETPIVOTDATA("Running Budget Total",Summary!$E$28)</f>
        <v>0</v>
      </c>
      <c r="E11" s="71" t="e">
        <f t="shared" si="0"/>
        <v>#N/A</v>
      </c>
      <c r="F11" s="68">
        <f>IFERROR(GETPIVOTDATA("Budget Total",Summary!$E$5,"Category",CategoriesTable[[#This Row],[Expense Categories]]),0)</f>
        <v>0</v>
      </c>
      <c r="G11" s="68">
        <f>IFERROR(GETPIVOTDATA("Running Budget Total",Summary!$E$28,"Category",B11),0)</f>
        <v>0</v>
      </c>
      <c r="H11" s="68">
        <f t="shared" si="1"/>
        <v>0</v>
      </c>
      <c r="I11" s="68"/>
      <c r="J11" s="68"/>
      <c r="K11" s="68"/>
    </row>
    <row r="12" spans="2:14" x14ac:dyDescent="0.2">
      <c r="B12" s="49" t="s">
        <v>26</v>
      </c>
      <c r="C12" s="49" t="s">
        <v>41</v>
      </c>
      <c r="D12" s="70">
        <f>IFERROR(GETPIVOTDATA("Running Budget Total",Summary!$E$28,"Category",B12),0)/GETPIVOTDATA("Running Budget Total",Summary!$E$28)</f>
        <v>1.9190717440567096E-2</v>
      </c>
      <c r="E12" s="71" t="e">
        <f t="shared" si="0"/>
        <v>#N/A</v>
      </c>
      <c r="F12" s="68">
        <f>IFERROR(GETPIVOTDATA("Budget Total",Summary!$E$5,"Category",CategoriesTable[[#This Row],[Expense Categories]]),0)</f>
        <v>4082.8163017031629</v>
      </c>
      <c r="G12" s="68">
        <f>IFERROR(GETPIVOTDATA("Running Budget Total",Summary!$E$28,"Category",B12),0)</f>
        <v>4082.8163017031629</v>
      </c>
      <c r="H12" s="68">
        <f t="shared" si="1"/>
        <v>0</v>
      </c>
      <c r="I12" s="68"/>
      <c r="J12" s="68"/>
      <c r="K12" s="68"/>
    </row>
    <row r="13" spans="2:14" x14ac:dyDescent="0.2">
      <c r="B13" s="49" t="s">
        <v>27</v>
      </c>
      <c r="C13" s="49" t="s">
        <v>41</v>
      </c>
      <c r="D13" s="70">
        <f>IFERROR(GETPIVOTDATA("Running Budget Total",Summary!$E$28,"Category",B13),0)/GETPIVOTDATA("Running Budget Total",Summary!$E$28)</f>
        <v>2.0391977126646893E-2</v>
      </c>
      <c r="E13" s="71" t="e">
        <f t="shared" si="0"/>
        <v>#N/A</v>
      </c>
      <c r="F13" s="68">
        <f>IFERROR(GETPIVOTDATA("Budget Total",Summary!$E$5,"Category",CategoriesTable[[#This Row],[Expense Categories]]),0)</f>
        <v>4338.3837469586379</v>
      </c>
      <c r="G13" s="68">
        <f>IFERROR(GETPIVOTDATA("Running Budget Total",Summary!$E$28,"Category",B13),0)</f>
        <v>4338.3837469586379</v>
      </c>
      <c r="H13" s="68">
        <f t="shared" si="1"/>
        <v>0</v>
      </c>
      <c r="I13" s="68"/>
      <c r="J13" s="68"/>
      <c r="K13" s="68"/>
    </row>
    <row r="14" spans="2:14" x14ac:dyDescent="0.2">
      <c r="B14" s="49" t="s">
        <v>28</v>
      </c>
      <c r="C14" s="49" t="s">
        <v>41</v>
      </c>
      <c r="D14" s="70">
        <f>IFERROR(GETPIVOTDATA("Running Budget Total",Summary!$E$28,"Category",B14),0)/GETPIVOTDATA("Running Budget Total",Summary!$E$28)</f>
        <v>1.1265145413552799E-2</v>
      </c>
      <c r="E14" s="71" t="e">
        <f t="shared" si="0"/>
        <v>#N/A</v>
      </c>
      <c r="F14" s="68">
        <f>IFERROR(GETPIVOTDATA("Budget Total",Summary!$E$5,"Category",CategoriesTable[[#This Row],[Expense Categories]]),0)</f>
        <v>2396.6545012165452</v>
      </c>
      <c r="G14" s="68">
        <f>IFERROR(GETPIVOTDATA("Running Budget Total",Summary!$E$28,"Category",B14),0)</f>
        <v>2396.6545012165452</v>
      </c>
      <c r="H14" s="68">
        <f t="shared" si="1"/>
        <v>0</v>
      </c>
      <c r="I14" s="68"/>
      <c r="J14" s="68"/>
      <c r="K14" s="68"/>
    </row>
    <row r="15" spans="2:14" x14ac:dyDescent="0.2">
      <c r="B15" s="49" t="s">
        <v>29</v>
      </c>
      <c r="C15" s="49" t="s">
        <v>41</v>
      </c>
      <c r="D15" s="70">
        <f>IFERROR(GETPIVOTDATA("Running Budget Total",Summary!$E$28,"Category",B15),0)/GETPIVOTDATA("Running Budget Total",Summary!$E$28)</f>
        <v>2.2727997688694688E-2</v>
      </c>
      <c r="E15" s="71" t="e">
        <f t="shared" si="0"/>
        <v>#N/A</v>
      </c>
      <c r="F15" s="68">
        <f>IFERROR(GETPIVOTDATA("Budget Total",Summary!$E$5,"Category",CategoriesTable[[#This Row],[Expense Categories]]),0)</f>
        <v>4835.3710462287108</v>
      </c>
      <c r="G15" s="68">
        <f>IFERROR(GETPIVOTDATA("Running Budget Total",Summary!$E$28,"Category",B15),0)</f>
        <v>4835.3710462287108</v>
      </c>
      <c r="H15" s="68">
        <f t="shared" si="1"/>
        <v>0</v>
      </c>
      <c r="I15" s="68"/>
      <c r="J15" s="68"/>
      <c r="K15" s="68"/>
      <c r="N15" s="6"/>
    </row>
    <row r="16" spans="2:14" x14ac:dyDescent="0.2">
      <c r="B16" s="49" t="s">
        <v>30</v>
      </c>
      <c r="C16" s="49" t="s">
        <v>41</v>
      </c>
      <c r="D16" s="70">
        <f>IFERROR(GETPIVOTDATA("Running Budget Total",Summary!$E$28,"Category",B16),0)/GETPIVOTDATA("Running Budget Total",Summary!$E$28)</f>
        <v>4.7191328692788977E-2</v>
      </c>
      <c r="E16" s="71">
        <f t="shared" si="0"/>
        <v>4.7191328692788977E-2</v>
      </c>
      <c r="F16" s="68">
        <f>IFERROR(GETPIVOTDATA("Budget Total",Summary!$E$5,"Category",CategoriesTable[[#This Row],[Expense Categories]]),0)</f>
        <v>10039.933456508516</v>
      </c>
      <c r="G16" s="68">
        <f>IFERROR(GETPIVOTDATA("Running Budget Total",Summary!$E$28,"Category",B16),0)</f>
        <v>10039.933456508516</v>
      </c>
      <c r="H16" s="68">
        <f t="shared" si="1"/>
        <v>0</v>
      </c>
      <c r="I16" s="68"/>
      <c r="J16" s="68"/>
      <c r="K16" s="68"/>
      <c r="N16" s="6"/>
    </row>
    <row r="17" spans="2:14" x14ac:dyDescent="0.2">
      <c r="B17" s="49" t="s">
        <v>33</v>
      </c>
      <c r="C17" s="49" t="s">
        <v>41</v>
      </c>
      <c r="D17" s="70">
        <f>IFERROR(GETPIVOTDATA("Running Budget Total",Summary!$E$28,"Category",B17),0)/GETPIVOTDATA("Running Budget Total",Summary!$E$28)</f>
        <v>8.2326550110550373E-2</v>
      </c>
      <c r="E17" s="71">
        <f t="shared" si="0"/>
        <v>8.2326550110550373E-2</v>
      </c>
      <c r="F17" s="68">
        <f>IFERROR(GETPIVOTDATA("Budget Total",Summary!$E$5,"Category",CategoriesTable[[#This Row],[Expense Categories]]),0)</f>
        <v>17514.935639863434</v>
      </c>
      <c r="G17" s="68">
        <f>IFERROR(GETPIVOTDATA("Running Budget Total",Summary!$E$28,"Category",B17),0)</f>
        <v>17514.935639863434</v>
      </c>
      <c r="H17" s="68">
        <f t="shared" si="1"/>
        <v>0</v>
      </c>
      <c r="I17" s="68"/>
      <c r="J17" s="68"/>
      <c r="K17" s="68"/>
    </row>
    <row r="18" spans="2:14" x14ac:dyDescent="0.2">
      <c r="B18" s="49" t="s">
        <v>34</v>
      </c>
      <c r="C18" s="49" t="s">
        <v>41</v>
      </c>
      <c r="D18" s="70">
        <f>IFERROR(GETPIVOTDATA("Running Budget Total",Summary!$E$28,"Category",B18),0)/GETPIVOTDATA("Running Budget Total",Summary!$E$28)</f>
        <v>5.7182027936107194E-4</v>
      </c>
      <c r="E18" s="71" t="e">
        <f t="shared" si="0"/>
        <v>#N/A</v>
      </c>
      <c r="F18" s="68">
        <f>IFERROR(GETPIVOTDATA("Budget Total",Summary!$E$5,"Category",CategoriesTable[[#This Row],[Expense Categories]]),0)</f>
        <v>121.65450121654501</v>
      </c>
      <c r="G18" s="68">
        <f>IFERROR(GETPIVOTDATA("Running Budget Total",Summary!$E$28,"Category",B18),0)</f>
        <v>121.65450121654501</v>
      </c>
      <c r="H18" s="68">
        <f t="shared" si="1"/>
        <v>0</v>
      </c>
      <c r="I18" s="68"/>
      <c r="J18" s="68"/>
      <c r="K18" s="68"/>
    </row>
    <row r="19" spans="2:14" x14ac:dyDescent="0.2">
      <c r="B19" s="49" t="s">
        <v>35</v>
      </c>
      <c r="C19" s="49" t="s">
        <v>48</v>
      </c>
      <c r="D19" s="70">
        <f>IFERROR(GETPIVOTDATA("Running Budget Total",Summary!$E$28,"Category",B19),0)/GETPIVOTDATA("Running Budget Total",Summary!$E$28)</f>
        <v>0</v>
      </c>
      <c r="E19" s="71" t="e">
        <f t="shared" si="0"/>
        <v>#N/A</v>
      </c>
      <c r="F19" s="68">
        <f>IFERROR(GETPIVOTDATA("Budget Total",Summary!$E$5,"Category",CategoriesTable[[#This Row],[Expense Categories]]),0)</f>
        <v>0</v>
      </c>
      <c r="G19" s="68">
        <f>IFERROR(GETPIVOTDATA("Running Budget Total",Summary!$E$28,"Category",B19),0)</f>
        <v>0</v>
      </c>
      <c r="H19" s="68">
        <f t="shared" si="1"/>
        <v>0</v>
      </c>
      <c r="I19" s="68"/>
      <c r="J19" s="68"/>
      <c r="K19" s="68"/>
    </row>
    <row r="20" spans="2:14" x14ac:dyDescent="0.2">
      <c r="B20" s="49" t="s">
        <v>36</v>
      </c>
      <c r="C20" s="49" t="s">
        <v>41</v>
      </c>
      <c r="D20" s="70">
        <f>IFERROR(GETPIVOTDATA("Running Budget Total",Summary!$E$28,"Category",B20),0)/GETPIVOTDATA("Running Budget Total",Summary!$E$28)</f>
        <v>1.6259137823352719E-2</v>
      </c>
      <c r="E20" s="71" t="e">
        <f t="shared" si="0"/>
        <v>#N/A</v>
      </c>
      <c r="F20" s="68">
        <f>IFERROR(GETPIVOTDATA("Budget Total",Summary!$E$5,"Category",CategoriesTable[[#This Row],[Expense Categories]]),0)</f>
        <v>3459.1240875912408</v>
      </c>
      <c r="G20" s="68">
        <f>IFERROR(GETPIVOTDATA("Running Budget Total",Summary!$E$28,"Category",B20),0)</f>
        <v>3459.1240875912408</v>
      </c>
      <c r="H20" s="68">
        <f t="shared" si="1"/>
        <v>0</v>
      </c>
      <c r="I20" s="68"/>
      <c r="J20" s="68"/>
      <c r="K20" s="68"/>
      <c r="N20" s="4"/>
    </row>
    <row r="21" spans="2:14" x14ac:dyDescent="0.2">
      <c r="N21" s="4"/>
    </row>
    <row r="22" spans="2:14" x14ac:dyDescent="0.2">
      <c r="N22" s="4"/>
    </row>
    <row r="25" spans="2:14" x14ac:dyDescent="0.2">
      <c r="B25" s="69" t="s">
        <v>385</v>
      </c>
    </row>
    <row r="26" spans="2:14" x14ac:dyDescent="0.2">
      <c r="B26" s="49" t="s">
        <v>107</v>
      </c>
    </row>
    <row r="27" spans="2:14" x14ac:dyDescent="0.2">
      <c r="B27" s="49" t="s">
        <v>19</v>
      </c>
    </row>
    <row r="28" spans="2:14" x14ac:dyDescent="0.2">
      <c r="B28" s="49" t="s">
        <v>16</v>
      </c>
    </row>
    <row r="29" spans="2:14" x14ac:dyDescent="0.2">
      <c r="B29" s="49" t="s">
        <v>12</v>
      </c>
    </row>
    <row r="30" spans="2:14" x14ac:dyDescent="0.2">
      <c r="B30" s="49" t="s">
        <v>31</v>
      </c>
    </row>
    <row r="31" spans="2:14" x14ac:dyDescent="0.2">
      <c r="B31" s="49" t="s">
        <v>32</v>
      </c>
    </row>
    <row r="32" spans="2:14" x14ac:dyDescent="0.2">
      <c r="B32" s="49" t="s">
        <v>106</v>
      </c>
    </row>
    <row r="33" spans="2:2" x14ac:dyDescent="0.2">
      <c r="B33" s="49" t="s">
        <v>21</v>
      </c>
    </row>
    <row r="36" spans="2:2" x14ac:dyDescent="0.2">
      <c r="B36" s="69" t="s">
        <v>386</v>
      </c>
    </row>
    <row r="37" spans="2:2" x14ac:dyDescent="0.2">
      <c r="B37" s="49" t="s">
        <v>64</v>
      </c>
    </row>
    <row r="38" spans="2:2" x14ac:dyDescent="0.2">
      <c r="B38" s="49" t="s">
        <v>65</v>
      </c>
    </row>
    <row r="39" spans="2:2" x14ac:dyDescent="0.2">
      <c r="B39" s="49" t="s">
        <v>66</v>
      </c>
    </row>
    <row r="40" spans="2:2" x14ac:dyDescent="0.2">
      <c r="B40" s="49" t="s">
        <v>67</v>
      </c>
    </row>
    <row r="41" spans="2:2" x14ac:dyDescent="0.2">
      <c r="B41" s="49" t="s">
        <v>68</v>
      </c>
    </row>
  </sheetData>
  <sortState xmlns:xlrd2="http://schemas.microsoft.com/office/spreadsheetml/2017/richdata2" ref="B2:C14">
    <sortCondition ref="B2"/>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3EBC-E4F9-A340-B055-F452BD97B086}">
  <dimension ref="A1:D20"/>
  <sheetViews>
    <sheetView showGridLines="0" zoomScale="170" workbookViewId="0">
      <selection activeCell="E1" sqref="E1:XFD1048576"/>
    </sheetView>
  </sheetViews>
  <sheetFormatPr baseColWidth="10" defaultColWidth="0" defaultRowHeight="16" zeroHeight="1" x14ac:dyDescent="0.2"/>
  <cols>
    <col min="1" max="1" width="10.83203125" customWidth="1"/>
    <col min="2" max="2" width="26.6640625" bestFit="1" customWidth="1"/>
    <col min="3" max="3" width="11.5" bestFit="1" customWidth="1"/>
    <col min="4" max="4" width="10.83203125" customWidth="1"/>
    <col min="5" max="16384" width="10.83203125" hidden="1"/>
  </cols>
  <sheetData>
    <row r="1" spans="2:3" x14ac:dyDescent="0.2"/>
    <row r="2" spans="2:3" ht="18" thickBot="1" x14ac:dyDescent="0.25">
      <c r="B2" s="3" t="s">
        <v>52</v>
      </c>
      <c r="C2" s="3"/>
    </row>
    <row r="3" spans="2:3" ht="17" thickTop="1" x14ac:dyDescent="0.2">
      <c r="B3" t="s">
        <v>53</v>
      </c>
      <c r="C3" s="2" t="str">
        <f>Currency</f>
        <v>$</v>
      </c>
    </row>
    <row r="4" spans="2:3" x14ac:dyDescent="0.2">
      <c r="B4" t="s">
        <v>54</v>
      </c>
      <c r="C4" s="2">
        <f>INDEX('Quick Inputs- Constants'!B15:C18,MATCH(C3,'Quick Inputs- Constants'!B15:B18,FALSE),2)</f>
        <v>1</v>
      </c>
    </row>
    <row r="5" spans="2:3" x14ac:dyDescent="0.2"/>
    <row r="6" spans="2:3" x14ac:dyDescent="0.2"/>
    <row r="7" spans="2:3" ht="18" thickBot="1" x14ac:dyDescent="0.25">
      <c r="B7" s="3" t="s">
        <v>55</v>
      </c>
      <c r="C7" s="3"/>
    </row>
    <row r="8" spans="2:3" ht="17" thickTop="1" x14ac:dyDescent="0.2">
      <c r="B8" t="s">
        <v>8</v>
      </c>
      <c r="C8" s="5">
        <f>GETPIVOTDATA("Cash Out Total",Summary!$E$51)</f>
        <v>0</v>
      </c>
    </row>
    <row r="9" spans="2:3" x14ac:dyDescent="0.2">
      <c r="B9" t="s">
        <v>56</v>
      </c>
      <c r="C9" s="6">
        <f>GETPIVOTDATA("Running Budget Total",Summary!$E$28)</f>
        <v>212749.53968487558</v>
      </c>
    </row>
    <row r="10" spans="2:3" x14ac:dyDescent="0.2">
      <c r="B10" t="s">
        <v>9</v>
      </c>
      <c r="C10" s="1">
        <f>C9-C8</f>
        <v>212749.53968487558</v>
      </c>
    </row>
    <row r="11" spans="2:3" x14ac:dyDescent="0.2"/>
    <row r="12" spans="2:3" x14ac:dyDescent="0.2"/>
    <row r="13" spans="2:3" ht="18" thickBot="1" x14ac:dyDescent="0.25">
      <c r="B13" s="3" t="s">
        <v>57</v>
      </c>
      <c r="C13" s="3"/>
    </row>
    <row r="14" spans="2:3" ht="17" thickTop="1" x14ac:dyDescent="0.2">
      <c r="B14" t="s">
        <v>49</v>
      </c>
      <c r="C14" s="5">
        <f>GETPIVOTDATA("Budget Total",Summary!$E$5)</f>
        <v>212749.53968487558</v>
      </c>
    </row>
    <row r="15" spans="2:3" x14ac:dyDescent="0.2">
      <c r="B15" t="s">
        <v>51</v>
      </c>
      <c r="C15" s="6">
        <f>GETPIVOTDATA("Running Budget Total",Summary!$E$28)</f>
        <v>212749.53968487558</v>
      </c>
    </row>
    <row r="16" spans="2:3" x14ac:dyDescent="0.2"/>
    <row r="17" x14ac:dyDescent="0.2"/>
    <row r="18" x14ac:dyDescent="0.2"/>
    <row r="19" x14ac:dyDescent="0.2"/>
    <row r="20"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E62614DC158A43954EA261489A65EB" ma:contentTypeVersion="10" ma:contentTypeDescription="Create a new document." ma:contentTypeScope="" ma:versionID="c2481bfef30b851be68940171452a364">
  <xsd:schema xmlns:xsd="http://www.w3.org/2001/XMLSchema" xmlns:xs="http://www.w3.org/2001/XMLSchema" xmlns:p="http://schemas.microsoft.com/office/2006/metadata/properties" xmlns:ns2="8a12c01d-5b0d-4ec2-960a-e8e3b841cf63" xmlns:ns3="4e9e65f5-971b-41af-82c0-1d6e73e050b5" targetNamespace="http://schemas.microsoft.com/office/2006/metadata/properties" ma:root="true" ma:fieldsID="ce9ffb4ac27fd33aadbfcd5fd19a3481" ns2:_="" ns3:_="">
    <xsd:import namespace="8a12c01d-5b0d-4ec2-960a-e8e3b841cf63"/>
    <xsd:import namespace="4e9e65f5-971b-41af-82c0-1d6e73e050b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12c01d-5b0d-4ec2-960a-e8e3b841cf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e65f5-971b-41af-82c0-1d6e73e050b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B444C3-A0B5-499F-9ED3-76502D0EC9FD}">
  <ds:schemaRefs>
    <ds:schemaRef ds:uri="http://schemas.microsoft.com/sharepoint/v3/contenttype/forms"/>
  </ds:schemaRefs>
</ds:datastoreItem>
</file>

<file path=customXml/itemProps2.xml><?xml version="1.0" encoding="utf-8"?>
<ds:datastoreItem xmlns:ds="http://schemas.openxmlformats.org/officeDocument/2006/customXml" ds:itemID="{441DB059-BF72-4EB7-B739-D9183B861B4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F1FACDF-1583-4E75-BF50-9DE4F6536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12c01d-5b0d-4ec2-960a-e8e3b841cf63"/>
    <ds:schemaRef ds:uri="4e9e65f5-971b-41af-82c0-1d6e73e050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6</vt:i4>
      </vt:variant>
      <vt:variant>
        <vt:lpstr>Named Ranges</vt:lpstr>
      </vt:variant>
      <vt:variant>
        <vt:i4>136</vt:i4>
      </vt:variant>
    </vt:vector>
  </HeadingPairs>
  <TitlesOfParts>
    <vt:vector size="142" baseType="lpstr">
      <vt:lpstr>Quick Inputs- Change Every Time</vt:lpstr>
      <vt:lpstr>Quick Inputs- Constants</vt:lpstr>
      <vt:lpstr>Expense List</vt:lpstr>
      <vt:lpstr>Summary</vt:lpstr>
      <vt:lpstr>Backend- Lists</vt:lpstr>
      <vt:lpstr>Backend- Calculations</vt:lpstr>
      <vt:lpstr>BatteryClearingAgentFees</vt:lpstr>
      <vt:lpstr>BatteryCost</vt:lpstr>
      <vt:lpstr>BatteryCostShipping</vt:lpstr>
      <vt:lpstr>BatteryCount</vt:lpstr>
      <vt:lpstr>BatteryInspection</vt:lpstr>
      <vt:lpstr>BatteryInverterClearingAgentFees</vt:lpstr>
      <vt:lpstr>BatteryInverterCost</vt:lpstr>
      <vt:lpstr>BatteryInverterCostShipping</vt:lpstr>
      <vt:lpstr>BatteryInverterCount</vt:lpstr>
      <vt:lpstr>BatteryInverterInspection</vt:lpstr>
      <vt:lpstr>BatteryInverterkWPerUnit</vt:lpstr>
      <vt:lpstr>BatteryInverterNonVAT</vt:lpstr>
      <vt:lpstr>BatteryInverterPortFees</vt:lpstr>
      <vt:lpstr>BatteryInverterPricePerUnit</vt:lpstr>
      <vt:lpstr>BatteryInverterShippingPricePerkW</vt:lpstr>
      <vt:lpstr>BatteryInverterSitesCount</vt:lpstr>
      <vt:lpstr>BatteryInverterVAT</vt:lpstr>
      <vt:lpstr>BatterykWhAtSite</vt:lpstr>
      <vt:lpstr>BatterykWhPerUnit</vt:lpstr>
      <vt:lpstr>BatteryLugsPerUnit</vt:lpstr>
      <vt:lpstr>BatteryNonVAT</vt:lpstr>
      <vt:lpstr>BatteryPortFees</vt:lpstr>
      <vt:lpstr>BatteryPricePerUnit</vt:lpstr>
      <vt:lpstr>BatteryShippingPerkWh</vt:lpstr>
      <vt:lpstr>BatterySitesCount</vt:lpstr>
      <vt:lpstr>BatteryVAT</vt:lpstr>
      <vt:lpstr>BoatCostCargo</vt:lpstr>
      <vt:lpstr>BoatCostCargoBig</vt:lpstr>
      <vt:lpstr>Categories</vt:lpstr>
      <vt:lpstr>ClearingAgentFees</vt:lpstr>
      <vt:lpstr>CombinedShippingInvertersBatteries</vt:lpstr>
      <vt:lpstr>Currency</vt:lpstr>
      <vt:lpstr>DisplayToUSD</vt:lpstr>
      <vt:lpstr>DistributionContingency</vt:lpstr>
      <vt:lpstr>DistributionKm</vt:lpstr>
      <vt:lpstr>DistributionLabourCostPerKm</vt:lpstr>
      <vt:lpstr>DistributionMaterialsCostPerKm</vt:lpstr>
      <vt:lpstr>DistributionSurveyCost</vt:lpstr>
      <vt:lpstr>DistributionTransportCostPerKm</vt:lpstr>
      <vt:lpstr>DistributionTrueFalse</vt:lpstr>
      <vt:lpstr>DutyOnBatteries</vt:lpstr>
      <vt:lpstr>DutyOnBatteryInverters</vt:lpstr>
      <vt:lpstr>DutyOnMeters</vt:lpstr>
      <vt:lpstr>DutyOnPV</vt:lpstr>
      <vt:lpstr>DutyOnPVInverters</vt:lpstr>
      <vt:lpstr>DutyOnRacking</vt:lpstr>
      <vt:lpstr>ETLLevy</vt:lpstr>
      <vt:lpstr>ExchangeRateKshsUSD</vt:lpstr>
      <vt:lpstr>ExchangeRateNGNUSD</vt:lpstr>
      <vt:lpstr>FencingLabourPerMeter</vt:lpstr>
      <vt:lpstr>FencingLength</vt:lpstr>
      <vt:lpstr>FencingMaterialsPerMeter</vt:lpstr>
      <vt:lpstr>FencingMaterialsTransportPerMeter</vt:lpstr>
      <vt:lpstr>ImportCharge</vt:lpstr>
      <vt:lpstr>InspectionFees</vt:lpstr>
      <vt:lpstr>InsuranceRateEstimate</vt:lpstr>
      <vt:lpstr>LevyOnBatteries</vt:lpstr>
      <vt:lpstr>LevyOnBatteryInverters</vt:lpstr>
      <vt:lpstr>LevyOnMeters</vt:lpstr>
      <vt:lpstr>LevyOnPV</vt:lpstr>
      <vt:lpstr>LevyOnPVInverters</vt:lpstr>
      <vt:lpstr>LevyOnRacking</vt:lpstr>
      <vt:lpstr>MeterClearingAgentFees</vt:lpstr>
      <vt:lpstr>MeterCost</vt:lpstr>
      <vt:lpstr>MeterCountBaseStation</vt:lpstr>
      <vt:lpstr>MeterCountSM200E</vt:lpstr>
      <vt:lpstr>MeterCountSMRPI</vt:lpstr>
      <vt:lpstr>MeterCountSMRSD</vt:lpstr>
      <vt:lpstr>MeterInspection</vt:lpstr>
      <vt:lpstr>MeterNonVAT</vt:lpstr>
      <vt:lpstr>MeterPortFees</vt:lpstr>
      <vt:lpstr>MeterPriceBaseStation</vt:lpstr>
      <vt:lpstr>MeterPriceSM200E</vt:lpstr>
      <vt:lpstr>MeterPriceSMRPI</vt:lpstr>
      <vt:lpstr>MeterPriceSMRSD</vt:lpstr>
      <vt:lpstr>MeterShippingCost</vt:lpstr>
      <vt:lpstr>MeterSitesCount</vt:lpstr>
      <vt:lpstr>MeterTotalCount</vt:lpstr>
      <vt:lpstr>MeterVAT</vt:lpstr>
      <vt:lpstr>ModemCount</vt:lpstr>
      <vt:lpstr>NewConnections</vt:lpstr>
      <vt:lpstr>PortFeesFortyFoot</vt:lpstr>
      <vt:lpstr>PortFeesTwentyFoot</vt:lpstr>
      <vt:lpstr>PortSurcharge</vt:lpstr>
      <vt:lpstr>PVCCCost</vt:lpstr>
      <vt:lpstr>PVCCCostShipping</vt:lpstr>
      <vt:lpstr>PVCCCount</vt:lpstr>
      <vt:lpstr>PVCCNonVAT</vt:lpstr>
      <vt:lpstr>PVCCPricePerUnit</vt:lpstr>
      <vt:lpstr>PVCCSitesCount</vt:lpstr>
      <vt:lpstr>PVCCVAT</vt:lpstr>
      <vt:lpstr>PVClearingAgentFees</vt:lpstr>
      <vt:lpstr>PVCost</vt:lpstr>
      <vt:lpstr>PVCostShipping</vt:lpstr>
      <vt:lpstr>PVInspection</vt:lpstr>
      <vt:lpstr>PVkWInShipment</vt:lpstr>
      <vt:lpstr>PVNonVAT</vt:lpstr>
      <vt:lpstr>PVPanelCount</vt:lpstr>
      <vt:lpstr>PVPanelsInShipment</vt:lpstr>
      <vt:lpstr>PVPanelsPerString</vt:lpstr>
      <vt:lpstr>PVPortFees</vt:lpstr>
      <vt:lpstr>PVPricePerPanel</vt:lpstr>
      <vt:lpstr>PVPricePerWatt</vt:lpstr>
      <vt:lpstr>PVSiteWattage</vt:lpstr>
      <vt:lpstr>PVStringCount</vt:lpstr>
      <vt:lpstr>PVTransportPerPanel</vt:lpstr>
      <vt:lpstr>PVTransportTotal</vt:lpstr>
      <vt:lpstr>PVVAT</vt:lpstr>
      <vt:lpstr>PVWattsPerPanel</vt:lpstr>
      <vt:lpstr>RackingClearingAgentFees</vt:lpstr>
      <vt:lpstr>RackingCost</vt:lpstr>
      <vt:lpstr>RackingInspection</vt:lpstr>
      <vt:lpstr>RackingLabourPerW</vt:lpstr>
      <vt:lpstr>RackingNonVAT</vt:lpstr>
      <vt:lpstr>RackingPortFees</vt:lpstr>
      <vt:lpstr>RackingPricePerW</vt:lpstr>
      <vt:lpstr>RackingShippingCost</vt:lpstr>
      <vt:lpstr>RackingSitesCount</vt:lpstr>
      <vt:lpstr>RackingVAT</vt:lpstr>
      <vt:lpstr>Status1</vt:lpstr>
      <vt:lpstr>Status2</vt:lpstr>
      <vt:lpstr>Status3</vt:lpstr>
      <vt:lpstr>Status4</vt:lpstr>
      <vt:lpstr>TruckCost</vt:lpstr>
      <vt:lpstr>TruckTransportSplitMeters</vt:lpstr>
      <vt:lpstr>TruckTransportSplitPowerHouse</vt:lpstr>
      <vt:lpstr>TruckTransportSplitPV</vt:lpstr>
      <vt:lpstr>TruckTransportSplitRacking</vt:lpstr>
      <vt:lpstr>Types</vt:lpstr>
      <vt:lpstr>VATonBatteries</vt:lpstr>
      <vt:lpstr>VATonBatteryInverters</vt:lpstr>
      <vt:lpstr>VATonMeters</vt:lpstr>
      <vt:lpstr>VATonPV</vt:lpstr>
      <vt:lpstr>VATonPVInverters</vt:lpstr>
      <vt:lpstr>VATonRacking</vt:lpstr>
      <vt:lpstr>VATRate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Douglas Cox</dc:creator>
  <cp:keywords/>
  <dc:description/>
  <cp:lastModifiedBy>Microsoft Office User</cp:lastModifiedBy>
  <cp:revision/>
  <dcterms:created xsi:type="dcterms:W3CDTF">2019-04-02T14:45:06Z</dcterms:created>
  <dcterms:modified xsi:type="dcterms:W3CDTF">2022-10-06T20:11:17Z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0x01010021E62614DC158A43954EA261489A65EB</vt:lpwstr>
  </property>
  <property fmtid="{D5CDD505-2E9C-101B-9397-08002B2CF9AE}" pid="3" name="AuthorIds_UIVersion_3584">
    <vt:lpwstr>17</vt:lpwstr>
  </property>
</Properties>
</file>