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Datasheets" sheetId="2" r:id="rId5"/>
    <sheet state="visible" name="TS Schematics" sheetId="3" r:id="rId6"/>
    <sheet state="visible" name="Accumulator" sheetId="4" r:id="rId7"/>
    <sheet state="visible" name="PrechargeDischarge" sheetId="5" r:id="rId8"/>
    <sheet state="visible" name="Charging" sheetId="6" r:id="rId9"/>
    <sheet state="visible" name="Shutdown Circuit" sheetId="7" r:id="rId10"/>
    <sheet state="visible" name="Torque Security" sheetId="8" r:id="rId11"/>
    <sheet state="visible" name="Other" sheetId="9" r:id="rId12"/>
  </sheets>
  <definedNames>
    <definedName name="TotalCells">Accumulator!$E$6</definedName>
    <definedName name="ContactorNames">Datasheets!$A$65:$A$69</definedName>
    <definedName name="FusesTable">Datasheets!$A$41:$G$52</definedName>
    <definedName name="ConnectorNames">Datasheets!$A$73:$A$91</definedName>
    <definedName name="BattCellMaxV">Datasheets!$D$6</definedName>
    <definedName name="BattCellNomV">Datasheets!$D$7</definedName>
    <definedName name="DischargeRes">PrechargeDischarge!$J$6</definedName>
    <definedName name="InsulationsTable">Datasheets!$A$95:$H$104</definedName>
    <definedName name="InsulationNames">Datasheets!$A$95:$A$104</definedName>
    <definedName name="NumAccum">Accumulator!$E$3</definedName>
    <definedName name="ContactorsTable">Datasheets!$A$65:$G$69</definedName>
    <definedName name="ResistorsTable">Datasheets!$A$56:$J$61</definedName>
    <definedName name="ConductorNames">Datasheets!$A$19:$A$37</definedName>
    <definedName name="BattCellCapacity">Datasheets!$D$5</definedName>
    <definedName name="NominalTSVoltage">Accumulator!$E$5</definedName>
    <definedName name="MaxTSVoltage">Accumulator!$E$4</definedName>
    <definedName name="ResistorsNames">Datasheets!$A$56:$A$61</definedName>
    <definedName name="CellsPerTempSensor">Accumulator!$O$25</definedName>
    <definedName name="FuseNames">Datasheets!$A$41:$A$52</definedName>
    <definedName name="PrechargeRes">PrechargeDischarge!$D$6</definedName>
    <definedName name="BusCap">PrechargeDischarge!$D$10</definedName>
    <definedName name="ConductorsTable">Datasheets!$A$19:$I$37</definedName>
    <definedName name="ConnectorsTable">Datasheets!$A$73:$F$91</definedName>
  </definedNames>
  <calcPr/>
</workbook>
</file>

<file path=xl/sharedStrings.xml><?xml version="1.0" encoding="utf-8"?>
<sst xmlns="http://schemas.openxmlformats.org/spreadsheetml/2006/main" count="687" uniqueCount="450">
  <si>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</si>
  <si>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</si>
  <si>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</si>
  <si>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</si>
  <si>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</si>
  <si>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</si>
  <si>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</si>
  <si>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</si>
  <si>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</si>
  <si>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</si>
  <si>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</si>
  <si>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</si>
  <si>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Rensselaer Motorsport</t>
  </si>
  <si>
    <t>University</t>
  </si>
  <si>
    <t>Rensselaer Polytechnic Institute</t>
  </si>
  <si>
    <t>Competition Year</t>
  </si>
  <si>
    <t>Max TS Voltage</t>
  </si>
  <si>
    <t>V</t>
  </si>
  <si>
    <t>Accumulator Fuse</t>
  </si>
  <si>
    <t>A</t>
  </si>
  <si>
    <t>Additional Comments</t>
  </si>
  <si>
    <t>Template Revision History</t>
  </si>
  <si>
    <t>Version</t>
  </si>
  <si>
    <t>Date</t>
  </si>
  <si>
    <t>Comment</t>
  </si>
  <si>
    <t>Updated for 2023 season.</t>
  </si>
  <si>
    <t>Updated for 2022 season.</t>
  </si>
  <si>
    <t>2.0</t>
  </si>
  <si>
    <t>Multiple updates and bug fixes.</t>
  </si>
  <si>
    <t>Battery Cell</t>
  </si>
  <si>
    <t>Make</t>
  </si>
  <si>
    <t>Molicel</t>
  </si>
  <si>
    <t>Model</t>
  </si>
  <si>
    <t>P28A</t>
  </si>
  <si>
    <t>Nominal Capacity</t>
  </si>
  <si>
    <t>2.8</t>
  </si>
  <si>
    <t>Ahr</t>
  </si>
  <si>
    <t>Maximum Voltage</t>
  </si>
  <si>
    <t>4.2</t>
  </si>
  <si>
    <t>Nominal Voltage</t>
  </si>
  <si>
    <t>3.6</t>
  </si>
  <si>
    <t>Minimum Voltage</t>
  </si>
  <si>
    <t>2.5</t>
  </si>
  <si>
    <t>Max output current</t>
  </si>
  <si>
    <t>35</t>
  </si>
  <si>
    <t>Max continuous current</t>
  </si>
  <si>
    <t>25</t>
  </si>
  <si>
    <t>Max Cell temp</t>
  </si>
  <si>
    <t>60</t>
  </si>
  <si>
    <t>C</t>
  </si>
  <si>
    <t>Cell Chemistry</t>
  </si>
  <si>
    <t>LiNiMnCoO2 (NMC)</t>
  </si>
  <si>
    <t>Datasheet</t>
  </si>
  <si>
    <t>https://www.molicel.com/wp-content/uploads/INR18650P28A-V1-80093.pdf</t>
  </si>
  <si>
    <t>SDS</t>
  </si>
  <si>
    <t>https://www.molicel.com/wp-content/uploads/00058ar-Molicel-SDS-Y2020.pdf</t>
  </si>
  <si>
    <t>Conductors</t>
  </si>
  <si>
    <t>Manufacturer</t>
  </si>
  <si>
    <t>Part Number</t>
  </si>
  <si>
    <r>
      <rPr>
        <rFont val="Verdana"/>
        <color theme="1"/>
        <sz val="11.0"/>
      </rPr>
      <t>Size 
[mm</t>
    </r>
    <r>
      <rPr>
        <rFont val="Verdana"/>
        <color theme="1"/>
        <sz val="10.0"/>
        <vertAlign val="superscript"/>
      </rPr>
      <t>2</t>
    </r>
    <r>
      <rPr>
        <rFont val="Verdana"/>
        <color theme="1"/>
        <sz val="11.0"/>
      </rPr>
      <t>]</t>
    </r>
  </si>
  <si>
    <t>Voltage [V]</t>
  </si>
  <si>
    <t>Ampacity
[A]</t>
  </si>
  <si>
    <t>Max Temp [C]</t>
  </si>
  <si>
    <t>Location Used</t>
  </si>
  <si>
    <t>Rules References</t>
  </si>
  <si>
    <t>Champlain Cable EXRAD</t>
  </si>
  <si>
    <t>EXRAD® ERGOFLEX ISO 19642-9 EXRAD–EF/EF-TW-50</t>
  </si>
  <si>
    <t>https://www.champcable.com/wp-content/uploads/2021/06/219.-EXRAD-ERGOFLEX-Shielded-Thin-Wall-Battery-Cable-R3.pdf</t>
  </si>
  <si>
    <t>Accumulator &amp; External High Voltage Routing</t>
  </si>
  <si>
    <t>Listed Ampacity is at maximum allowed conductor temperature of 150C. At 90C, it is 260 Amps</t>
  </si>
  <si>
    <t>EV.6.2.1
EV.6.2.5
EV.7.3
EV.7.6.4
EV.7.3.2</t>
  </si>
  <si>
    <t>Team Built</t>
  </si>
  <si>
    <t>Busbar Collector</t>
  </si>
  <si>
    <t>N/A</t>
  </si>
  <si>
    <t>Accumulator Segment Poles</t>
  </si>
  <si>
    <t xml:space="preserve">Team Built </t>
  </si>
  <si>
    <t>Busbar</t>
  </si>
  <si>
    <t>Fuses</t>
  </si>
  <si>
    <t>Voltage 
[V]</t>
  </si>
  <si>
    <t>AC/DC</t>
  </si>
  <si>
    <t>Current 
[A]</t>
  </si>
  <si>
    <t>Interrupt 
[A]</t>
  </si>
  <si>
    <t>Bojack</t>
  </si>
  <si>
    <t>F2AL250V</t>
  </si>
  <si>
    <t>DC</t>
  </si>
  <si>
    <t>AMS Fuse</t>
  </si>
  <si>
    <t>AMS voltage sense</t>
  </si>
  <si>
    <t>EV.6.2.1
EV.7.6</t>
  </si>
  <si>
    <t>Littelfuse</t>
  </si>
  <si>
    <t>L50QS125.V</t>
  </si>
  <si>
    <t>Main Fuse</t>
  </si>
  <si>
    <t>Bel Fuse</t>
  </si>
  <si>
    <t>0ADKC5000-BE</t>
  </si>
  <si>
    <t>Energy Meter Fuse</t>
  </si>
  <si>
    <t>Resistors</t>
  </si>
  <si>
    <r>
      <rPr>
        <rFont val="Verdana"/>
        <color theme="1"/>
        <sz val="11.0"/>
      </rPr>
      <t>Resistance 
[</t>
    </r>
    <r>
      <rPr>
        <rFont val="Calibri"/>
        <color theme="1"/>
        <sz val="11.0"/>
      </rPr>
      <t>Ω</t>
    </r>
    <r>
      <rPr>
        <rFont val="Verdana"/>
        <color theme="1"/>
        <sz val="11.0"/>
      </rPr>
      <t>]</t>
    </r>
  </si>
  <si>
    <t>Power 
[W]</t>
  </si>
  <si>
    <t>Power for 15 sec [W]</t>
  </si>
  <si>
    <t>Heatsink [°C/W]
(Enter "None" if no heatsink)</t>
  </si>
  <si>
    <t>Caddock Electronics Inc.</t>
  </si>
  <si>
    <t>MP925-10.0K-1%</t>
  </si>
  <si>
    <t>500</t>
  </si>
  <si>
    <t>10000</t>
  </si>
  <si>
    <t>None</t>
  </si>
  <si>
    <t>MP925</t>
  </si>
  <si>
    <t>TSMP</t>
  </si>
  <si>
    <t>EV.6.2.1
EV.6.6
EV.6.8.4</t>
  </si>
  <si>
    <t>Mouser</t>
  </si>
  <si>
    <t>284-HS50-750F</t>
  </si>
  <si>
    <t>Contactors/Relays</t>
  </si>
  <si>
    <t>Voltage
[V]</t>
  </si>
  <si>
    <t>Continuous Current 
[A]</t>
  </si>
  <si>
    <t>Max Interrupt Current
 [A]</t>
  </si>
  <si>
    <t>Normal State</t>
  </si>
  <si>
    <t>TE Connectivity / Kilovac</t>
  </si>
  <si>
    <t>LEV200A4NAA</t>
  </si>
  <si>
    <t>NO</t>
  </si>
  <si>
    <t>AIR/Precharge</t>
  </si>
  <si>
    <t>EV.6.2.1
EV.6.4
EV.6.6</t>
  </si>
  <si>
    <t>Panasonic Electric Works</t>
  </si>
  <si>
    <t>AQZ404</t>
  </si>
  <si>
    <t>NC</t>
  </si>
  <si>
    <t>Discharge</t>
  </si>
  <si>
    <t>Connectors</t>
  </si>
  <si>
    <r>
      <rPr>
        <rFont val="Verdana"/>
        <color theme="1"/>
        <sz val="11.0"/>
      </rPr>
      <t>Wire Size 
[mm</t>
    </r>
    <r>
      <rPr>
        <rFont val="Verdana"/>
        <color theme="1"/>
        <sz val="11.0"/>
        <vertAlign val="superscript"/>
      </rPr>
      <t>2</t>
    </r>
    <r>
      <rPr>
        <rFont val="Verdana"/>
        <color theme="1"/>
        <sz val="11.0"/>
      </rPr>
      <t>]</t>
    </r>
  </si>
  <si>
    <t>Amphenol</t>
  </si>
  <si>
    <t>RL0-080-1-70*</t>
  </si>
  <si>
    <t>RLO-080-1-70*</t>
  </si>
  <si>
    <t>Accumulator Segments</t>
  </si>
  <si>
    <t>Maintenance Plug, Connector</t>
  </si>
  <si>
    <t>EV.6.2.1
EV.6.10
EV.7.3.4</t>
  </si>
  <si>
    <t>RL9-100-202F1</t>
  </si>
  <si>
    <t>Maintenance Plug, Pin</t>
  </si>
  <si>
    <t>MSDM5002</t>
  </si>
  <si>
    <t>HVD</t>
  </si>
  <si>
    <t>Insulating Materials</t>
  </si>
  <si>
    <t>Thickness
[mm]</t>
  </si>
  <si>
    <t>Dielectric strength 
[V/mm]</t>
  </si>
  <si>
    <t>Voltage Rating 
[V]</t>
  </si>
  <si>
    <t>Flammability Rating</t>
  </si>
  <si>
    <t>EV.6.2.1
EV.6.2.2.a
EV.6.2.3
EV.6.4.4
EV.7.2
EV.7.5.5.a</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</si>
  <si>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</si>
  <si>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</si>
  <si>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</si>
  <si>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</si>
  <si>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</si>
  <si>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</si>
  <si>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</si>
  <si>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</si>
  <si>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</si>
  <si>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All wires &gt; 150mm have a fuse within the first 150mm from the source</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</si>
  <si>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</si>
  <si>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</si>
  <si>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</si>
  <si>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</si>
  <si>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</si>
  <si>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</si>
  <si>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</si>
  <si>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</si>
  <si>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</si>
  <si>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</si>
  <si>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</si>
  <si>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</si>
  <si>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</si>
  <si>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Accumulator Indicator</t>
  </si>
  <si>
    <t>Motor</t>
  </si>
  <si>
    <t>EV.6.8.5</t>
  </si>
  <si>
    <t>TSMPs not fused</t>
  </si>
  <si>
    <t>Must be shown on at least one schematic</t>
  </si>
  <si>
    <t>EV.8.6</t>
  </si>
  <si>
    <t>IMD</t>
  </si>
  <si>
    <t>EV.6.5</t>
  </si>
  <si>
    <t>EV.6.6</t>
  </si>
  <si>
    <t>Precharge</t>
  </si>
  <si>
    <t>EV.4.2.3; EV.6.1.3</t>
  </si>
  <si>
    <t>Energy Meter</t>
  </si>
  <si>
    <t>EV.6.6.1.c</t>
  </si>
  <si>
    <t>Precharge is not fused</t>
  </si>
  <si>
    <t>Discharge is not fused</t>
  </si>
  <si>
    <t>Segment-to-Segment Connection</t>
  </si>
  <si>
    <t>Series</t>
  </si>
  <si>
    <t>Maximum TS Voltage</t>
  </si>
  <si>
    <t>Nominal TS Voltage</t>
  </si>
  <si>
    <t>Total Cells</t>
  </si>
  <si>
    <t>Segment Data</t>
  </si>
  <si>
    <t>BMS</t>
  </si>
  <si>
    <t>Maintenance Plugs</t>
  </si>
  <si>
    <t>Cell Connection Order</t>
  </si>
  <si>
    <t>Parallel then Series</t>
  </si>
  <si>
    <t>BMS Type</t>
  </si>
  <si>
    <t>Centralized</t>
  </si>
  <si>
    <t>Connector</t>
  </si>
  <si>
    <t>Amphenol RL0-080-1-70*</t>
  </si>
  <si>
    <t>Between cells and accum. container</t>
  </si>
  <si>
    <t>No wires &gt;150mm (no fuses for those wires needed).</t>
  </si>
  <si>
    <t>Segment</t>
  </si>
  <si>
    <t>Parallel cells</t>
  </si>
  <si>
    <t>Series cells</t>
  </si>
  <si>
    <t>Temp Sensors</t>
  </si>
  <si>
    <t>Accumulator Number</t>
  </si>
  <si>
    <t>Max Voltage [V]</t>
  </si>
  <si>
    <t>Segment Energy [MJ]</t>
  </si>
  <si>
    <t>BMS Source</t>
  </si>
  <si>
    <t>Purchased</t>
  </si>
  <si>
    <t>Ampacity</t>
  </si>
  <si>
    <t>Voltage Rating</t>
  </si>
  <si>
    <t>Orion</t>
  </si>
  <si>
    <t>BMS2 156-Cell</t>
  </si>
  <si>
    <t>Segment Fuse</t>
  </si>
  <si>
    <t>Temperature Rating</t>
  </si>
  <si>
    <t>Galvanic Isolation TS to GLV</t>
  </si>
  <si>
    <t>Segment Fuse Ampacity</t>
  </si>
  <si>
    <t>On top of cells</t>
  </si>
  <si>
    <t>Galvanic Isolation between segments</t>
  </si>
  <si>
    <t>AIR</t>
  </si>
  <si>
    <t>Galvanic Isolation device</t>
  </si>
  <si>
    <t>Make/Model</t>
  </si>
  <si>
    <t>TE Connectivity / Kilovac LEV200A4NAA</t>
  </si>
  <si>
    <t>Gavlanic Isolation device datasheet</t>
  </si>
  <si>
    <t>Contact Voltage Rating</t>
  </si>
  <si>
    <t xml:space="preserve"> Separating AIR and Fuse from cells</t>
  </si>
  <si>
    <t>Voltage Sense Leads</t>
  </si>
  <si>
    <t>Max switching current</t>
  </si>
  <si>
    <t>Max Sense Lead Length</t>
  </si>
  <si>
    <t>cm</t>
  </si>
  <si>
    <t>Sense Lead Overcurrent Protection Device</t>
  </si>
  <si>
    <t>Bojack F2AL250V</t>
  </si>
  <si>
    <t>Overcurrent Location</t>
  </si>
  <si>
    <t>BMS PCB</t>
  </si>
  <si>
    <t>Littelfuse L50QS125.V</t>
  </si>
  <si>
    <t>Overcurrent Other Location</t>
  </si>
  <si>
    <t>Main fuse ampacity</t>
  </si>
  <si>
    <t>Overcurrent Voltage Rating</t>
  </si>
  <si>
    <t>Main fuse voltage</t>
  </si>
  <si>
    <t>Temperature Sensors</t>
  </si>
  <si>
    <t>Temp Sensor Location</t>
  </si>
  <si>
    <t>On cell terminal</t>
  </si>
  <si>
    <t>Distance to cell terminal</t>
  </si>
  <si>
    <t>mm</t>
  </si>
  <si>
    <t>Cells sensed per sensor</t>
  </si>
  <si>
    <t>cells</t>
  </si>
  <si>
    <t>Thermal Contact material used</t>
  </si>
  <si>
    <t>Thermal contact material datasheet</t>
  </si>
  <si>
    <t>Silicon Rubber Sheet</t>
  </si>
  <si>
    <t>Thermal contact material conductivity</t>
  </si>
  <si>
    <t>W/(m∙K)</t>
  </si>
  <si>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</si>
  <si>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</si>
  <si>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</si>
  <si>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</si>
  <si>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</si>
  <si>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</si>
  <si>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</si>
  <si>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</si>
  <si>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</si>
  <si>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</si>
  <si>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</si>
  <si>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</si>
  <si>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</si>
  <si>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</si>
  <si>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</si>
  <si>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</si>
  <si>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</si>
  <si>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Fuse and AIR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</si>
  <si>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</si>
  <si>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</si>
  <si>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</si>
  <si>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</si>
  <si>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</si>
  <si>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Positive Locking</t>
  </si>
  <si>
    <t>EV.6.4.4</t>
  </si>
  <si>
    <t>EV.6.2.2.a
EV.6.2.3</t>
  </si>
  <si>
    <t>EV.7.4.1
EV.7.4.3</t>
  </si>
  <si>
    <t>EV.8.5</t>
  </si>
  <si>
    <t>Parallel Cell Fusing</t>
  </si>
  <si>
    <t>Rules Referenes</t>
  </si>
  <si>
    <t>Source</t>
  </si>
  <si>
    <t>Team Designed</t>
  </si>
  <si>
    <t>EV.7.6.3
EV.7.6.5</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</si>
  <si>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</si>
  <si>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</si>
  <si>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</si>
  <si>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</si>
  <si>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</si>
  <si>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</si>
  <si>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</si>
  <si>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</si>
  <si>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</si>
  <si>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</si>
  <si>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</si>
  <si>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</si>
  <si>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</si>
  <si>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</si>
  <si>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</si>
  <si>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</si>
  <si>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</si>
  <si>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</si>
  <si>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</si>
  <si>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</si>
  <si>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</si>
  <si>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</si>
  <si>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</si>
  <si>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</si>
  <si>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</si>
  <si>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</si>
  <si>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Resistor</t>
  </si>
  <si>
    <t>Mouser 284-HS50-750F</t>
  </si>
  <si>
    <t>Caddock Electronics Inc. MP925-10.0K-1%</t>
  </si>
  <si>
    <t>EV.6.8.4</t>
  </si>
  <si>
    <t># parallel</t>
  </si>
  <si>
    <t># series</t>
  </si>
  <si>
    <t>Resistance</t>
  </si>
  <si>
    <t>Ohms</t>
  </si>
  <si>
    <t>Cont power</t>
  </si>
  <si>
    <t>W</t>
  </si>
  <si>
    <t>power @15 sec</t>
  </si>
  <si>
    <t>Voltage</t>
  </si>
  <si>
    <t>Bus Capacitance</t>
  </si>
  <si>
    <t>mF</t>
  </si>
  <si>
    <t>Peak power</t>
  </si>
  <si>
    <t>End of precharge</t>
  </si>
  <si>
    <t>Time</t>
  </si>
  <si>
    <t>Peak current</t>
  </si>
  <si>
    <t>time</t>
  </si>
  <si>
    <t>sec</t>
  </si>
  <si>
    <t>Discharge time (to 60V)</t>
  </si>
  <si>
    <t>s</t>
  </si>
  <si>
    <t>delta V</t>
  </si>
  <si>
    <t>Relay</t>
  </si>
  <si>
    <t>Panasonic Electric Works AQZ404</t>
  </si>
  <si>
    <t>ending ratio</t>
  </si>
  <si>
    <t>Relay voltage rating</t>
  </si>
  <si>
    <t>Relay current rating</t>
  </si>
  <si>
    <t>time to 90%</t>
  </si>
  <si>
    <t>Precharge Res Energy to 90%</t>
  </si>
  <si>
    <t>J</t>
  </si>
  <si>
    <t>Average Power</t>
  </si>
  <si>
    <t>Charger</t>
  </si>
  <si>
    <t>Elcon</t>
  </si>
  <si>
    <t>6.6kW HK-J CAN UHF</t>
  </si>
  <si>
    <t>Elcon Charger</t>
  </si>
  <si>
    <t>Input Voltage</t>
  </si>
  <si>
    <t>85~265V</t>
  </si>
  <si>
    <t>Input Current</t>
  </si>
  <si>
    <t>Output Voltage</t>
  </si>
  <si>
    <t>170-650</t>
  </si>
  <si>
    <t>Output Current</t>
  </si>
  <si>
    <t>Power</t>
  </si>
  <si>
    <t>kW</t>
  </si>
  <si>
    <t>Input to Output isolation</t>
  </si>
  <si>
    <t>2000 VAC 10 mA</t>
  </si>
  <si>
    <t>Charging Tractive System Schematic</t>
  </si>
  <si>
    <t>Charging Shutdown Circuit</t>
  </si>
  <si>
    <t>Charging Tractive System Schematic Shows</t>
  </si>
  <si>
    <t>Charging Shutdown Circuit Shows</t>
  </si>
  <si>
    <t>Fuse</t>
  </si>
  <si>
    <t>EV.9.3</t>
  </si>
  <si>
    <t>IMD Control and Powerstage</t>
  </si>
  <si>
    <t>AMS</t>
  </si>
  <si>
    <t>Wire Gauge</t>
  </si>
  <si>
    <t>EV.9.2.7</t>
  </si>
  <si>
    <t>Charger Shutdown Button</t>
  </si>
  <si>
    <t>EV.9.4</t>
  </si>
  <si>
    <t>EV.9.4.2</t>
  </si>
  <si>
    <t>Charge Connector Interlock</t>
  </si>
  <si>
    <t>EV.9.2.6</t>
  </si>
  <si>
    <t>Charge Control (CAN, Enable, etc.)</t>
  </si>
  <si>
    <t>BSPD</t>
  </si>
  <si>
    <t>Rules Reference</t>
  </si>
  <si>
    <t>EV.8.7</t>
  </si>
  <si>
    <t>Bender IR155-3203</t>
  </si>
  <si>
    <t>Current Sensor Make/Model</t>
  </si>
  <si>
    <t>DHAB S/124</t>
  </si>
  <si>
    <t>Setpoint</t>
  </si>
  <si>
    <r>
      <rPr>
        <rFont val="Verdana"/>
        <color theme="1"/>
        <sz val="11.0"/>
      </rPr>
      <t>k</t>
    </r>
    <r>
      <rPr>
        <rFont val="Calibri"/>
        <color theme="1"/>
        <sz val="11.0"/>
      </rPr>
      <t>Ω</t>
    </r>
  </si>
  <si>
    <t>Current Sensor Datasheet</t>
  </si>
  <si>
    <t>https://www.lem.com/sites/default/files/products_datasheets/dhab_s_124.pdf</t>
  </si>
  <si>
    <t>Trip Current</t>
  </si>
  <si>
    <t>Sensor Output @ Trip Current</t>
  </si>
  <si>
    <t>Accuracy @ Trip Current</t>
  </si>
  <si>
    <t>Shutdown Circuit Schematic</t>
  </si>
  <si>
    <t>Shutdown Circuit Schematic Shows</t>
  </si>
  <si>
    <t>BSPD System Schematic Shows</t>
  </si>
  <si>
    <t>EV.8.9</t>
  </si>
  <si>
    <t>GLVMS</t>
  </si>
  <si>
    <t>BSPD Current Sensor input open/short circuit protection</t>
  </si>
  <si>
    <t>TSMS</t>
  </si>
  <si>
    <t>BSPD Brake Position input open/short circuit protection</t>
  </si>
  <si>
    <t>EV.8.10</t>
  </si>
  <si>
    <t>2 Side Shutdown Buttons</t>
  </si>
  <si>
    <t>Shutdown circuit powerstage</t>
  </si>
  <si>
    <t>1 Cockpit Shutdown Button</t>
  </si>
  <si>
    <t>T.3.2</t>
  </si>
  <si>
    <t>Brake Over Travel Switch (BOTS)</t>
  </si>
  <si>
    <t>EV.8.8</t>
  </si>
  <si>
    <t>Inertia Switch</t>
  </si>
  <si>
    <t>EV.8.3</t>
  </si>
  <si>
    <t>EV.6.5.2</t>
  </si>
  <si>
    <t>HVD Interlock</t>
  </si>
  <si>
    <t>TSAL Schematic</t>
  </si>
  <si>
    <t>EV.8.1.4</t>
  </si>
  <si>
    <t>IMD, AMS, BSPD have independent power stages</t>
  </si>
  <si>
    <t>EV.5.1.3</t>
  </si>
  <si>
    <t>Outboard Wheel Motor Interlocks</t>
  </si>
  <si>
    <t>GLV Battery</t>
  </si>
  <si>
    <t>GLV Fuse</t>
  </si>
  <si>
    <t>EV.8.1.2</t>
  </si>
  <si>
    <t>Precharge Contactor coil</t>
  </si>
  <si>
    <t>Positive AIR coil</t>
  </si>
  <si>
    <t>Negative AIR coil</t>
  </si>
  <si>
    <t>Discharge Contactor coil</t>
  </si>
  <si>
    <t>EV.8.9.1; EV.8.9.3</t>
  </si>
  <si>
    <t>TSMS is last switch</t>
  </si>
  <si>
    <t>EV.8.9.1; EV.8.9.2</t>
  </si>
  <si>
    <t>GLVMS is first switch</t>
  </si>
  <si>
    <t>Uses proper electrical schematic symbols</t>
  </si>
  <si>
    <t>Labels/text are readable (zooming in is acceptable)</t>
  </si>
  <si>
    <t>EV.6.10</t>
  </si>
  <si>
    <t>Interlocks on TS connectors outside of an enclosure</t>
  </si>
  <si>
    <t>SIM101MLQ used for IMD as legal by updated FSAE notification about extra legal IMDs.</t>
  </si>
  <si>
    <t>EV.8.1
EV.8.2</t>
  </si>
  <si>
    <t>TSAL Schematic Shows</t>
  </si>
  <si>
    <t>TSAL controlled by &gt;60V present in TS</t>
  </si>
  <si>
    <t>TSAL powered by GLV</t>
  </si>
  <si>
    <t>TSAL flashes red when HV present and solid green when not</t>
  </si>
  <si>
    <t>EV.6.9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</si>
  <si>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</si>
  <si>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</si>
  <si>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</si>
  <si>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</si>
  <si>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</si>
  <si>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</si>
  <si>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</si>
  <si>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</si>
  <si>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</si>
  <si>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</si>
  <si>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</si>
  <si>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</si>
  <si>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</si>
  <si>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</si>
  <si>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</si>
  <si>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Rinehart Motion Systems LLC</t>
  </si>
  <si>
    <t>Emrax</t>
  </si>
  <si>
    <t>PM100DX</t>
  </si>
  <si>
    <t>228 HV CC</t>
  </si>
  <si>
    <t>Emrax 228</t>
  </si>
  <si>
    <t>Galvanic Isolation between TS and control</t>
  </si>
  <si>
    <t>Picture of Energy Meter download connector on car to prove compliance with EV.4.2.2</t>
  </si>
  <si>
    <t>Energy Meter Download Picture Shows</t>
  </si>
  <si>
    <t>Energy Meter Download Connector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</si>
</sst>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
    <numFmt numFmtId="165" formatCode="0.0"/>
  </numFmts>
  <fonts count="19">
    <font>
      <sz val="11.0"/>
      <color theme="1"/>
      <name val="Verdana"/>
      <scheme val="minor"/>
    </font>
    <font>
      <b/>
      <sz val="11.0"/>
      <color theme="1"/>
      <name val="Verdana"/>
    </font>
    <font/>
    <font>
      <sz val="11.0"/>
      <color theme="1"/>
      <name val="Verdana"/>
    </font>
    <font>
      <sz val="11.0"/>
      <color rgb="FF3F3F76"/>
      <name val="Verdana"/>
    </font>
    <font>
      <b/>
      <sz val="11.0"/>
      <color rgb="FF3F3F3F"/>
      <name val="Verdana"/>
    </font>
    <font>
      <sz val="11.0"/>
      <color rgb="FF000000"/>
      <name val="Verdana"/>
    </font>
    <font>
      <u/>
      <sz val="11.0"/>
      <color rgb="FF367C2B"/>
      <name val="Verdana"/>
    </font>
    <font>
      <u/>
      <sz val="11.0"/>
      <color theme="10"/>
      <name val="Verdana"/>
    </font>
    <font>
      <u/>
      <sz val="11.0"/>
      <color rgb="FF0000FF"/>
      <name val="Verdana"/>
    </font>
    <font>
      <u/>
      <sz val="11.0"/>
      <color rgb="FF367C2B"/>
      <name val="Verdana"/>
    </font>
    <font>
      <color rgb="FF000000"/>
      <name val="Verdana"/>
    </font>
    <font>
      <u/>
      <sz val="11.0"/>
      <color rgb="FF0000FF"/>
      <name val="Verdana"/>
    </font>
    <font>
      <sz val="9.0"/>
      <color theme="1"/>
      <name val="Verdana"/>
    </font>
    <font>
      <b/>
      <sz val="11.0"/>
      <color rgb="FFFA7D00"/>
      <name val="Verdana"/>
    </font>
    <font>
      <color theme="1"/>
      <name val="Verdana"/>
      <scheme val="minor"/>
    </font>
    <font>
      <sz val="11.0"/>
      <color rgb="FFFFFFFF"/>
      <name val="Verdana"/>
    </font>
    <font>
      <b/>
      <sz val="11.0"/>
      <color rgb="FF000000"/>
      <name val="Verdana"/>
    </font>
    <font>
      <u/>
      <sz val="11.0"/>
      <color rgb="FF367C2B"/>
      <name val="Verdana"/>
    </font>
  </fonts>
  <fills count="10">
    <fill>
      <patternFill patternType="none"/>
    </fill>
    <fill>
      <patternFill patternType="lightGray"/>
    </fill>
    <fill>
      <patternFill patternType="solid">
        <fgColor rgb="FFA2DB99"/>
        <bgColor rgb="FFA2DB99"/>
      </patternFill>
    </fill>
    <fill>
      <patternFill patternType="solid">
        <fgColor rgb="FFD8D8D8"/>
        <bgColor rgb="FFD8D8D8"/>
      </patternFill>
    </fill>
    <fill>
      <patternFill patternType="solid">
        <fgColor theme="0"/>
        <bgColor theme="0"/>
      </patternFill>
    </fill>
    <fill>
      <patternFill patternType="solid">
        <fgColor rgb="FF66CCFF"/>
        <bgColor rgb="FF66CCFF"/>
      </patternFill>
    </fill>
    <fill>
      <patternFill patternType="solid">
        <fgColor rgb="FFFFCC99"/>
        <bgColor rgb="FFFFCC99"/>
      </patternFill>
    </fill>
    <fill>
      <patternFill patternType="solid">
        <fgColor rgb="FFF2F2F2"/>
        <bgColor rgb="FFF2F2F2"/>
      </patternFill>
    </fill>
    <fill>
      <patternFill patternType="solid">
        <fgColor rgb="FFFFD966"/>
        <bgColor rgb="FFFFD966"/>
      </patternFill>
    </fill>
    <fill>
      <patternFill patternType="solid">
        <fgColor rgb="FFFFFFFF"/>
        <bgColor rgb="FFFFFFFF"/>
      </patternFill>
    </fill>
  </fills>
  <borders count="69">
    <border/>
    <border>
      <left/>
      <top/>
      <bottom/>
    </border>
    <border>
      <top/>
      <bottom/>
    </border>
    <border>
      <right/>
      <top/>
      <bottom/>
    </border>
    <border>
      <left/>
      <right/>
      <top/>
      <bottom/>
    </border>
    <border>
      <left style="thin">
        <color rgb="FF7F7F7F"/>
      </left>
      <top style="thin">
        <color rgb="FF7F7F7F"/>
      </top>
      <bottom style="thin">
        <color rgb="FF7F7F7F"/>
      </bottom>
    </border>
    <border>
      <top style="thin">
        <color rgb="FF7F7F7F"/>
      </top>
      <bottom style="thin">
        <color rgb="FF7F7F7F"/>
      </bottom>
    </border>
    <border>
      <right style="thin">
        <color rgb="FF7F7F7F"/>
      </right>
      <top style="thin">
        <color rgb="FF7F7F7F"/>
      </top>
      <bottom style="thin">
        <color rgb="FF7F7F7F"/>
      </bottom>
    </border>
    <border>
      <left style="thin">
        <color rgb="FF3F3F3F"/>
      </left>
      <top style="thin">
        <color rgb="FF3F3F3F"/>
      </top>
      <bottom style="thin">
        <color rgb="FF3F3F3F"/>
      </bottom>
    </border>
    <border>
      <top style="thin">
        <color rgb="FF3F3F3F"/>
      </top>
      <bottom style="thin">
        <color rgb="FF3F3F3F"/>
      </bottom>
    </border>
    <border>
      <right style="thin">
        <color rgb="FF3F3F3F"/>
      </right>
      <top style="thin">
        <color rgb="FF3F3F3F"/>
      </top>
      <bottom style="thin">
        <color rgb="FF3F3F3F"/>
      </bottom>
    </border>
    <border>
      <left style="thin">
        <color rgb="FF3F3F3F"/>
      </left>
      <right style="thin">
        <color rgb="FF3F3F3F"/>
      </right>
      <top style="thin">
        <color rgb="FF3F3F3F"/>
      </top>
      <bottom style="thin">
        <color rgb="FF3F3F3F"/>
      </bottom>
    </border>
    <border>
      <left/>
      <top/>
      <bottom style="thin">
        <color rgb="FF7F7F7F"/>
      </bottom>
    </border>
    <border>
      <top/>
      <bottom style="thin">
        <color rgb="FF7F7F7F"/>
      </bottom>
    </border>
    <border>
      <right/>
      <top/>
      <bottom style="thin">
        <color rgb="FF7F7F7F"/>
      </bottom>
    </border>
    <border>
      <left style="thin">
        <color rgb="FF7F7F7F"/>
      </left>
      <top style="thin">
        <color rgb="FF7F7F7F"/>
      </top>
    </border>
    <border>
      <top style="thin">
        <color rgb="FF7F7F7F"/>
      </top>
    </border>
    <border>
      <right style="thin">
        <color rgb="FF7F7F7F"/>
      </right>
      <top style="thin">
        <color rgb="FF7F7F7F"/>
      </top>
    </border>
    <border>
      <left style="thin">
        <color rgb="FF7F7F7F"/>
      </left>
    </border>
    <border>
      <right style="thin">
        <color rgb="FF7F7F7F"/>
      </right>
    </border>
    <border>
      <left style="thin">
        <color rgb="FF7F7F7F"/>
      </left>
      <bottom style="thin">
        <color rgb="FF7F7F7F"/>
      </bottom>
    </border>
    <border>
      <bottom style="thin">
        <color rgb="FF7F7F7F"/>
      </bottom>
    </border>
    <border>
      <right style="thin">
        <color rgb="FF7F7F7F"/>
      </right>
      <bottom style="thin">
        <color rgb="FF7F7F7F"/>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7F7F7F"/>
      </left>
      <right style="thin">
        <color rgb="FF7F7F7F"/>
      </right>
      <bottom style="thin">
        <color rgb="FF7F7F7F"/>
      </bottom>
    </border>
    <border>
      <left style="thin">
        <color rgb="FF7F7F7F"/>
      </left>
      <top style="thin">
        <color rgb="FF7F7F7F"/>
      </top>
      <bottom/>
    </border>
    <border>
      <right style="thin">
        <color rgb="FF7F7F7F"/>
      </right>
      <top style="thin">
        <color rgb="FF7F7F7F"/>
      </top>
      <bottom/>
    </border>
    <border>
      <left style="thin">
        <color rgb="FF7F7F7F"/>
      </left>
      <right style="thin">
        <color rgb="FF7F7F7F"/>
      </right>
      <top style="thin">
        <color rgb="FF7F7F7F"/>
      </top>
      <bottom style="thin">
        <color rgb="FF7F7F7F"/>
      </bottom>
    </border>
    <border>
      <left/>
      <top style="thin">
        <color rgb="FF7F7F7F"/>
      </top>
    </border>
    <border>
      <right/>
      <top style="thin">
        <color rgb="FF7F7F7F"/>
      </top>
    </border>
    <border>
      <left/>
    </border>
    <border>
      <right/>
    </border>
    <border>
      <left/>
      <bottom/>
    </border>
    <border>
      <bottom/>
    </border>
    <border>
      <right/>
      <bottom/>
    </border>
    <border>
      <left/>
      <right/>
      <top style="thin">
        <color rgb="FF7F7F7F"/>
      </top>
    </border>
    <border>
      <left style="thin">
        <color rgb="FFA6A6A6"/>
      </left>
      <top style="thin">
        <color rgb="FFA6A6A6"/>
      </top>
      <bottom style="thin">
        <color rgb="FFA6A6A6"/>
      </bottom>
    </border>
    <border>
      <right/>
      <top style="thin">
        <color rgb="FFA6A6A6"/>
      </top>
      <bottom style="thin">
        <color rgb="FFA6A6A6"/>
      </bottom>
    </border>
    <border>
      <left/>
      <right/>
      <bottom/>
    </border>
    <border>
      <top style="thin">
        <color rgb="FFA6A6A6"/>
      </top>
    </border>
    <border>
      <left/>
      <right/>
      <top/>
    </border>
    <border>
      <left style="thin">
        <color rgb="FFEFEFEF"/>
      </left>
      <top style="thin">
        <color rgb="FFEFEFEF"/>
      </top>
      <bottom style="thin">
        <color rgb="FFEFEFEF"/>
      </bottom>
    </border>
    <border>
      <top style="thin">
        <color rgb="FFEFEFEF"/>
      </top>
      <bottom style="thin">
        <color rgb="FFEFEFEF"/>
      </bottom>
    </border>
    <border>
      <right style="thin">
        <color rgb="FFEFEFEF"/>
      </right>
      <top style="thin">
        <color rgb="FFEFEFEF"/>
      </top>
      <bottom style="thin">
        <color rgb="FFEFEFEF"/>
      </bottom>
    </border>
    <border>
      <left style="thin">
        <color rgb="FFA6A6A6"/>
      </left>
      <right style="thin">
        <color rgb="FFA6A6A6"/>
      </right>
      <top style="thin">
        <color rgb="FFA6A6A6"/>
      </top>
      <bottom/>
    </border>
    <border>
      <left style="thin">
        <color rgb="FF7F7F7F"/>
      </left>
      <right style="thin">
        <color rgb="FF7F7F7F"/>
      </right>
      <top style="thin">
        <color rgb="FF7F7F7F"/>
      </top>
    </border>
    <border>
      <left style="thin">
        <color rgb="FF7F7F7F"/>
      </left>
      <right style="thin">
        <color rgb="FF7F7F7F"/>
      </right>
    </border>
    <border>
      <left style="thin">
        <color rgb="FFA6A6A6"/>
      </left>
      <top style="thin">
        <color rgb="FFA6A6A6"/>
      </top>
    </border>
    <border>
      <right style="thin">
        <color rgb="FF7F7F7F"/>
      </right>
      <top style="thin">
        <color rgb="FFA6A6A6"/>
      </top>
    </border>
    <border>
      <left style="thin">
        <color rgb="FFA6A6A6"/>
      </left>
    </border>
    <border>
      <left style="thin">
        <color rgb="FFA6A6A6"/>
      </left>
      <bottom style="thin">
        <color rgb="FFA6A6A6"/>
      </bottom>
    </border>
    <border>
      <bottom style="thin">
        <color rgb="FFA6A6A6"/>
      </bottom>
    </border>
    <border>
      <right style="thin">
        <color rgb="FF7F7F7F"/>
      </right>
      <bottom style="thin">
        <color rgb="FFA6A6A6"/>
      </bottom>
    </border>
    <border>
      <left style="thin">
        <color rgb="FFA6A6A6"/>
      </left>
      <top style="thin">
        <color rgb="FFA6A6A6"/>
      </top>
      <bottom/>
    </border>
    <border>
      <right style="thin">
        <color rgb="FFA6A6A6"/>
      </right>
      <top style="thin">
        <color rgb="FFA6A6A6"/>
      </top>
      <bottom/>
    </border>
    <border>
      <right style="thin">
        <color rgb="FFA6A6A6"/>
      </right>
      <top style="thin">
        <color rgb="FFA6A6A6"/>
      </top>
      <bottom style="thin">
        <color rgb="FFA6A6A6"/>
      </bottom>
    </border>
    <border>
      <top style="thin">
        <color rgb="FFA6A6A6"/>
      </top>
      <bottom style="thin">
        <color rgb="FFA6A6A6"/>
      </bottom>
    </border>
    <border>
      <right style="thin">
        <color rgb="FFA6A6A6"/>
      </right>
      <top style="thin">
        <color rgb="FFA6A6A6"/>
      </top>
    </border>
    <border>
      <left style="thin">
        <color rgb="FF7F7F7F"/>
      </left>
      <top/>
      <bottom style="thin">
        <color rgb="FF7F7F7F"/>
      </bottom>
    </border>
    <border>
      <right style="thin">
        <color rgb="FF7F7F7F"/>
      </right>
      <top/>
      <bottom style="thin">
        <color rgb="FF7F7F7F"/>
      </bottom>
    </border>
    <border>
      <left style="thin">
        <color rgb="FF7F7F7F"/>
      </left>
      <top/>
    </border>
    <border>
      <top/>
    </border>
    <border>
      <right/>
      <top/>
    </border>
    <border>
      <left style="thin">
        <color rgb="FF7F7F7F"/>
      </left>
      <bottom/>
    </border>
    <border>
      <left/>
      <right/>
      <top style="thin">
        <color rgb="FF7F7F7F"/>
      </top>
      <bottom/>
    </border>
    <border>
      <bottom style="thin">
        <color rgb="FF000000"/>
      </bottom>
    </border>
  </borders>
  <cellStyleXfs count="1">
    <xf borderId="0" fillId="0" fontId="0" numFmtId="0" applyAlignment="1" applyFont="1"/>
  </cellStyleXfs>
  <cellXfs count="181">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4" fillId="3" fontId="3" numFmtId="0" xfId="0" applyBorder="1" applyFill="1" applyFont="1"/>
    <xf quotePrefix="1" borderId="0" fillId="0" fontId="3" numFmtId="0" xfId="0" applyAlignment="1" applyFont="1">
      <alignment horizontal="left" shrinkToFit="0" vertical="top" wrapText="1"/>
    </xf>
    <xf borderId="1" fillId="4" fontId="3" numFmtId="0" xfId="0" applyAlignment="1" applyBorder="1" applyFill="1" applyFont="1">
      <alignment horizontal="right"/>
    </xf>
    <xf borderId="4" fillId="5" fontId="3" numFmtId="0" xfId="0" applyAlignment="1" applyBorder="1" applyFill="1" applyFont="1">
      <alignment horizontal="center"/>
    </xf>
    <xf borderId="0" fillId="0" fontId="3" numFmtId="0" xfId="0" applyAlignment="1" applyFont="1">
      <alignment horizontal="right"/>
    </xf>
    <xf borderId="5" fillId="6" fontId="4" numFmtId="0" xfId="0" applyAlignment="1" applyBorder="1" applyFill="1" applyFont="1">
      <alignment horizontal="left" readingOrder="0"/>
    </xf>
    <xf borderId="6" fillId="0" fontId="2" numFmtId="0" xfId="0" applyBorder="1" applyFont="1"/>
    <xf borderId="7" fillId="0" fontId="2" numFmtId="0" xfId="0" applyBorder="1" applyFont="1"/>
    <xf borderId="8" fillId="7" fontId="5" numFmtId="0" xfId="0" applyAlignment="1" applyBorder="1" applyFill="1" applyFont="1">
      <alignment horizontal="left" readingOrder="0"/>
    </xf>
    <xf borderId="9" fillId="0" fontId="2" numFmtId="0" xfId="0" applyBorder="1" applyFont="1"/>
    <xf borderId="10" fillId="0" fontId="2" numFmtId="0" xfId="0" applyBorder="1" applyFont="1"/>
    <xf borderId="11" fillId="7" fontId="5" numFmtId="0" xfId="0" applyBorder="1" applyFont="1"/>
    <xf borderId="12" fillId="2" fontId="1" numFmtId="0" xfId="0" applyAlignment="1" applyBorder="1" applyFont="1">
      <alignment horizontal="center"/>
    </xf>
    <xf borderId="13" fillId="0" fontId="2" numFmtId="0" xfId="0" applyBorder="1" applyFont="1"/>
    <xf borderId="14" fillId="0" fontId="2" numFmtId="0" xfId="0" applyBorder="1" applyFont="1"/>
    <xf borderId="15" fillId="6" fontId="4" numFmtId="0" xfId="0" applyAlignment="1" applyBorder="1" applyFont="1">
      <alignment horizontal="left" shrinkToFit="0" vertical="top" wrapText="1"/>
    </xf>
    <xf borderId="16" fillId="0" fontId="2" numFmtId="0" xfId="0" applyBorder="1" applyFont="1"/>
    <xf borderId="17" fillId="0" fontId="2" numFmtId="0" xfId="0" applyBorder="1" applyFont="1"/>
    <xf borderId="18" fillId="0" fontId="2" numFmtId="0" xfId="0" applyBorder="1" applyFont="1"/>
    <xf borderId="19" fillId="0" fontId="2" numFmtId="0" xfId="0" applyBorder="1" applyFont="1"/>
    <xf borderId="20" fillId="0" fontId="2" numFmtId="0" xfId="0" applyBorder="1" applyFont="1"/>
    <xf borderId="21" fillId="0" fontId="2" numFmtId="0" xfId="0" applyBorder="1" applyFont="1"/>
    <xf borderId="22" fillId="0" fontId="2" numFmtId="0" xfId="0" applyBorder="1" applyFont="1"/>
    <xf borderId="23" fillId="0" fontId="1" numFmtId="0" xfId="0" applyAlignment="1" applyBorder="1" applyFont="1">
      <alignment horizontal="center"/>
    </xf>
    <xf borderId="24" fillId="0" fontId="1" numFmtId="0" xfId="0" applyAlignment="1" applyBorder="1" applyFont="1">
      <alignment horizontal="center"/>
    </xf>
    <xf borderId="25" fillId="0" fontId="2" numFmtId="0" xfId="0" applyBorder="1" applyFont="1"/>
    <xf borderId="26" fillId="0" fontId="2" numFmtId="0" xfId="0" applyBorder="1" applyFont="1"/>
    <xf borderId="23" fillId="0" fontId="3" numFmtId="0" xfId="0" applyAlignment="1" applyBorder="1" applyFont="1">
      <alignment horizontal="right"/>
    </xf>
    <xf borderId="23" fillId="0" fontId="3" numFmtId="14" xfId="0" applyAlignment="1" applyBorder="1" applyFont="1" applyNumberFormat="1">
      <alignment horizontal="center"/>
    </xf>
    <xf borderId="24" fillId="0" fontId="3" numFmtId="0" xfId="0" applyAlignment="1" applyBorder="1" applyFont="1">
      <alignment horizontal="left"/>
    </xf>
    <xf borderId="23" fillId="0" fontId="3" numFmtId="164" xfId="0" applyBorder="1" applyFont="1" applyNumberFormat="1"/>
    <xf quotePrefix="1" borderId="23" fillId="0" fontId="3" numFmtId="0" xfId="0" applyAlignment="1" applyBorder="1" applyFont="1">
      <alignment horizontal="right"/>
    </xf>
    <xf borderId="5" fillId="6" fontId="4" numFmtId="0" xfId="0" applyAlignment="1" applyBorder="1" applyFont="1">
      <alignment horizontal="left" readingOrder="0" shrinkToFit="0" vertical="bottom" wrapText="0"/>
    </xf>
    <xf borderId="3" fillId="3" fontId="3" numFmtId="0" xfId="0" applyBorder="1" applyFont="1"/>
    <xf borderId="27" fillId="6" fontId="4" numFmtId="49" xfId="0" applyAlignment="1" applyBorder="1" applyFont="1" applyNumberFormat="1">
      <alignment readingOrder="0" shrinkToFit="0" vertical="bottom" wrapText="0"/>
    </xf>
    <xf borderId="0" fillId="0" fontId="6" numFmtId="0" xfId="0" applyAlignment="1" applyFont="1">
      <alignment readingOrder="0" shrinkToFit="0" vertical="bottom" wrapText="0"/>
    </xf>
    <xf borderId="5" fillId="6" fontId="7" numFmtId="0" xfId="0" applyAlignment="1" applyBorder="1" applyFont="1">
      <alignment horizontal="left" readingOrder="0" shrinkToFit="0" vertical="bottom" wrapText="0"/>
    </xf>
    <xf borderId="5" fillId="6" fontId="4" numFmtId="0" xfId="0" applyAlignment="1" applyBorder="1" applyFont="1">
      <alignment horizontal="left"/>
    </xf>
    <xf borderId="4" fillId="3" fontId="8" numFmtId="0" xfId="0" applyBorder="1" applyFont="1"/>
    <xf borderId="4" fillId="2" fontId="1" numFmtId="0" xfId="0" applyAlignment="1" applyBorder="1" applyFont="1">
      <alignment horizontal="center"/>
    </xf>
    <xf borderId="0" fillId="0" fontId="3" numFmtId="0" xfId="0" applyFont="1"/>
    <xf borderId="0" fillId="0" fontId="3" numFmtId="0" xfId="0" applyAlignment="1" applyFont="1">
      <alignment horizontal="center" shrinkToFit="0" wrapText="1"/>
    </xf>
    <xf borderId="21" fillId="0" fontId="3" numFmtId="0" xfId="0" applyAlignment="1" applyBorder="1" applyFont="1">
      <alignment horizontal="center" shrinkToFit="0" wrapText="1"/>
    </xf>
    <xf borderId="0" fillId="0" fontId="3" numFmtId="0" xfId="0" applyAlignment="1" applyFont="1">
      <alignment horizontal="center"/>
    </xf>
    <xf borderId="28" fillId="8" fontId="6" numFmtId="0" xfId="0" applyAlignment="1" applyBorder="1" applyFill="1" applyFont="1">
      <alignment horizontal="center"/>
    </xf>
    <xf borderId="29" fillId="0" fontId="2" numFmtId="0" xfId="0" applyBorder="1" applyFont="1"/>
    <xf borderId="30" fillId="6" fontId="4" numFmtId="0" xfId="0" applyAlignment="1" applyBorder="1" applyFont="1">
      <alignment readingOrder="0"/>
    </xf>
    <xf borderId="30" fillId="6" fontId="4" numFmtId="49" xfId="0" applyAlignment="1" applyBorder="1" applyFont="1" applyNumberFormat="1">
      <alignment readingOrder="0"/>
    </xf>
    <xf borderId="30" fillId="6" fontId="4" numFmtId="0" xfId="0" applyAlignment="1" applyBorder="1" applyFont="1">
      <alignment readingOrder="0" shrinkToFit="0" wrapText="1"/>
    </xf>
    <xf borderId="5" fillId="6" fontId="9" numFmtId="0" xfId="0" applyAlignment="1" applyBorder="1" applyFont="1">
      <alignment horizontal="left" readingOrder="0"/>
    </xf>
    <xf borderId="30" fillId="6" fontId="4" numFmtId="0" xfId="0" applyAlignment="1" applyBorder="1" applyFont="1">
      <alignment horizontal="left" readingOrder="0"/>
    </xf>
    <xf borderId="15" fillId="0" fontId="3" numFmtId="0" xfId="0" applyAlignment="1" applyBorder="1" applyFont="1">
      <alignment horizontal="left" shrinkToFit="0" vertical="top" wrapText="1"/>
    </xf>
    <xf borderId="30" fillId="6" fontId="4" numFmtId="0" xfId="0" applyAlignment="1" applyBorder="1" applyFont="1">
      <alignment horizontal="right" readingOrder="0"/>
    </xf>
    <xf borderId="30" fillId="6" fontId="4" numFmtId="0" xfId="0" applyBorder="1" applyFont="1"/>
    <xf borderId="30" fillId="6" fontId="4" numFmtId="0" xfId="0" applyAlignment="1" applyBorder="1" applyFont="1">
      <alignment horizontal="left"/>
    </xf>
    <xf borderId="30" fillId="6" fontId="4" numFmtId="49" xfId="0" applyBorder="1" applyFont="1" applyNumberFormat="1"/>
    <xf borderId="30" fillId="6" fontId="4" numFmtId="0" xfId="0" applyAlignment="1" applyBorder="1" applyFont="1">
      <alignment readingOrder="0" shrinkToFit="0" vertical="bottom" wrapText="0"/>
    </xf>
    <xf borderId="7" fillId="6" fontId="4" numFmtId="49" xfId="0" applyAlignment="1" applyBorder="1" applyFont="1" applyNumberFormat="1">
      <alignment readingOrder="0" shrinkToFit="0" vertical="bottom" wrapText="0"/>
    </xf>
    <xf borderId="7" fillId="6" fontId="4" numFmtId="0" xfId="0" applyAlignment="1" applyBorder="1" applyFont="1">
      <alignment horizontal="right" readingOrder="0" shrinkToFit="0" vertical="bottom" wrapText="0"/>
    </xf>
    <xf borderId="7" fillId="6" fontId="4" numFmtId="0" xfId="0" applyAlignment="1" applyBorder="1" applyFont="1">
      <alignment readingOrder="0" shrinkToFit="0" vertical="bottom" wrapText="0"/>
    </xf>
    <xf borderId="7" fillId="6" fontId="4" numFmtId="3" xfId="0" applyAlignment="1" applyBorder="1" applyFont="1" applyNumberFormat="1">
      <alignment horizontal="right" readingOrder="0" shrinkToFit="0" vertical="bottom" wrapText="0"/>
    </xf>
    <xf borderId="6" fillId="6" fontId="10" numFmtId="0" xfId="0" applyAlignment="1" applyBorder="1" applyFont="1">
      <alignment horizontal="left" readingOrder="0" shrinkToFit="0" vertical="bottom" wrapText="0"/>
    </xf>
    <xf borderId="7" fillId="6" fontId="4" numFmtId="0" xfId="0" applyAlignment="1" applyBorder="1" applyFont="1">
      <alignment horizontal="left" readingOrder="0" shrinkToFit="0" vertical="bottom" wrapText="0"/>
    </xf>
    <xf borderId="30" fillId="6" fontId="4" numFmtId="3" xfId="0" applyAlignment="1" applyBorder="1" applyFont="1" applyNumberFormat="1">
      <alignment readingOrder="0"/>
    </xf>
    <xf borderId="27" fillId="6" fontId="4" numFmtId="49" xfId="0" applyAlignment="1" applyBorder="1" applyFont="1" applyNumberFormat="1">
      <alignment readingOrder="0" vertical="bottom"/>
    </xf>
    <xf borderId="22" fillId="6" fontId="4" numFmtId="49" xfId="0" applyAlignment="1" applyBorder="1" applyFont="1" applyNumberFormat="1">
      <alignment readingOrder="0" vertical="bottom"/>
    </xf>
    <xf borderId="22" fillId="6" fontId="4" numFmtId="49" xfId="0" applyAlignment="1" applyBorder="1" applyFont="1" applyNumberFormat="1">
      <alignment horizontal="right" readingOrder="0" vertical="bottom"/>
    </xf>
    <xf borderId="6" fillId="6" fontId="4" numFmtId="0" xfId="0" applyAlignment="1" applyBorder="1" applyFont="1">
      <alignment horizontal="center" readingOrder="0" vertical="bottom"/>
    </xf>
    <xf borderId="27" fillId="6" fontId="4" numFmtId="0" xfId="0" applyAlignment="1" applyBorder="1" applyFont="1">
      <alignment horizontal="left" readingOrder="0" vertical="bottom"/>
    </xf>
    <xf borderId="5" fillId="6" fontId="4" numFmtId="0" xfId="0" applyAlignment="1" applyBorder="1" applyFont="1">
      <alignment horizontal="center" readingOrder="0"/>
    </xf>
    <xf borderId="5" fillId="6" fontId="4" numFmtId="0" xfId="0" applyAlignment="1" applyBorder="1" applyFont="1">
      <alignment horizontal="center"/>
    </xf>
    <xf borderId="4" fillId="3" fontId="3" numFmtId="0" xfId="0" applyAlignment="1" applyBorder="1" applyFont="1">
      <alignment horizontal="left"/>
    </xf>
    <xf borderId="21" fillId="6" fontId="6" numFmtId="0" xfId="0" applyAlignment="1" applyBorder="1" applyFont="1">
      <alignment readingOrder="0" vertical="bottom"/>
    </xf>
    <xf borderId="22" fillId="6" fontId="11" numFmtId="49" xfId="0" applyAlignment="1" applyBorder="1" applyFont="1" applyNumberFormat="1">
      <alignment readingOrder="0" vertical="bottom"/>
    </xf>
    <xf borderId="7" fillId="6" fontId="4" numFmtId="0" xfId="0" applyAlignment="1" applyBorder="1" applyFont="1">
      <alignment horizontal="right" readingOrder="0" vertical="bottom"/>
    </xf>
    <xf borderId="30" fillId="6" fontId="4" numFmtId="0" xfId="0" applyAlignment="1" applyBorder="1" applyFont="1">
      <alignment horizontal="left" readingOrder="0" vertical="bottom"/>
    </xf>
    <xf borderId="30" fillId="6" fontId="4" numFmtId="0" xfId="0" applyAlignment="1" applyBorder="1" applyFont="1">
      <alignment vertical="bottom"/>
    </xf>
    <xf borderId="7" fillId="6" fontId="4" numFmtId="49" xfId="0" applyAlignment="1" applyBorder="1" applyFont="1" applyNumberFormat="1">
      <alignment vertical="bottom"/>
    </xf>
    <xf borderId="7" fillId="6" fontId="4" numFmtId="0" xfId="0" applyAlignment="1" applyBorder="1" applyFont="1">
      <alignment horizontal="right" vertical="bottom"/>
    </xf>
    <xf borderId="0" fillId="6" fontId="12" numFmtId="0" xfId="0" applyAlignment="1" applyFont="1">
      <alignment horizontal="left" readingOrder="0"/>
    </xf>
    <xf borderId="7" fillId="6" fontId="4" numFmtId="0" xfId="0" applyAlignment="1" applyBorder="1" applyFont="1">
      <alignment horizontal="left"/>
    </xf>
    <xf borderId="30" fillId="6" fontId="4" numFmtId="0" xfId="0" applyAlignment="1" applyBorder="1" applyFont="1">
      <alignment readingOrder="0" vertical="bottom"/>
    </xf>
    <xf borderId="7" fillId="6" fontId="4" numFmtId="49" xfId="0" applyAlignment="1" applyBorder="1" applyFont="1" applyNumberFormat="1">
      <alignment readingOrder="0" vertical="bottom"/>
    </xf>
    <xf borderId="1" fillId="5" fontId="3" numFmtId="0" xfId="0" applyAlignment="1" applyBorder="1" applyFont="1">
      <alignment horizontal="center"/>
    </xf>
    <xf borderId="5" fillId="6" fontId="4" numFmtId="0" xfId="0" applyAlignment="1" applyBorder="1" applyFont="1">
      <alignment horizontal="left" readingOrder="0" vertical="bottom"/>
    </xf>
    <xf borderId="27" fillId="6" fontId="4" numFmtId="0" xfId="0" applyAlignment="1" applyBorder="1" applyFont="1">
      <alignment readingOrder="0" vertical="bottom"/>
    </xf>
    <xf borderId="22" fillId="6" fontId="4" numFmtId="0" xfId="0" applyAlignment="1" applyBorder="1" applyFont="1">
      <alignment horizontal="right" readingOrder="0" vertical="bottom"/>
    </xf>
    <xf borderId="5" fillId="6" fontId="6" numFmtId="0" xfId="0" applyAlignment="1" applyBorder="1" applyFont="1">
      <alignment horizontal="left" readingOrder="0" vertical="bottom"/>
    </xf>
    <xf borderId="0" fillId="0" fontId="13" numFmtId="0" xfId="0" applyAlignment="1" applyFont="1">
      <alignment horizontal="center" shrinkToFit="0" wrapText="1"/>
    </xf>
    <xf borderId="30" fillId="7" fontId="14" numFmtId="0" xfId="0" applyBorder="1" applyFont="1"/>
    <xf borderId="15" fillId="6" fontId="4" numFmtId="0" xfId="0" applyAlignment="1" applyBorder="1" applyFont="1">
      <alignment horizontal="center" vertical="center"/>
    </xf>
    <xf borderId="31" fillId="6" fontId="4" numFmtId="0" xfId="0" applyAlignment="1" applyBorder="1" applyFont="1">
      <alignment horizontal="left" shrinkToFit="0" vertical="top" wrapText="1"/>
    </xf>
    <xf borderId="32" fillId="0" fontId="2" numFmtId="0" xfId="0" applyBorder="1" applyFont="1"/>
    <xf borderId="33" fillId="0" fontId="2" numFmtId="0" xfId="0" applyBorder="1" applyFont="1"/>
    <xf borderId="34" fillId="0" fontId="2" numFmtId="0" xfId="0" applyBorder="1" applyFont="1"/>
    <xf borderId="35" fillId="0" fontId="2" numFmtId="0" xfId="0" applyBorder="1" applyFont="1"/>
    <xf borderId="36" fillId="0" fontId="2" numFmtId="0" xfId="0" applyBorder="1" applyFont="1"/>
    <xf borderId="37" fillId="0" fontId="2" numFmtId="0" xfId="0" applyBorder="1" applyFont="1"/>
    <xf borderId="38" fillId="5" fontId="3" numFmtId="0" xfId="0" applyAlignment="1" applyBorder="1" applyFont="1">
      <alignment horizontal="center" vertical="center"/>
    </xf>
    <xf borderId="39" fillId="8" fontId="3" numFmtId="0" xfId="0" applyAlignment="1" applyBorder="1" applyFont="1">
      <alignment horizontal="center"/>
    </xf>
    <xf borderId="40" fillId="0" fontId="2" numFmtId="0" xfId="0" applyBorder="1" applyFont="1"/>
    <xf borderId="41" fillId="0" fontId="2" numFmtId="0" xfId="0" applyBorder="1" applyFont="1"/>
    <xf borderId="42" fillId="0" fontId="3" numFmtId="0" xfId="0" applyAlignment="1" applyBorder="1" applyFont="1">
      <alignment horizontal="left"/>
    </xf>
    <xf borderId="42" fillId="0" fontId="2" numFmtId="0" xfId="0" applyBorder="1" applyFont="1"/>
    <xf borderId="0" fillId="0" fontId="3" numFmtId="0" xfId="0" applyAlignment="1" applyFont="1">
      <alignment horizontal="left"/>
    </xf>
    <xf borderId="43" fillId="5" fontId="3" numFmtId="0" xfId="0" applyAlignment="1" applyBorder="1" applyFont="1">
      <alignment horizontal="center" vertical="center"/>
    </xf>
    <xf borderId="30" fillId="7" fontId="14" numFmtId="0" xfId="0" applyAlignment="1" applyBorder="1" applyFont="1">
      <alignment readingOrder="0"/>
    </xf>
    <xf borderId="0" fillId="0" fontId="6" numFmtId="0" xfId="0" applyAlignment="1" applyFont="1">
      <alignment horizontal="right" readingOrder="0" shrinkToFit="0" vertical="bottom" wrapText="0"/>
    </xf>
    <xf borderId="6" fillId="6" fontId="4" numFmtId="0" xfId="0" applyAlignment="1" applyBorder="1" applyFont="1">
      <alignment horizontal="left" readingOrder="0" shrinkToFit="0" vertical="bottom" wrapText="0"/>
    </xf>
    <xf borderId="3" fillId="5" fontId="3" numFmtId="0" xfId="0" applyAlignment="1" applyBorder="1" applyFont="1">
      <alignment horizontal="center"/>
    </xf>
    <xf borderId="15" fillId="6" fontId="4" numFmtId="0" xfId="0" applyAlignment="1" applyBorder="1" applyFont="1">
      <alignment horizontal="left" readingOrder="0" shrinkToFit="0" vertical="top" wrapText="1"/>
    </xf>
    <xf borderId="0" fillId="0" fontId="15" numFmtId="0" xfId="0" applyFont="1"/>
    <xf borderId="5" fillId="7" fontId="14" numFmtId="0" xfId="0" applyAlignment="1" applyBorder="1" applyFont="1">
      <alignment horizontal="center"/>
    </xf>
    <xf borderId="22" fillId="6" fontId="4" numFmtId="0" xfId="0" applyAlignment="1" applyBorder="1" applyFont="1">
      <alignment horizontal="right" readingOrder="0" shrinkToFit="0" vertical="bottom" wrapText="0"/>
    </xf>
    <xf borderId="19" fillId="6" fontId="4" numFmtId="0" xfId="0" applyAlignment="1" applyBorder="1" applyFont="1">
      <alignment horizontal="right" readingOrder="0" shrinkToFit="0" vertical="bottom" wrapText="0"/>
    </xf>
    <xf borderId="44" fillId="9" fontId="16" numFmtId="0" xfId="0" applyAlignment="1" applyBorder="1" applyFill="1" applyFont="1">
      <alignment horizontal="right" readingOrder="0" shrinkToFit="0" vertical="bottom" wrapText="0"/>
    </xf>
    <xf borderId="45" fillId="0" fontId="2" numFmtId="0" xfId="0" applyBorder="1" applyFont="1"/>
    <xf borderId="46" fillId="0" fontId="2" numFmtId="0" xfId="0" applyBorder="1" applyFont="1"/>
    <xf borderId="44" fillId="9" fontId="4" numFmtId="0" xfId="0" applyAlignment="1" applyBorder="1" applyFont="1">
      <alignment horizontal="left"/>
    </xf>
    <xf borderId="0" fillId="0" fontId="17" numFmtId="0" xfId="0" applyAlignment="1" applyFont="1">
      <alignment horizontal="center" readingOrder="0" shrinkToFit="0" vertical="bottom" wrapText="0"/>
    </xf>
    <xf borderId="0" fillId="0" fontId="11" numFmtId="0" xfId="0" applyAlignment="1" applyFont="1">
      <alignment horizontal="right" readingOrder="0" shrinkToFit="0" vertical="bottom" wrapText="0"/>
    </xf>
    <xf borderId="0" fillId="0" fontId="16" numFmtId="0" xfId="0" applyAlignment="1" applyFont="1">
      <alignment horizontal="right" readingOrder="0" shrinkToFit="0" vertical="bottom" wrapText="0"/>
    </xf>
    <xf borderId="6" fillId="7" fontId="14" numFmtId="0" xfId="0" applyAlignment="1" applyBorder="1" applyFont="1">
      <alignment horizontal="left" readingOrder="0" shrinkToFit="0" vertical="bottom" wrapText="0"/>
    </xf>
    <xf borderId="6" fillId="6" fontId="4" numFmtId="0" xfId="0" applyAlignment="1" applyBorder="1" applyFont="1">
      <alignment horizontal="center" readingOrder="0" shrinkToFit="0" vertical="bottom" wrapText="0"/>
    </xf>
    <xf borderId="30" fillId="0" fontId="16" numFmtId="0" xfId="0" applyAlignment="1" applyBorder="1" applyFont="1">
      <alignment shrinkToFit="0" vertical="bottom" wrapText="0"/>
    </xf>
    <xf borderId="0" fillId="0" fontId="16" numFmtId="0" xfId="0" applyAlignment="1" applyFont="1">
      <alignment readingOrder="0" shrinkToFit="0" vertical="bottom" wrapText="0"/>
    </xf>
    <xf borderId="22" fillId="7" fontId="14" numFmtId="0" xfId="0" applyAlignment="1" applyBorder="1" applyFont="1">
      <alignment horizontal="right" readingOrder="0" shrinkToFit="0" vertical="bottom" wrapText="0"/>
    </xf>
    <xf borderId="15" fillId="6" fontId="4" numFmtId="0" xfId="0" applyAlignment="1" applyBorder="1" applyFont="1">
      <alignment horizontal="center" shrinkToFit="0" vertical="center" wrapText="1"/>
    </xf>
    <xf borderId="47" fillId="8" fontId="3" numFmtId="0" xfId="0" applyAlignment="1" applyBorder="1" applyFont="1">
      <alignment horizontal="center"/>
    </xf>
    <xf borderId="48" fillId="0" fontId="3" numFmtId="0" xfId="0" applyAlignment="1" applyBorder="1" applyFont="1">
      <alignment horizontal="left" vertical="top"/>
    </xf>
    <xf borderId="48" fillId="0" fontId="3" numFmtId="0" xfId="0" applyAlignment="1" applyBorder="1" applyFont="1">
      <alignment horizontal="left" shrinkToFit="0" vertical="top" wrapText="1"/>
    </xf>
    <xf borderId="4" fillId="3" fontId="3" numFmtId="0" xfId="0" applyAlignment="1" applyBorder="1" applyFont="1">
      <alignment horizontal="left" vertical="top"/>
    </xf>
    <xf borderId="49" fillId="0" fontId="2" numFmtId="0" xfId="0" applyBorder="1" applyFont="1"/>
    <xf borderId="50" fillId="6" fontId="4" numFmtId="0" xfId="0" applyAlignment="1" applyBorder="1" applyFont="1">
      <alignment shrinkToFit="0" vertical="top" wrapText="1"/>
    </xf>
    <xf borderId="51" fillId="0" fontId="2" numFmtId="0" xfId="0" applyBorder="1" applyFont="1"/>
    <xf borderId="52" fillId="0" fontId="2" numFmtId="0" xfId="0" applyBorder="1" applyFont="1"/>
    <xf borderId="27" fillId="0" fontId="2" numFmtId="0" xfId="0" applyBorder="1" applyFont="1"/>
    <xf borderId="53" fillId="0" fontId="2" numFmtId="0" xfId="0" applyBorder="1" applyFont="1"/>
    <xf borderId="54" fillId="0" fontId="2" numFmtId="0" xfId="0" applyBorder="1" applyFont="1"/>
    <xf borderId="55" fillId="0" fontId="2" numFmtId="0" xfId="0" applyBorder="1" applyFont="1"/>
    <xf borderId="56" fillId="8" fontId="3" numFmtId="0" xfId="0" applyAlignment="1" applyBorder="1" applyFont="1">
      <alignment horizontal="center"/>
    </xf>
    <xf borderId="57" fillId="0" fontId="2" numFmtId="0" xfId="0" applyBorder="1" applyFont="1"/>
    <xf borderId="58" fillId="0" fontId="2" numFmtId="0" xfId="0" applyBorder="1" applyFont="1"/>
    <xf borderId="42" fillId="0" fontId="3" numFmtId="0" xfId="0" applyAlignment="1" applyBorder="1" applyFont="1">
      <alignment horizontal="left" vertical="top"/>
    </xf>
    <xf borderId="30" fillId="6" fontId="4" numFmtId="0" xfId="0" applyAlignment="1" applyBorder="1" applyFont="1">
      <alignment horizontal="center" readingOrder="0"/>
    </xf>
    <xf borderId="30" fillId="7" fontId="14" numFmtId="2" xfId="0" applyBorder="1" applyFont="1" applyNumberFormat="1"/>
    <xf borderId="30" fillId="7" fontId="14" numFmtId="165" xfId="0" applyBorder="1" applyFont="1" applyNumberFormat="1"/>
    <xf borderId="27" fillId="6" fontId="4" numFmtId="0" xfId="0" applyAlignment="1" applyBorder="1" applyFont="1">
      <alignment horizontal="center" readingOrder="0" shrinkToFit="0" vertical="bottom" wrapText="0"/>
    </xf>
    <xf borderId="0" fillId="0" fontId="6" numFmtId="0" xfId="0" applyAlignment="1" applyFont="1">
      <alignment horizontal="left" readingOrder="0" shrinkToFit="0" vertical="bottom" wrapText="0"/>
    </xf>
    <xf borderId="41" fillId="3" fontId="3" numFmtId="0" xfId="0" applyBorder="1" applyFont="1"/>
    <xf borderId="1" fillId="2" fontId="1" numFmtId="0" xfId="0" applyAlignment="1" applyBorder="1" applyFont="1">
      <alignment horizontal="center" readingOrder="0"/>
    </xf>
    <xf borderId="39" fillId="8" fontId="3" numFmtId="0" xfId="0" applyAlignment="1" applyBorder="1" applyFont="1">
      <alignment horizontal="right"/>
    </xf>
    <xf borderId="59" fillId="0" fontId="2" numFmtId="0" xfId="0" applyBorder="1" applyFont="1"/>
    <xf borderId="39" fillId="0" fontId="3" numFmtId="0" xfId="0" applyAlignment="1" applyBorder="1" applyFont="1">
      <alignment horizontal="center"/>
    </xf>
    <xf borderId="50" fillId="0" fontId="3" numFmtId="0" xfId="0" applyAlignment="1" applyBorder="1" applyFont="1">
      <alignment horizontal="center"/>
    </xf>
    <xf borderId="60" fillId="0" fontId="2" numFmtId="0" xfId="0" applyBorder="1" applyFont="1"/>
    <xf borderId="61" fillId="6" fontId="4" numFmtId="0" xfId="0" applyAlignment="1" applyBorder="1" applyFont="1">
      <alignment horizontal="center" readingOrder="0"/>
    </xf>
    <xf borderId="62" fillId="0" fontId="2" numFmtId="0" xfId="0" applyBorder="1" applyFont="1"/>
    <xf borderId="5" fillId="6" fontId="4" numFmtId="0" xfId="0" applyAlignment="1" applyBorder="1" applyFont="1">
      <alignment readingOrder="0" shrinkToFit="0" vertical="bottom" wrapText="0"/>
    </xf>
    <xf borderId="5" fillId="6" fontId="18" numFmtId="0" xfId="0" applyAlignment="1" applyBorder="1" applyFont="1">
      <alignment readingOrder="0" shrinkToFit="0" vertical="bottom" wrapText="0"/>
    </xf>
    <xf borderId="30" fillId="6" fontId="4" numFmtId="0" xfId="0" applyAlignment="1" applyBorder="1" applyFont="1">
      <alignment horizontal="right" readingOrder="0" vertical="bottom"/>
    </xf>
    <xf borderId="27" fillId="6" fontId="4" numFmtId="0" xfId="0" applyAlignment="1" applyBorder="1" applyFont="1">
      <alignment horizontal="right" readingOrder="0" vertical="bottom"/>
    </xf>
    <xf borderId="15" fillId="6" fontId="4" numFmtId="0" xfId="0" applyAlignment="1" applyBorder="1" applyFont="1">
      <alignment horizontal="center" textRotation="0" vertical="center"/>
    </xf>
    <xf borderId="63" fillId="6" fontId="4" numFmtId="0" xfId="0" applyAlignment="1" applyBorder="1" applyFont="1">
      <alignment horizontal="left" shrinkToFit="0" vertical="top" wrapText="1"/>
    </xf>
    <xf borderId="64" fillId="0" fontId="2" numFmtId="0" xfId="0" applyBorder="1" applyFont="1"/>
    <xf borderId="65" fillId="0" fontId="2" numFmtId="0" xfId="0" applyBorder="1" applyFont="1"/>
    <xf borderId="66" fillId="0" fontId="2" numFmtId="0" xfId="0" applyBorder="1" applyFont="1"/>
    <xf borderId="63" fillId="6" fontId="4" numFmtId="0" xfId="0" applyAlignment="1" applyBorder="1" applyFont="1">
      <alignment horizontal="left" readingOrder="0" shrinkToFit="0" vertical="top" wrapText="1"/>
    </xf>
    <xf borderId="67" fillId="5" fontId="3" numFmtId="0" xfId="0" applyAlignment="1" applyBorder="1" applyFont="1">
      <alignment horizontal="center" vertical="center"/>
    </xf>
    <xf borderId="0" fillId="0" fontId="3" numFmtId="9" xfId="0" applyFont="1" applyNumberFormat="1"/>
    <xf borderId="68" fillId="0" fontId="2" numFmtId="0" xfId="0" applyBorder="1" applyFont="1"/>
    <xf borderId="30" fillId="6" fontId="4" numFmtId="0" xfId="0" applyAlignment="1" applyBorder="1" applyFont="1">
      <alignment horizontal="center"/>
    </xf>
    <xf borderId="4" fillId="3" fontId="1" numFmtId="0" xfId="0" applyBorder="1" applyFont="1"/>
    <xf borderId="0" fillId="0" fontId="6" numFmtId="0" xfId="0" applyAlignment="1" applyFont="1">
      <alignment horizontal="right" readingOrder="0" vertical="bottom"/>
    </xf>
    <xf borderId="49" fillId="6" fontId="4" numFmtId="0" xfId="0" applyAlignment="1" applyBorder="1" applyFont="1">
      <alignment horizontal="center" readingOrder="0" shrinkToFit="0" vertical="bottom" wrapText="0"/>
    </xf>
    <xf borderId="43" fillId="5" fontId="3" numFmtId="0" xfId="0" applyAlignment="1" applyBorder="1" applyFont="1">
      <alignment horizontal="center"/>
    </xf>
    <xf borderId="15" fillId="0" fontId="4" numFmtId="0" xfId="0" applyAlignment="1" applyBorder="1" applyFont="1">
      <alignment horizontal="center" shrinkToFit="0" vertical="center" wrapText="1"/>
    </xf>
  </cellXfs>
  <cellStyles count="1">
    <cellStyle xfId="0" name="Normal" builtinId="0"/>
  </cellStyles>
  <dxfs count="1">
    <dxf>
      <font>
        <color theme="0"/>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dLbls>
          <c:showLegendKey val="0"/>
          <c:showVal val="0"/>
          <c:showCatName val="0"/>
          <c:showSerName val="0"/>
          <c:showPercent val="0"/>
          <c:showBubbleSize val="0"/>
        </c:dLbls>
        <c:axId val="1758569417"/>
        <c:axId val="1747954148"/>
      </c:scatterChart>
      <c:valAx>
        <c:axId val="1758569417"/>
        <c:scaling>
          <c:orientation val="minMax"/>
        </c:scaling>
        <c:delete val="0"/>
        <c:axPos val="b"/>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Current [A]</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747954148"/>
      </c:valAx>
      <c:valAx>
        <c:axId val="1747954148"/>
        <c:scaling>
          <c:orientation val="minMax"/>
        </c:scaling>
        <c:delete val="0"/>
        <c:axPos val="l"/>
        <c:tickLblPos val="nextTo"/>
        <c:spPr>
          <a:ln>
            <a:noFill/>
          </a:ln>
        </c:spPr>
        <c:crossAx val="1758569417"/>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dLbls>
          <c:showLegendKey val="0"/>
          <c:showVal val="0"/>
          <c:showCatName val="0"/>
          <c:showSerName val="0"/>
          <c:showPercent val="0"/>
          <c:showBubbleSize val="0"/>
        </c:dLbls>
        <c:axId val="590448582"/>
        <c:axId val="350121248"/>
      </c:scatterChart>
      <c:valAx>
        <c:axId val="590448582"/>
        <c:scaling>
          <c:orientation val="minMax"/>
          <c:max val="1.0"/>
        </c:scaling>
        <c:delete val="0"/>
        <c:axPos val="b"/>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Pedal Position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350121248"/>
      </c:valAx>
      <c:valAx>
        <c:axId val="350121248"/>
        <c:scaling>
          <c:orientation val="minMax"/>
        </c:scaling>
        <c:delete val="0"/>
        <c:axPos val="l"/>
        <c:tickLblPos val="nextTo"/>
        <c:spPr>
          <a:ln>
            <a:noFill/>
          </a:ln>
        </c:spPr>
        <c:crossAx val="590448582"/>
      </c:valAx>
    </c:plotArea>
    <c:legend>
      <c:legendPos val="r"/>
      <c:overlay val="0"/>
      <c:txPr>
        <a:bodyPr/>
        <a:lstStyle/>
        <a:p>
          <a:pPr lvl="0">
            <a:defRPr b="0" i="0" sz="90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209550</xdr:colOff>
      <xdr:row>1</xdr:row>
      <xdr:rowOff>28575</xdr:rowOff>
    </xdr:from>
    <xdr:ext cx="6057900" cy="46577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685800</xdr:colOff>
      <xdr:row>1</xdr:row>
      <xdr:rowOff>-19050</xdr:rowOff>
    </xdr:from>
    <xdr:ext cx="5038725" cy="47053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762000</xdr:colOff>
      <xdr:row>67</xdr:row>
      <xdr:rowOff>114300</xdr:rowOff>
    </xdr:from>
    <xdr:ext cx="4991100" cy="2838450"/>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419100</xdr:colOff>
      <xdr:row>12</xdr:row>
      <xdr:rowOff>133350</xdr:rowOff>
    </xdr:from>
    <xdr:ext cx="5238750" cy="31813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xdr:colOff>
      <xdr:row>10</xdr:row>
      <xdr:rowOff>76200</xdr:rowOff>
    </xdr:from>
    <xdr:ext cx="8086725" cy="4143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9</xdr:row>
      <xdr:rowOff>0</xdr:rowOff>
    </xdr:from>
    <xdr:ext cx="438150" cy="18097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10</xdr:row>
      <xdr:rowOff>38100</xdr:rowOff>
    </xdr:from>
    <xdr:ext cx="4400550" cy="2571750"/>
    <xdr:graphicFrame>
      <xdr:nvGraphicFramePr>
        <xdr:cNvPr id="2" name="Chart 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367C2B"/>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www.amphenol-industrial.com/images/datasheets/IDS-67%20RADLOK.pdf" TargetMode="External"/><Relationship Id="rId10" Type="http://schemas.openxmlformats.org/officeDocument/2006/relationships/hyperlink" Target="https://www3.panasonic.biz/ac/e_download/control/relay/photomos/catalog/semi_eng_pwr1b_aqz40.pdf" TargetMode="External"/><Relationship Id="rId13" Type="http://schemas.openxmlformats.org/officeDocument/2006/relationships/hyperlink" Target="https://www.mouser.com/datasheet/2/18/1/msd_m_xxxx_rev_a_cdr-1853453.pdf" TargetMode="External"/><Relationship Id="rId12" Type="http://schemas.openxmlformats.org/officeDocument/2006/relationships/hyperlink" Target="https://www.amphenol-industrial.com/images/datasheets/IDS-67%20RADLOK.pdf" TargetMode="External"/><Relationship Id="rId1" Type="http://schemas.openxmlformats.org/officeDocument/2006/relationships/hyperlink" Target="https://www.molicel.com/wp-content/uploads/INR18650P28A-V1-80093.pdf" TargetMode="External"/><Relationship Id="rId2" Type="http://schemas.openxmlformats.org/officeDocument/2006/relationships/hyperlink" Target="https://www.molicel.com/wp-content/uploads/00058ar-Molicel-SDS-Y2020.pdf" TargetMode="External"/><Relationship Id="rId3" Type="http://schemas.openxmlformats.org/officeDocument/2006/relationships/hyperlink" Target="https://www.champcable.com/wp-content/uploads/2021/06/219.-EXRAD-ERGOFLEX-Shielded-Thin-Wall-Battery-Cable-R3.pdf" TargetMode="External"/><Relationship Id="rId4" Type="http://schemas.openxmlformats.org/officeDocument/2006/relationships/hyperlink" Target="https://www.amazon.com/BOJACK-5x20mm-F2AL250V-Fast-Blow-Glass/dp/B07S768TPM/ref=cm_cr_arp_d_product_top?ie=UTF8" TargetMode="External"/><Relationship Id="rId9" Type="http://schemas.openxmlformats.org/officeDocument/2006/relationships/hyperlink" Target="https://www.mouser.com/datasheet/2/418/ENG_CS_5-1773450-5_sec7_LEV200_0313_5-1773450-5_Se-1074401.pdf" TargetMode="External"/><Relationship Id="rId14" Type="http://schemas.openxmlformats.org/officeDocument/2006/relationships/drawing" Target="../drawings/drawing2.xml"/><Relationship Id="rId5" Type="http://schemas.openxmlformats.org/officeDocument/2006/relationships/hyperlink" Target="https://www.mouser.com/datasheet/2/240/L50QS_High_Speed_Fuse_Datasheet-3311429.pdf" TargetMode="External"/><Relationship Id="rId6" Type="http://schemas.openxmlformats.org/officeDocument/2006/relationships/hyperlink" Target="https://www.mouser.com/datasheet/2/643/ds_cp_0adkx_series-1960352.pdf" TargetMode="External"/><Relationship Id="rId7" Type="http://schemas.openxmlformats.org/officeDocument/2006/relationships/hyperlink" Target="http://www.caddock.com/Online_catalog/Mrktg_Lit/MP9000_Series.pdf" TargetMode="External"/><Relationship Id="rId8" Type="http://schemas.openxmlformats.org/officeDocument/2006/relationships/hyperlink" Target="https://www.mouser.com/datasheet/2/303/acl_hs10-1890310.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mcmaster.com/1272N15/"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electricmotorsport.com/ev-parts/chargers/multi-chemistry/elcon-6-6kw-hk-j-can-uhf-charger.html"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lem.com/sites/default/files/products_datasheets/dhab_s_124.pdf"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stealthev.com/wp-content/uploads/2019/06/PM100-Spec-Sheet.pdf" TargetMode="External"/><Relationship Id="rId2" Type="http://schemas.openxmlformats.org/officeDocument/2006/relationships/hyperlink" Target="https://emrax.com/wp-content/uploads/2020/03/emrax_228_technical_data_table_graphs_5.4.pdf" TargetMode="External"/><Relationship Id="rId3"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8.67"/>
    <col customWidth="1" min="2" max="2" width="9.33"/>
    <col customWidth="1" min="3" max="26" width="8.67"/>
  </cols>
  <sheetData>
    <row r="1" ht="14.25" customHeight="1">
      <c r="A1" s="1" t="s">
        <v>0</v>
      </c>
      <c r="B1" s="2"/>
      <c r="C1" s="2"/>
      <c r="D1" s="2"/>
      <c r="E1" s="2"/>
      <c r="F1" s="2"/>
      <c r="G1" s="2"/>
      <c r="H1" s="3"/>
      <c r="I1" s="4"/>
      <c r="J1" s="1" t="s">
        <v>1</v>
      </c>
      <c r="K1" s="2"/>
      <c r="L1" s="3"/>
      <c r="M1" s="4"/>
      <c r="N1" s="4"/>
      <c r="O1" s="4"/>
      <c r="P1" s="4"/>
      <c r="Q1" s="4"/>
      <c r="R1" s="4"/>
      <c r="S1" s="4"/>
      <c r="T1" s="4"/>
      <c r="U1" s="4"/>
      <c r="V1" s="4"/>
      <c r="W1" s="4"/>
      <c r="X1" s="4"/>
      <c r="Y1" s="4"/>
      <c r="Z1" s="4"/>
    </row>
    <row r="2" ht="14.25" customHeight="1">
      <c r="A2" s="5" t="s">
        <v>2</v>
      </c>
      <c r="I2" s="4"/>
      <c r="J2" s="6" t="s">
        <v>3</v>
      </c>
      <c r="K2" s="3"/>
      <c r="L2" s="7" t="str">
        <f>Datasheets!C1</f>
        <v>OK</v>
      </c>
      <c r="M2" s="4"/>
      <c r="N2" s="4"/>
      <c r="O2" s="4"/>
      <c r="P2" s="4"/>
      <c r="Q2" s="4"/>
      <c r="R2" s="4"/>
      <c r="S2" s="4"/>
      <c r="T2" s="4"/>
      <c r="U2" s="4"/>
      <c r="V2" s="4"/>
      <c r="W2" s="4"/>
      <c r="X2" s="4"/>
      <c r="Y2" s="4"/>
      <c r="Z2" s="4"/>
    </row>
    <row r="3" ht="14.25" customHeight="1">
      <c r="I3" s="4"/>
      <c r="J3" s="6" t="s">
        <v>4</v>
      </c>
      <c r="K3" s="3"/>
      <c r="L3" s="7" t="str">
        <f>'TS Schematics'!B1</f>
        <v>OK</v>
      </c>
      <c r="M3" s="4"/>
      <c r="N3" s="4"/>
      <c r="O3" s="4"/>
      <c r="P3" s="4"/>
      <c r="Q3" s="4"/>
      <c r="R3" s="4"/>
      <c r="S3" s="4"/>
      <c r="T3" s="4"/>
      <c r="U3" s="4"/>
      <c r="V3" s="4"/>
      <c r="W3" s="4"/>
      <c r="X3" s="4"/>
      <c r="Y3" s="4"/>
      <c r="Z3" s="4"/>
    </row>
    <row r="4" ht="14.25" customHeight="1">
      <c r="I4" s="4"/>
      <c r="J4" s="6" t="s">
        <v>5</v>
      </c>
      <c r="K4" s="3"/>
      <c r="L4" s="7" t="str">
        <f>Accumulator!B1</f>
        <v>OK</v>
      </c>
      <c r="M4" s="4"/>
      <c r="N4" s="4"/>
      <c r="O4" s="4"/>
      <c r="P4" s="4"/>
      <c r="Q4" s="4"/>
      <c r="R4" s="4"/>
      <c r="S4" s="4"/>
      <c r="T4" s="4"/>
      <c r="U4" s="4"/>
      <c r="V4" s="4"/>
      <c r="W4" s="4"/>
      <c r="X4" s="4"/>
      <c r="Y4" s="4"/>
      <c r="Z4" s="4"/>
    </row>
    <row r="5" ht="14.25" customHeight="1">
      <c r="I5" s="4"/>
      <c r="J5" s="6" t="s">
        <v>6</v>
      </c>
      <c r="K5" s="3"/>
      <c r="L5" s="7" t="str">
        <f>PrechargeDischarge!B1</f>
        <v>BLANK</v>
      </c>
      <c r="M5" s="4"/>
      <c r="N5" s="4"/>
      <c r="O5" s="4"/>
      <c r="P5" s="4"/>
      <c r="Q5" s="4"/>
      <c r="R5" s="4"/>
      <c r="S5" s="4"/>
      <c r="T5" s="4"/>
      <c r="U5" s="4"/>
      <c r="V5" s="4"/>
      <c r="W5" s="4"/>
      <c r="X5" s="4"/>
      <c r="Y5" s="4"/>
      <c r="Z5" s="4"/>
    </row>
    <row r="6" ht="14.25" customHeight="1">
      <c r="I6" s="4"/>
      <c r="J6" s="6" t="s">
        <v>7</v>
      </c>
      <c r="K6" s="3"/>
      <c r="L6" s="7" t="str">
        <f>Charging!B1</f>
        <v>OK</v>
      </c>
      <c r="M6" s="4"/>
      <c r="N6" s="4"/>
      <c r="O6" s="4"/>
      <c r="P6" s="4"/>
      <c r="Q6" s="4"/>
      <c r="R6" s="4"/>
      <c r="S6" s="4"/>
      <c r="T6" s="4"/>
      <c r="U6" s="4"/>
      <c r="V6" s="4"/>
      <c r="W6" s="4"/>
      <c r="X6" s="4"/>
      <c r="Y6" s="4"/>
      <c r="Z6" s="4"/>
    </row>
    <row r="7" ht="14.25" customHeight="1">
      <c r="I7" s="4"/>
      <c r="J7" s="6" t="s">
        <v>8</v>
      </c>
      <c r="K7" s="3"/>
      <c r="L7" s="7" t="str">
        <f>'Shutdown Circuit'!B1</f>
        <v>OK</v>
      </c>
      <c r="M7" s="4"/>
      <c r="N7" s="4"/>
      <c r="O7" s="4"/>
      <c r="P7" s="4"/>
      <c r="Q7" s="4"/>
      <c r="R7" s="4"/>
      <c r="S7" s="4"/>
      <c r="T7" s="4"/>
      <c r="U7" s="4"/>
      <c r="V7" s="4"/>
      <c r="W7" s="4"/>
      <c r="X7" s="4"/>
      <c r="Y7" s="4"/>
      <c r="Z7" s="4"/>
    </row>
    <row r="8" ht="14.25" customHeight="1">
      <c r="I8" s="4"/>
      <c r="J8" s="6" t="s">
        <v>9</v>
      </c>
      <c r="K8" s="3"/>
      <c r="L8" s="7" t="str">
        <f>'Torque Security'!$B$1</f>
        <v>BLANK</v>
      </c>
      <c r="M8" s="4"/>
      <c r="N8" s="4"/>
      <c r="O8" s="4"/>
      <c r="P8" s="4"/>
      <c r="Q8" s="4"/>
      <c r="R8" s="4"/>
      <c r="S8" s="4"/>
      <c r="T8" s="4"/>
      <c r="U8" s="4"/>
      <c r="V8" s="4"/>
      <c r="W8" s="4"/>
      <c r="X8" s="4"/>
      <c r="Y8" s="4"/>
      <c r="Z8" s="4"/>
    </row>
    <row r="9" ht="14.25" customHeight="1">
      <c r="I9" s="4"/>
      <c r="J9" s="6" t="s">
        <v>10</v>
      </c>
      <c r="K9" s="3"/>
      <c r="L9" s="7" t="str">
        <f>Other!B1</f>
        <v>OK</v>
      </c>
      <c r="M9" s="4"/>
      <c r="N9" s="4"/>
      <c r="O9" s="4"/>
      <c r="P9" s="4"/>
      <c r="Q9" s="4"/>
      <c r="R9" s="4"/>
      <c r="S9" s="4"/>
      <c r="T9" s="4"/>
      <c r="U9" s="4"/>
      <c r="V9" s="4"/>
      <c r="W9" s="4"/>
      <c r="X9" s="4"/>
      <c r="Y9" s="4"/>
      <c r="Z9" s="4"/>
    </row>
    <row r="10" ht="14.25" customHeight="1">
      <c r="I10" s="4"/>
      <c r="J10" s="4"/>
      <c r="K10" s="4"/>
      <c r="L10" s="4"/>
      <c r="M10" s="4"/>
      <c r="N10" s="4"/>
      <c r="O10" s="4"/>
      <c r="P10" s="4"/>
      <c r="Q10" s="4"/>
      <c r="R10" s="4"/>
      <c r="S10" s="4"/>
      <c r="T10" s="4"/>
      <c r="U10" s="4"/>
      <c r="V10" s="4"/>
      <c r="W10" s="4"/>
      <c r="X10" s="4"/>
      <c r="Y10" s="4"/>
      <c r="Z10" s="4"/>
    </row>
    <row r="11" ht="14.25" customHeight="1">
      <c r="I11" s="4"/>
      <c r="J11" s="8" t="s">
        <v>11</v>
      </c>
      <c r="L11" s="9" t="s">
        <v>12</v>
      </c>
      <c r="M11" s="10"/>
      <c r="N11" s="10"/>
      <c r="O11" s="10"/>
      <c r="P11" s="11"/>
      <c r="Q11" s="4"/>
      <c r="R11" s="4"/>
      <c r="S11" s="4"/>
      <c r="T11" s="4"/>
      <c r="U11" s="4"/>
      <c r="V11" s="4"/>
      <c r="W11" s="4"/>
      <c r="X11" s="4"/>
      <c r="Y11" s="4"/>
      <c r="Z11" s="4"/>
    </row>
    <row r="12" ht="14.25" customHeight="1">
      <c r="I12" s="4"/>
      <c r="J12" s="8" t="s">
        <v>13</v>
      </c>
      <c r="L12" s="9" t="s">
        <v>14</v>
      </c>
      <c r="M12" s="10"/>
      <c r="N12" s="10"/>
      <c r="O12" s="10"/>
      <c r="P12" s="11"/>
      <c r="Q12" s="4"/>
      <c r="R12" s="4"/>
      <c r="S12" s="4"/>
      <c r="T12" s="4"/>
      <c r="U12" s="4"/>
      <c r="V12" s="4"/>
      <c r="W12" s="4"/>
      <c r="X12" s="4"/>
      <c r="Y12" s="4"/>
      <c r="Z12" s="4"/>
    </row>
    <row r="13" ht="14.25" customHeight="1">
      <c r="I13" s="4"/>
      <c r="J13" s="8" t="s">
        <v>15</v>
      </c>
      <c r="L13" s="12">
        <v>2024.0</v>
      </c>
      <c r="M13" s="13"/>
      <c r="N13" s="13"/>
      <c r="O13" s="13"/>
      <c r="P13" s="14"/>
      <c r="Q13" s="4"/>
      <c r="R13" s="4"/>
      <c r="S13" s="4"/>
      <c r="T13" s="4"/>
      <c r="U13" s="4"/>
      <c r="V13" s="4"/>
      <c r="W13" s="4"/>
      <c r="X13" s="4"/>
      <c r="Y13" s="4"/>
      <c r="Z13" s="4"/>
    </row>
    <row r="14" ht="14.25" customHeight="1">
      <c r="I14" s="4"/>
      <c r="J14" s="4"/>
      <c r="K14" s="4"/>
      <c r="L14" s="4"/>
      <c r="M14" s="4"/>
      <c r="N14" s="4"/>
      <c r="O14" s="4"/>
      <c r="P14" s="4"/>
      <c r="Q14" s="4"/>
      <c r="R14" s="4"/>
      <c r="S14" s="4"/>
      <c r="T14" s="4"/>
      <c r="U14" s="4"/>
      <c r="V14" s="4"/>
      <c r="W14" s="4"/>
      <c r="X14" s="4"/>
      <c r="Y14" s="4"/>
      <c r="Z14" s="4"/>
    </row>
    <row r="15" ht="14.25" customHeight="1">
      <c r="I15" s="4"/>
      <c r="J15" s="6" t="s">
        <v>16</v>
      </c>
      <c r="K15" s="3"/>
      <c r="L15" s="15">
        <f>MaxTSVoltage</f>
        <v>399</v>
      </c>
      <c r="M15" s="4" t="s">
        <v>17</v>
      </c>
      <c r="N15" s="4"/>
      <c r="O15" s="4"/>
      <c r="P15" s="4"/>
      <c r="Q15" s="4"/>
      <c r="R15" s="4"/>
      <c r="S15" s="4"/>
      <c r="T15" s="4"/>
      <c r="U15" s="4"/>
      <c r="V15" s="4"/>
      <c r="W15" s="4"/>
      <c r="X15" s="4"/>
      <c r="Y15" s="4"/>
      <c r="Z15" s="4"/>
    </row>
    <row r="16" ht="14.25" customHeight="1">
      <c r="I16" s="4"/>
      <c r="J16" s="6" t="s">
        <v>18</v>
      </c>
      <c r="K16" s="3"/>
      <c r="L16" s="15">
        <f>Accumulator!U20</f>
        <v>125</v>
      </c>
      <c r="M16" s="4" t="s">
        <v>19</v>
      </c>
      <c r="N16" s="4"/>
      <c r="O16" s="4"/>
      <c r="P16" s="4"/>
      <c r="Q16" s="4"/>
      <c r="R16" s="4"/>
      <c r="S16" s="4"/>
      <c r="T16" s="4"/>
      <c r="U16" s="4"/>
      <c r="V16" s="4"/>
      <c r="W16" s="4"/>
      <c r="X16" s="4"/>
      <c r="Y16" s="4"/>
      <c r="Z16" s="4"/>
    </row>
    <row r="17" ht="14.25" customHeight="1">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16" t="s">
        <v>20</v>
      </c>
      <c r="B19" s="17"/>
      <c r="C19" s="17"/>
      <c r="D19" s="17"/>
      <c r="E19" s="17"/>
      <c r="F19" s="17"/>
      <c r="G19" s="17"/>
      <c r="H19" s="17"/>
      <c r="I19" s="17"/>
      <c r="J19" s="17"/>
      <c r="K19" s="17"/>
      <c r="L19" s="17"/>
      <c r="M19" s="17"/>
      <c r="N19" s="17"/>
      <c r="O19" s="17"/>
      <c r="P19" s="18"/>
      <c r="Q19" s="4"/>
      <c r="R19" s="4"/>
      <c r="S19" s="4"/>
      <c r="T19" s="4"/>
      <c r="U19" s="4"/>
      <c r="V19" s="4"/>
      <c r="W19" s="4"/>
      <c r="X19" s="4"/>
      <c r="Y19" s="4"/>
      <c r="Z19" s="4"/>
    </row>
    <row r="20" ht="14.25" customHeight="1">
      <c r="A20" s="19"/>
      <c r="B20" s="20"/>
      <c r="C20" s="20"/>
      <c r="D20" s="20"/>
      <c r="E20" s="20"/>
      <c r="F20" s="20"/>
      <c r="G20" s="20"/>
      <c r="H20" s="20"/>
      <c r="I20" s="20"/>
      <c r="J20" s="20"/>
      <c r="K20" s="20"/>
      <c r="L20" s="20"/>
      <c r="M20" s="20"/>
      <c r="N20" s="20"/>
      <c r="O20" s="20"/>
      <c r="P20" s="21"/>
      <c r="Q20" s="4"/>
      <c r="R20" s="4"/>
      <c r="S20" s="4"/>
      <c r="T20" s="4"/>
      <c r="U20" s="4"/>
      <c r="V20" s="4"/>
      <c r="W20" s="4"/>
      <c r="X20" s="4"/>
      <c r="Y20" s="4"/>
      <c r="Z20" s="4"/>
    </row>
    <row r="21" ht="14.25" customHeight="1">
      <c r="A21" s="22"/>
      <c r="P21" s="23"/>
      <c r="Q21" s="4"/>
      <c r="R21" s="4"/>
      <c r="S21" s="4"/>
      <c r="T21" s="4"/>
      <c r="U21" s="4"/>
      <c r="V21" s="4"/>
      <c r="W21" s="4"/>
      <c r="X21" s="4"/>
      <c r="Y21" s="4"/>
      <c r="Z21" s="4"/>
    </row>
    <row r="22" ht="14.25" customHeight="1">
      <c r="A22" s="22"/>
      <c r="P22" s="23"/>
      <c r="Q22" s="4"/>
      <c r="R22" s="4"/>
      <c r="S22" s="4"/>
      <c r="T22" s="4"/>
      <c r="U22" s="4"/>
      <c r="V22" s="4"/>
      <c r="W22" s="4"/>
      <c r="X22" s="4"/>
      <c r="Y22" s="4"/>
      <c r="Z22" s="4"/>
    </row>
    <row r="23" ht="14.25" customHeight="1">
      <c r="A23" s="22"/>
      <c r="P23" s="23"/>
      <c r="Q23" s="4"/>
      <c r="R23" s="4"/>
      <c r="S23" s="4"/>
      <c r="T23" s="4"/>
      <c r="U23" s="4"/>
      <c r="V23" s="4"/>
      <c r="W23" s="4"/>
      <c r="X23" s="4"/>
      <c r="Y23" s="4"/>
      <c r="Z23" s="4"/>
    </row>
    <row r="24" ht="14.25" customHeight="1">
      <c r="A24" s="22"/>
      <c r="P24" s="23"/>
      <c r="Q24" s="4"/>
      <c r="R24" s="4"/>
      <c r="S24" s="4"/>
      <c r="T24" s="4"/>
      <c r="U24" s="4"/>
      <c r="V24" s="4"/>
      <c r="W24" s="4"/>
      <c r="X24" s="4"/>
      <c r="Y24" s="4"/>
      <c r="Z24" s="4"/>
    </row>
    <row r="25" ht="14.25" customHeight="1">
      <c r="A25" s="22"/>
      <c r="P25" s="23"/>
      <c r="Q25" s="4"/>
      <c r="R25" s="4"/>
      <c r="S25" s="4"/>
      <c r="T25" s="4"/>
      <c r="U25" s="4"/>
      <c r="V25" s="4"/>
      <c r="W25" s="4"/>
      <c r="X25" s="4"/>
      <c r="Y25" s="4"/>
      <c r="Z25" s="4"/>
    </row>
    <row r="26" ht="14.25" customHeight="1">
      <c r="A26" s="22"/>
      <c r="P26" s="23"/>
      <c r="Q26" s="4"/>
      <c r="R26" s="4"/>
      <c r="S26" s="4"/>
      <c r="T26" s="4"/>
      <c r="U26" s="4"/>
      <c r="V26" s="4"/>
      <c r="W26" s="4"/>
      <c r="X26" s="4"/>
      <c r="Y26" s="4"/>
      <c r="Z26" s="4"/>
    </row>
    <row r="27" ht="14.25" customHeight="1">
      <c r="A27" s="22"/>
      <c r="P27" s="23"/>
      <c r="Q27" s="4"/>
      <c r="R27" s="4"/>
      <c r="S27" s="4"/>
      <c r="T27" s="4"/>
      <c r="U27" s="4"/>
      <c r="V27" s="4"/>
      <c r="W27" s="4"/>
      <c r="X27" s="4"/>
      <c r="Y27" s="4"/>
      <c r="Z27" s="4"/>
    </row>
    <row r="28" ht="14.25" customHeight="1">
      <c r="A28" s="22"/>
      <c r="P28" s="23"/>
      <c r="Q28" s="4"/>
      <c r="R28" s="4"/>
      <c r="S28" s="4"/>
      <c r="T28" s="4"/>
      <c r="U28" s="4"/>
      <c r="V28" s="4"/>
      <c r="W28" s="4"/>
      <c r="X28" s="4"/>
      <c r="Y28" s="4"/>
      <c r="Z28" s="4"/>
    </row>
    <row r="29" ht="14.25" customHeight="1">
      <c r="A29" s="22"/>
      <c r="P29" s="23"/>
      <c r="Q29" s="4"/>
      <c r="R29" s="4"/>
      <c r="S29" s="4"/>
      <c r="T29" s="4"/>
      <c r="U29" s="4"/>
      <c r="V29" s="4"/>
      <c r="W29" s="4"/>
      <c r="X29" s="4"/>
      <c r="Y29" s="4"/>
      <c r="Z29" s="4"/>
    </row>
    <row r="30" ht="14.25" customHeight="1">
      <c r="A30" s="22"/>
      <c r="P30" s="23"/>
      <c r="Q30" s="4"/>
      <c r="R30" s="4"/>
      <c r="S30" s="4"/>
      <c r="T30" s="4"/>
      <c r="U30" s="4"/>
      <c r="V30" s="4"/>
      <c r="W30" s="4"/>
      <c r="X30" s="4"/>
      <c r="Y30" s="4"/>
      <c r="Z30" s="4"/>
    </row>
    <row r="31" ht="14.25" customHeight="1">
      <c r="A31" s="22"/>
      <c r="P31" s="23"/>
      <c r="Q31" s="4"/>
      <c r="R31" s="4"/>
      <c r="S31" s="4"/>
      <c r="T31" s="4"/>
      <c r="U31" s="4"/>
      <c r="V31" s="4"/>
      <c r="W31" s="4"/>
      <c r="X31" s="4"/>
      <c r="Y31" s="4"/>
      <c r="Z31" s="4"/>
    </row>
    <row r="32" ht="14.25" customHeight="1">
      <c r="A32" s="22"/>
      <c r="P32" s="23"/>
      <c r="Q32" s="4"/>
      <c r="R32" s="4"/>
      <c r="S32" s="4"/>
      <c r="T32" s="4"/>
      <c r="U32" s="4"/>
      <c r="V32" s="4"/>
      <c r="W32" s="4"/>
      <c r="X32" s="4"/>
      <c r="Y32" s="4"/>
      <c r="Z32" s="4"/>
    </row>
    <row r="33" ht="14.25" customHeight="1">
      <c r="A33" s="22"/>
      <c r="P33" s="23"/>
      <c r="Q33" s="4"/>
      <c r="R33" s="4"/>
      <c r="S33" s="4"/>
      <c r="T33" s="4"/>
      <c r="U33" s="4"/>
      <c r="V33" s="4"/>
      <c r="W33" s="4"/>
      <c r="X33" s="4"/>
      <c r="Y33" s="4"/>
      <c r="Z33" s="4"/>
    </row>
    <row r="34" ht="14.25" customHeight="1">
      <c r="A34" s="22"/>
      <c r="P34" s="23"/>
      <c r="Q34" s="4"/>
      <c r="R34" s="4"/>
      <c r="S34" s="4"/>
      <c r="T34" s="4"/>
      <c r="U34" s="4"/>
      <c r="V34" s="4"/>
      <c r="W34" s="4"/>
      <c r="X34" s="4"/>
      <c r="Y34" s="4"/>
      <c r="Z34" s="4"/>
    </row>
    <row r="35" ht="14.25" customHeight="1">
      <c r="A35" s="24"/>
      <c r="B35" s="25"/>
      <c r="C35" s="25"/>
      <c r="D35" s="25"/>
      <c r="E35" s="25"/>
      <c r="F35" s="25"/>
      <c r="G35" s="25"/>
      <c r="H35" s="25"/>
      <c r="I35" s="25"/>
      <c r="J35" s="25"/>
      <c r="K35" s="25"/>
      <c r="L35" s="25"/>
      <c r="M35" s="25"/>
      <c r="N35" s="25"/>
      <c r="O35" s="25"/>
      <c r="P35" s="26"/>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1" t="s">
        <v>21</v>
      </c>
      <c r="B38" s="2"/>
      <c r="C38" s="2"/>
      <c r="D38" s="2"/>
      <c r="E38" s="2"/>
      <c r="F38" s="2"/>
      <c r="G38" s="2"/>
      <c r="H38" s="3"/>
      <c r="I38" s="4"/>
      <c r="J38" s="4"/>
      <c r="K38" s="4"/>
      <c r="L38" s="4"/>
      <c r="M38" s="4"/>
      <c r="N38" s="4"/>
      <c r="O38" s="4"/>
      <c r="P38" s="4"/>
      <c r="Q38" s="4"/>
      <c r="R38" s="4"/>
      <c r="S38" s="4"/>
      <c r="T38" s="4"/>
      <c r="U38" s="4"/>
      <c r="V38" s="4"/>
      <c r="W38" s="4"/>
      <c r="X38" s="4"/>
      <c r="Y38" s="4"/>
      <c r="Z38" s="4"/>
    </row>
    <row r="39" ht="14.25" customHeight="1">
      <c r="A39" s="27" t="s">
        <v>22</v>
      </c>
      <c r="B39" s="27" t="s">
        <v>23</v>
      </c>
      <c r="C39" s="28" t="s">
        <v>24</v>
      </c>
      <c r="D39" s="29"/>
      <c r="E39" s="29"/>
      <c r="F39" s="29"/>
      <c r="G39" s="29"/>
      <c r="H39" s="30"/>
      <c r="I39" s="4"/>
      <c r="J39" s="4"/>
      <c r="K39" s="4"/>
      <c r="L39" s="4"/>
      <c r="M39" s="4"/>
      <c r="N39" s="4"/>
      <c r="O39" s="4"/>
      <c r="P39" s="4"/>
      <c r="Q39" s="4"/>
      <c r="R39" s="4"/>
      <c r="S39" s="4"/>
      <c r="T39" s="4"/>
      <c r="U39" s="4"/>
      <c r="V39" s="4"/>
      <c r="W39" s="4"/>
      <c r="X39" s="4"/>
      <c r="Y39" s="4"/>
      <c r="Z39" s="4"/>
    </row>
    <row r="40" ht="14.25" customHeight="1">
      <c r="A40" s="31">
        <v>2.2</v>
      </c>
      <c r="B40" s="32">
        <v>44868.0</v>
      </c>
      <c r="C40" s="33" t="s">
        <v>25</v>
      </c>
      <c r="D40" s="29"/>
      <c r="E40" s="29"/>
      <c r="F40" s="29"/>
      <c r="G40" s="29"/>
      <c r="H40" s="30"/>
      <c r="I40" s="4"/>
      <c r="J40" s="4"/>
      <c r="K40" s="4"/>
      <c r="L40" s="4"/>
      <c r="M40" s="4"/>
      <c r="N40" s="4"/>
      <c r="O40" s="4"/>
      <c r="P40" s="4"/>
      <c r="Q40" s="4"/>
      <c r="R40" s="4"/>
      <c r="S40" s="4"/>
      <c r="T40" s="4"/>
      <c r="U40" s="4"/>
      <c r="V40" s="4"/>
      <c r="W40" s="4"/>
      <c r="X40" s="4"/>
      <c r="Y40" s="4"/>
      <c r="Z40" s="4"/>
    </row>
    <row r="41" ht="14.25" customHeight="1">
      <c r="A41" s="31">
        <v>2.1</v>
      </c>
      <c r="B41" s="34">
        <v>44491.0</v>
      </c>
      <c r="C41" s="33" t="s">
        <v>26</v>
      </c>
      <c r="D41" s="29"/>
      <c r="E41" s="29"/>
      <c r="F41" s="29"/>
      <c r="G41" s="29"/>
      <c r="H41" s="30"/>
      <c r="I41" s="4"/>
      <c r="J41" s="4"/>
      <c r="K41" s="4"/>
      <c r="L41" s="4"/>
      <c r="M41" s="4"/>
      <c r="N41" s="4"/>
      <c r="O41" s="4"/>
      <c r="P41" s="4"/>
      <c r="Q41" s="4"/>
      <c r="R41" s="4"/>
      <c r="S41" s="4"/>
      <c r="T41" s="4"/>
      <c r="U41" s="4"/>
      <c r="V41" s="4"/>
      <c r="W41" s="4"/>
      <c r="X41" s="4"/>
      <c r="Y41" s="4"/>
      <c r="Z41" s="4"/>
    </row>
    <row r="42" ht="14.25" customHeight="1">
      <c r="A42" s="35" t="s">
        <v>27</v>
      </c>
      <c r="B42" s="34">
        <v>44162.0</v>
      </c>
      <c r="C42" s="33" t="s">
        <v>28</v>
      </c>
      <c r="D42" s="29"/>
      <c r="E42" s="29"/>
      <c r="F42" s="29"/>
      <c r="G42" s="29"/>
      <c r="H42" s="30"/>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6">
    <mergeCell ref="J6:K6"/>
    <mergeCell ref="J7:K7"/>
    <mergeCell ref="J8:K8"/>
    <mergeCell ref="J9:K9"/>
    <mergeCell ref="L11:P11"/>
    <mergeCell ref="L12:P12"/>
    <mergeCell ref="L13:P13"/>
    <mergeCell ref="J11:K11"/>
    <mergeCell ref="J12:K12"/>
    <mergeCell ref="J13:K13"/>
    <mergeCell ref="J15:K15"/>
    <mergeCell ref="J16:K16"/>
    <mergeCell ref="A19:P19"/>
    <mergeCell ref="A20:P35"/>
    <mergeCell ref="A38:H38"/>
    <mergeCell ref="C39:H39"/>
    <mergeCell ref="C40:H40"/>
    <mergeCell ref="C41:H41"/>
    <mergeCell ref="C42:H42"/>
    <mergeCell ref="A1:H1"/>
    <mergeCell ref="J1:L1"/>
    <mergeCell ref="A2:H17"/>
    <mergeCell ref="J2:K2"/>
    <mergeCell ref="J3:K3"/>
    <mergeCell ref="J4:K4"/>
    <mergeCell ref="J5:K5"/>
  </mergeCells>
  <printOptions/>
  <pageMargins bottom="0.75" footer="0.0" header="0.0" left="0.7" right="0.7" top="0.75"/>
  <pageSetup orientation="portrait"/>
  <headerFooter>
    <oddFooter>&amp;R#FF0000Public</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hidden="1" min="1" max="1" width="15.67"/>
    <col customWidth="1" min="2" max="2" width="11.89"/>
    <col customWidth="1" min="3" max="26" width="8.67"/>
  </cols>
  <sheetData>
    <row r="1" ht="14.25" customHeight="1">
      <c r="A1" s="4"/>
      <c r="B1" s="8" t="s">
        <v>1</v>
      </c>
      <c r="C1" s="7" t="str">
        <f t="array" ref="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c r="D1" s="4"/>
      <c r="E1" s="4"/>
      <c r="F1" s="4"/>
      <c r="G1" s="4"/>
      <c r="H1" s="4"/>
      <c r="I1" s="4"/>
      <c r="J1" s="4"/>
      <c r="K1" s="4"/>
      <c r="L1" s="4"/>
      <c r="M1" s="4"/>
      <c r="N1" s="4"/>
      <c r="O1" s="4"/>
      <c r="P1" s="4"/>
      <c r="Q1" s="4"/>
      <c r="R1" s="4"/>
      <c r="S1" s="4"/>
      <c r="T1" s="4"/>
      <c r="U1" s="4"/>
      <c r="V1" s="4"/>
      <c r="W1" s="4"/>
      <c r="X1" s="4"/>
      <c r="Y1" s="4"/>
      <c r="Z1" s="4"/>
    </row>
    <row r="2" ht="14.25" customHeight="1">
      <c r="A2" s="4"/>
      <c r="B2" s="1" t="s">
        <v>29</v>
      </c>
      <c r="C2" s="2"/>
      <c r="D2" s="2"/>
      <c r="E2" s="3"/>
      <c r="F2" s="7" t="str">
        <f>IF(COUNTBLANK(D3:D14)&gt;0, IncompleteText, OKText)</f>
        <v>OK</v>
      </c>
      <c r="G2" s="4"/>
      <c r="H2" s="4"/>
      <c r="I2" s="4"/>
      <c r="J2" s="4"/>
      <c r="K2" s="4"/>
      <c r="L2" s="4"/>
      <c r="M2" s="4"/>
      <c r="N2" s="4"/>
      <c r="O2" s="4"/>
      <c r="P2" s="4"/>
      <c r="Q2" s="4"/>
      <c r="R2" s="4"/>
      <c r="S2" s="4"/>
      <c r="T2" s="4"/>
      <c r="U2" s="4"/>
      <c r="V2" s="4"/>
      <c r="W2" s="4"/>
      <c r="X2" s="4"/>
      <c r="Y2" s="4"/>
      <c r="Z2" s="4"/>
    </row>
    <row r="3" ht="14.25" customHeight="1">
      <c r="A3" s="4"/>
      <c r="B3" s="8" t="s">
        <v>30</v>
      </c>
      <c r="D3" s="36" t="s">
        <v>31</v>
      </c>
      <c r="E3" s="11"/>
      <c r="F3" s="37"/>
      <c r="G3" s="4"/>
      <c r="H3" s="4"/>
      <c r="I3" s="4"/>
      <c r="J3" s="4"/>
      <c r="K3" s="4"/>
      <c r="L3" s="4"/>
      <c r="M3" s="4"/>
      <c r="N3" s="4"/>
      <c r="O3" s="4"/>
      <c r="P3" s="4"/>
      <c r="Q3" s="4"/>
      <c r="R3" s="4"/>
      <c r="S3" s="4"/>
      <c r="T3" s="4"/>
      <c r="U3" s="4"/>
      <c r="V3" s="4"/>
      <c r="W3" s="4"/>
      <c r="X3" s="4"/>
      <c r="Y3" s="4"/>
      <c r="Z3" s="4"/>
    </row>
    <row r="4" ht="14.25" customHeight="1">
      <c r="A4" s="4"/>
      <c r="B4" s="8" t="s">
        <v>32</v>
      </c>
      <c r="D4" s="36" t="s">
        <v>33</v>
      </c>
      <c r="E4" s="11"/>
      <c r="F4" s="37"/>
      <c r="G4" s="4"/>
      <c r="H4" s="4"/>
      <c r="I4" s="4"/>
      <c r="J4" s="4"/>
      <c r="K4" s="4"/>
      <c r="L4" s="4"/>
      <c r="M4" s="4"/>
      <c r="N4" s="4"/>
      <c r="O4" s="4"/>
      <c r="P4" s="4"/>
      <c r="Q4" s="4"/>
      <c r="R4" s="4"/>
      <c r="S4" s="4"/>
      <c r="T4" s="4"/>
      <c r="U4" s="4"/>
      <c r="V4" s="4"/>
      <c r="W4" s="4"/>
      <c r="X4" s="4"/>
      <c r="Y4" s="4"/>
      <c r="Z4" s="4"/>
    </row>
    <row r="5" ht="14.25" customHeight="1">
      <c r="A5" s="4"/>
      <c r="B5" s="8" t="s">
        <v>34</v>
      </c>
      <c r="D5" s="38" t="s">
        <v>35</v>
      </c>
      <c r="E5" s="39" t="s">
        <v>36</v>
      </c>
      <c r="F5" s="4"/>
      <c r="G5" s="4"/>
      <c r="H5" s="4"/>
      <c r="I5" s="4"/>
      <c r="J5" s="4"/>
      <c r="K5" s="4"/>
      <c r="L5" s="4"/>
      <c r="M5" s="4"/>
      <c r="N5" s="4"/>
      <c r="O5" s="4"/>
      <c r="P5" s="4"/>
      <c r="Q5" s="4"/>
      <c r="R5" s="4"/>
      <c r="S5" s="4"/>
      <c r="T5" s="4"/>
      <c r="U5" s="4"/>
      <c r="V5" s="4"/>
      <c r="W5" s="4"/>
      <c r="X5" s="4"/>
      <c r="Y5" s="4"/>
      <c r="Z5" s="4"/>
    </row>
    <row r="6" ht="14.25" customHeight="1">
      <c r="A6" s="4"/>
      <c r="B6" s="8" t="s">
        <v>37</v>
      </c>
      <c r="D6" s="38" t="s">
        <v>38</v>
      </c>
      <c r="E6" s="39" t="s">
        <v>17</v>
      </c>
      <c r="F6" s="4"/>
      <c r="G6" s="4"/>
      <c r="H6" s="4"/>
      <c r="I6" s="4"/>
      <c r="J6" s="4"/>
      <c r="K6" s="4"/>
      <c r="L6" s="4"/>
      <c r="M6" s="4"/>
      <c r="N6" s="4"/>
      <c r="O6" s="4"/>
      <c r="P6" s="4"/>
      <c r="Q6" s="4"/>
      <c r="R6" s="4"/>
      <c r="S6" s="4"/>
      <c r="T6" s="4"/>
      <c r="U6" s="4"/>
      <c r="V6" s="4"/>
      <c r="W6" s="4"/>
      <c r="X6" s="4"/>
      <c r="Y6" s="4"/>
      <c r="Z6" s="4"/>
    </row>
    <row r="7" ht="14.25" customHeight="1">
      <c r="A7" s="4"/>
      <c r="B7" s="8" t="s">
        <v>39</v>
      </c>
      <c r="D7" s="38" t="s">
        <v>40</v>
      </c>
      <c r="E7" s="39" t="s">
        <v>17</v>
      </c>
      <c r="F7" s="4"/>
      <c r="G7" s="4"/>
      <c r="H7" s="4"/>
      <c r="I7" s="4"/>
      <c r="J7" s="4"/>
      <c r="K7" s="4"/>
      <c r="L7" s="4"/>
      <c r="M7" s="4"/>
      <c r="N7" s="4"/>
      <c r="O7" s="4"/>
      <c r="P7" s="4"/>
      <c r="Q7" s="4"/>
      <c r="R7" s="4"/>
      <c r="S7" s="4"/>
      <c r="T7" s="4"/>
      <c r="U7" s="4"/>
      <c r="V7" s="4"/>
      <c r="W7" s="4"/>
      <c r="X7" s="4"/>
      <c r="Y7" s="4"/>
      <c r="Z7" s="4"/>
    </row>
    <row r="8" ht="14.25" customHeight="1">
      <c r="A8" s="4"/>
      <c r="B8" s="8" t="s">
        <v>41</v>
      </c>
      <c r="D8" s="38" t="s">
        <v>42</v>
      </c>
      <c r="E8" s="39" t="s">
        <v>17</v>
      </c>
      <c r="F8" s="4"/>
      <c r="G8" s="4"/>
      <c r="H8" s="4"/>
      <c r="I8" s="4"/>
      <c r="J8" s="4"/>
      <c r="K8" s="4"/>
      <c r="L8" s="4"/>
      <c r="M8" s="4"/>
      <c r="N8" s="4"/>
      <c r="O8" s="4"/>
      <c r="P8" s="4"/>
      <c r="Q8" s="4"/>
      <c r="R8" s="4"/>
      <c r="S8" s="4"/>
      <c r="T8" s="4"/>
      <c r="U8" s="4"/>
      <c r="V8" s="4"/>
      <c r="W8" s="4"/>
      <c r="X8" s="4"/>
      <c r="Y8" s="4"/>
      <c r="Z8" s="4"/>
    </row>
    <row r="9" ht="14.25" customHeight="1">
      <c r="A9" s="4"/>
      <c r="B9" s="8" t="s">
        <v>43</v>
      </c>
      <c r="D9" s="38" t="s">
        <v>44</v>
      </c>
      <c r="E9" s="39" t="s">
        <v>19</v>
      </c>
      <c r="F9" s="4"/>
      <c r="G9" s="4"/>
      <c r="H9" s="4"/>
      <c r="I9" s="4"/>
      <c r="J9" s="4"/>
      <c r="K9" s="4"/>
      <c r="L9" s="4"/>
      <c r="M9" s="4"/>
      <c r="N9" s="4"/>
      <c r="O9" s="4"/>
      <c r="P9" s="4"/>
      <c r="Q9" s="4"/>
      <c r="R9" s="4"/>
      <c r="S9" s="4"/>
      <c r="T9" s="4"/>
      <c r="U9" s="4"/>
      <c r="V9" s="4"/>
      <c r="W9" s="4"/>
      <c r="X9" s="4"/>
      <c r="Y9" s="4"/>
      <c r="Z9" s="4"/>
    </row>
    <row r="10" ht="14.25" customHeight="1">
      <c r="A10" s="4"/>
      <c r="B10" s="8" t="s">
        <v>45</v>
      </c>
      <c r="D10" s="38" t="s">
        <v>46</v>
      </c>
      <c r="E10" s="39" t="s">
        <v>19</v>
      </c>
      <c r="F10" s="4"/>
      <c r="G10" s="4"/>
      <c r="H10" s="4"/>
      <c r="I10" s="4"/>
      <c r="J10" s="4"/>
      <c r="K10" s="4"/>
      <c r="L10" s="4"/>
      <c r="M10" s="4"/>
      <c r="N10" s="4"/>
      <c r="O10" s="4"/>
      <c r="P10" s="4"/>
      <c r="Q10" s="4"/>
      <c r="R10" s="4"/>
      <c r="S10" s="4"/>
      <c r="T10" s="4"/>
      <c r="U10" s="4"/>
      <c r="V10" s="4"/>
      <c r="W10" s="4"/>
      <c r="X10" s="4"/>
      <c r="Y10" s="4"/>
      <c r="Z10" s="4"/>
    </row>
    <row r="11" ht="14.25" customHeight="1">
      <c r="A11" s="4"/>
      <c r="B11" s="8" t="s">
        <v>47</v>
      </c>
      <c r="D11" s="38" t="s">
        <v>48</v>
      </c>
      <c r="E11" s="39" t="s">
        <v>49</v>
      </c>
      <c r="F11" s="4"/>
      <c r="G11" s="4"/>
      <c r="H11" s="4"/>
      <c r="I11" s="4"/>
      <c r="J11" s="4"/>
      <c r="K11" s="4"/>
      <c r="L11" s="4"/>
      <c r="M11" s="4"/>
      <c r="N11" s="4"/>
      <c r="O11" s="4"/>
      <c r="P11" s="4"/>
      <c r="Q11" s="4"/>
      <c r="R11" s="4"/>
      <c r="S11" s="4"/>
      <c r="T11" s="4"/>
      <c r="U11" s="4"/>
      <c r="V11" s="4"/>
      <c r="W11" s="4"/>
      <c r="X11" s="4"/>
      <c r="Y11" s="4"/>
      <c r="Z11" s="4"/>
    </row>
    <row r="12" ht="14.25" customHeight="1">
      <c r="A12" s="4"/>
      <c r="B12" s="8" t="s">
        <v>50</v>
      </c>
      <c r="D12" s="36" t="s">
        <v>51</v>
      </c>
      <c r="E12" s="11"/>
      <c r="F12" s="37"/>
      <c r="G12" s="4"/>
      <c r="H12" s="4"/>
      <c r="I12" s="4"/>
      <c r="J12" s="4"/>
      <c r="K12" s="4"/>
      <c r="L12" s="4"/>
      <c r="M12" s="4"/>
      <c r="N12" s="4"/>
      <c r="O12" s="4"/>
      <c r="P12" s="4"/>
      <c r="Q12" s="4"/>
      <c r="R12" s="4"/>
      <c r="S12" s="4"/>
      <c r="T12" s="4"/>
      <c r="U12" s="4"/>
      <c r="V12" s="4"/>
      <c r="W12" s="4"/>
      <c r="X12" s="4"/>
      <c r="Y12" s="4"/>
      <c r="Z12" s="4"/>
    </row>
    <row r="13" ht="14.25" customHeight="1">
      <c r="A13" s="4"/>
      <c r="B13" s="8" t="s">
        <v>52</v>
      </c>
      <c r="C13" s="23"/>
      <c r="D13" s="40" t="s">
        <v>53</v>
      </c>
      <c r="E13" s="11"/>
      <c r="F13" s="37"/>
      <c r="G13" s="4"/>
      <c r="H13" s="4"/>
      <c r="I13" s="4"/>
      <c r="J13" s="4"/>
      <c r="K13" s="4"/>
      <c r="L13" s="4"/>
      <c r="M13" s="4"/>
      <c r="N13" s="4"/>
      <c r="O13" s="4"/>
      <c r="P13" s="4"/>
      <c r="Q13" s="4"/>
      <c r="R13" s="4"/>
      <c r="S13" s="4"/>
      <c r="T13" s="4"/>
      <c r="U13" s="4"/>
      <c r="V13" s="4"/>
      <c r="W13" s="4"/>
      <c r="X13" s="4"/>
      <c r="Y13" s="4"/>
      <c r="Z13" s="4"/>
    </row>
    <row r="14" ht="14.25" customHeight="1">
      <c r="A14" s="4"/>
      <c r="B14" s="8" t="s">
        <v>54</v>
      </c>
      <c r="C14" s="23"/>
      <c r="D14" s="40" t="s">
        <v>55</v>
      </c>
      <c r="E14" s="11"/>
      <c r="F14" s="37"/>
      <c r="G14" s="4"/>
      <c r="H14" s="4"/>
      <c r="I14" s="4"/>
      <c r="J14" s="4"/>
      <c r="K14" s="4"/>
      <c r="L14" s="4"/>
      <c r="M14" s="4"/>
      <c r="N14" s="4"/>
      <c r="O14" s="4"/>
      <c r="P14" s="4"/>
      <c r="Q14" s="4"/>
      <c r="R14" s="4"/>
      <c r="S14" s="4"/>
      <c r="T14" s="4"/>
      <c r="U14" s="4"/>
      <c r="V14" s="4"/>
      <c r="W14" s="4"/>
      <c r="X14" s="4"/>
      <c r="Y14" s="4"/>
      <c r="Z14" s="4"/>
    </row>
    <row r="15" ht="14.25" customHeight="1">
      <c r="A15" s="4"/>
      <c r="B15" s="8" t="s">
        <v>20</v>
      </c>
      <c r="C15" s="23"/>
      <c r="D15" s="41"/>
      <c r="E15" s="10"/>
      <c r="F15" s="10"/>
      <c r="G15" s="10"/>
      <c r="H15" s="11"/>
      <c r="I15" s="4"/>
      <c r="J15" s="4"/>
      <c r="K15" s="4"/>
      <c r="L15" s="4"/>
      <c r="M15" s="4"/>
      <c r="N15" s="4"/>
      <c r="O15" s="4"/>
      <c r="P15" s="4"/>
      <c r="Q15" s="4"/>
      <c r="R15" s="4"/>
      <c r="S15" s="4"/>
      <c r="T15" s="4"/>
      <c r="U15" s="4"/>
      <c r="V15" s="4"/>
      <c r="W15" s="4"/>
      <c r="X15" s="4"/>
      <c r="Y15" s="4"/>
      <c r="Z15" s="4"/>
    </row>
    <row r="16" ht="14.25" customHeight="1">
      <c r="A16" s="4"/>
      <c r="B16" s="4"/>
      <c r="C16" s="4"/>
      <c r="D16" s="42"/>
      <c r="E16" s="4"/>
      <c r="F16" s="4"/>
      <c r="G16" s="4"/>
      <c r="H16" s="4"/>
      <c r="I16" s="4"/>
      <c r="J16" s="4"/>
      <c r="K16" s="4"/>
      <c r="L16" s="4"/>
      <c r="M16" s="4"/>
      <c r="N16" s="4"/>
      <c r="O16" s="4"/>
      <c r="P16" s="4"/>
      <c r="Q16" s="4"/>
      <c r="R16" s="4"/>
      <c r="S16" s="4"/>
      <c r="T16" s="4"/>
      <c r="U16" s="4"/>
      <c r="V16" s="4"/>
      <c r="W16" s="4"/>
      <c r="X16" s="4"/>
      <c r="Y16" s="4"/>
      <c r="Z16" s="4"/>
    </row>
    <row r="17" ht="14.25" customHeight="1">
      <c r="A17" s="4"/>
      <c r="B17" s="1" t="s">
        <v>56</v>
      </c>
      <c r="C17" s="2"/>
      <c r="D17" s="2"/>
      <c r="E17" s="2"/>
      <c r="F17" s="2"/>
      <c r="G17" s="2"/>
      <c r="H17" s="2"/>
      <c r="I17" s="3"/>
      <c r="J17" s="43"/>
      <c r="K17" s="7" t="str">
        <f>IF(COUNTIF(K19:K37, "="&amp;IncompleteText), IncompleteText, IF(COUNTIF(K19:K37, "="&amp;ErrorText), ErrorText, OKText))</f>
        <v>WARNING</v>
      </c>
      <c r="L17" s="4"/>
      <c r="M17" s="4"/>
      <c r="N17" s="4"/>
      <c r="O17" s="4"/>
      <c r="P17" s="4"/>
      <c r="Q17" s="4"/>
      <c r="R17" s="4"/>
      <c r="S17" s="4"/>
      <c r="T17" s="4"/>
      <c r="U17" s="4"/>
      <c r="V17" s="4"/>
      <c r="W17" s="4"/>
      <c r="X17" s="4"/>
      <c r="Y17" s="4"/>
      <c r="Z17" s="4"/>
    </row>
    <row r="18" ht="29.25" customHeight="1">
      <c r="A18" s="4"/>
      <c r="B18" s="44" t="s">
        <v>57</v>
      </c>
      <c r="C18" s="45" t="s">
        <v>58</v>
      </c>
      <c r="D18" s="45" t="s">
        <v>59</v>
      </c>
      <c r="E18" s="45" t="s">
        <v>60</v>
      </c>
      <c r="F18" s="45" t="s">
        <v>61</v>
      </c>
      <c r="G18" s="45" t="s">
        <v>62</v>
      </c>
      <c r="H18" s="46" t="s">
        <v>52</v>
      </c>
      <c r="I18" s="25"/>
      <c r="J18" s="45" t="s">
        <v>63</v>
      </c>
      <c r="K18" s="47"/>
      <c r="L18" s="47" t="s">
        <v>20</v>
      </c>
      <c r="Q18" s="48" t="s">
        <v>64</v>
      </c>
      <c r="R18" s="49"/>
      <c r="S18" s="4"/>
      <c r="T18" s="4"/>
      <c r="U18" s="4"/>
      <c r="V18" s="4"/>
      <c r="W18" s="4"/>
      <c r="X18" s="4"/>
      <c r="Y18" s="4"/>
      <c r="Z18" s="4"/>
    </row>
    <row r="19" ht="14.25" customHeight="1">
      <c r="A19" s="4" t="str">
        <f t="shared" ref="A19:A104" si="1">CONCATENATE(INDIRECT(CONCATENATE("B",ROW(A19))), " ", INDIRECT(CONCATENATE("C",ROW(A19))))</f>
        <v>Champlain Cable EXRAD EXRAD® ERGOFLEX ISO 19642-9 EXRAD–EF/EF-TW-50</v>
      </c>
      <c r="B19" s="50" t="s">
        <v>65</v>
      </c>
      <c r="C19" s="51" t="s">
        <v>66</v>
      </c>
      <c r="D19" s="50">
        <v>50.0</v>
      </c>
      <c r="E19" s="52">
        <v>1000.0</v>
      </c>
      <c r="F19" s="50">
        <v>160.0</v>
      </c>
      <c r="G19" s="50">
        <v>150.0</v>
      </c>
      <c r="H19" s="53" t="s">
        <v>67</v>
      </c>
      <c r="I19" s="11"/>
      <c r="J19" s="54" t="s">
        <v>68</v>
      </c>
      <c r="K19" s="7" t="str">
        <f>IF(COUNTBLANK(B19:J19)=9,IncompleteText,IF(AND(COUNTBLANK(B19:J19)=1, G19&gt;=90),OKText,ErrorText))</f>
        <v>OK</v>
      </c>
      <c r="L19" s="9" t="s">
        <v>69</v>
      </c>
      <c r="M19" s="10"/>
      <c r="N19" s="10"/>
      <c r="O19" s="10"/>
      <c r="P19" s="11"/>
      <c r="Q19" s="55" t="s">
        <v>70</v>
      </c>
      <c r="R19" s="21"/>
      <c r="S19" s="4"/>
      <c r="T19" s="4"/>
      <c r="U19" s="4"/>
      <c r="V19" s="4"/>
      <c r="W19" s="4"/>
      <c r="X19" s="4"/>
      <c r="Y19" s="4"/>
      <c r="Z19" s="4"/>
    </row>
    <row r="20" ht="14.25" customHeight="1">
      <c r="A20" s="4" t="str">
        <f t="shared" si="1"/>
        <v>Team Built Busbar Collector</v>
      </c>
      <c r="B20" s="50" t="s">
        <v>71</v>
      </c>
      <c r="C20" s="51" t="s">
        <v>72</v>
      </c>
      <c r="D20" s="50">
        <v>79.6</v>
      </c>
      <c r="E20" s="56" t="s">
        <v>73</v>
      </c>
      <c r="F20" s="50">
        <v>154.0</v>
      </c>
      <c r="G20" s="50">
        <v>90.0</v>
      </c>
      <c r="H20" s="9" t="s">
        <v>73</v>
      </c>
      <c r="I20" s="11"/>
      <c r="J20" s="54" t="s">
        <v>74</v>
      </c>
      <c r="K20" s="7" t="str">
        <f t="shared" ref="K20:K37" si="2">IF(COUNTBLANK(B20:J20)=9,"",IF(AND(COUNTBLANK(B20:J20)=1, G20&gt;=90),OKText,ErrorText))</f>
        <v>OK</v>
      </c>
      <c r="L20" s="41"/>
      <c r="M20" s="10"/>
      <c r="N20" s="10"/>
      <c r="O20" s="10"/>
      <c r="P20" s="11"/>
      <c r="Q20" s="22"/>
      <c r="R20" s="23"/>
      <c r="S20" s="4"/>
      <c r="T20" s="4"/>
      <c r="U20" s="4"/>
      <c r="V20" s="4"/>
      <c r="W20" s="4"/>
      <c r="X20" s="4"/>
      <c r="Y20" s="4"/>
      <c r="Z20" s="4"/>
    </row>
    <row r="21" ht="14.25" customHeight="1">
      <c r="A21" s="4" t="str">
        <f t="shared" si="1"/>
        <v>Team Built  Busbar</v>
      </c>
      <c r="B21" s="50" t="s">
        <v>75</v>
      </c>
      <c r="C21" s="51" t="s">
        <v>76</v>
      </c>
      <c r="D21" s="57"/>
      <c r="E21" s="57"/>
      <c r="F21" s="57"/>
      <c r="G21" s="57"/>
      <c r="H21" s="41"/>
      <c r="I21" s="11"/>
      <c r="J21" s="58"/>
      <c r="K21" s="7" t="str">
        <f t="shared" si="2"/>
        <v>WARNING</v>
      </c>
      <c r="L21" s="41"/>
      <c r="M21" s="10"/>
      <c r="N21" s="10"/>
      <c r="O21" s="10"/>
      <c r="P21" s="11"/>
      <c r="Q21" s="22"/>
      <c r="R21" s="23"/>
      <c r="S21" s="4"/>
      <c r="T21" s="4"/>
      <c r="U21" s="4"/>
      <c r="V21" s="4"/>
      <c r="W21" s="4"/>
      <c r="X21" s="4"/>
      <c r="Y21" s="4"/>
      <c r="Z21" s="4"/>
    </row>
    <row r="22" ht="14.25" customHeight="1">
      <c r="A22" s="4" t="str">
        <f t="shared" si="1"/>
        <v> </v>
      </c>
      <c r="B22" s="57"/>
      <c r="C22" s="59"/>
      <c r="D22" s="57"/>
      <c r="E22" s="57"/>
      <c r="F22" s="57"/>
      <c r="G22" s="57"/>
      <c r="H22" s="41"/>
      <c r="I22" s="11"/>
      <c r="J22" s="58"/>
      <c r="K22" s="7" t="str">
        <f t="shared" si="2"/>
        <v/>
      </c>
      <c r="L22" s="41"/>
      <c r="M22" s="10"/>
      <c r="N22" s="10"/>
      <c r="O22" s="10"/>
      <c r="P22" s="11"/>
      <c r="Q22" s="22"/>
      <c r="R22" s="23"/>
      <c r="S22" s="4"/>
      <c r="T22" s="4"/>
      <c r="U22" s="4"/>
      <c r="V22" s="4"/>
      <c r="W22" s="4"/>
      <c r="X22" s="4"/>
      <c r="Y22" s="4"/>
      <c r="Z22" s="4"/>
    </row>
    <row r="23" ht="14.25" customHeight="1">
      <c r="A23" s="4" t="str">
        <f t="shared" si="1"/>
        <v> </v>
      </c>
      <c r="B23" s="57"/>
      <c r="C23" s="59"/>
      <c r="D23" s="57"/>
      <c r="E23" s="57"/>
      <c r="F23" s="57"/>
      <c r="G23" s="57"/>
      <c r="H23" s="41"/>
      <c r="I23" s="11"/>
      <c r="J23" s="58"/>
      <c r="K23" s="7" t="str">
        <f t="shared" si="2"/>
        <v/>
      </c>
      <c r="L23" s="41"/>
      <c r="M23" s="10"/>
      <c r="N23" s="10"/>
      <c r="O23" s="10"/>
      <c r="P23" s="11"/>
      <c r="Q23" s="22"/>
      <c r="R23" s="23"/>
      <c r="S23" s="4"/>
      <c r="T23" s="4"/>
      <c r="U23" s="4"/>
      <c r="V23" s="4"/>
      <c r="W23" s="4"/>
      <c r="X23" s="4"/>
      <c r="Y23" s="4"/>
      <c r="Z23" s="4"/>
    </row>
    <row r="24" ht="14.25" customHeight="1">
      <c r="A24" s="4" t="str">
        <f t="shared" si="1"/>
        <v> </v>
      </c>
      <c r="B24" s="57"/>
      <c r="C24" s="59"/>
      <c r="D24" s="57"/>
      <c r="E24" s="57"/>
      <c r="F24" s="57"/>
      <c r="G24" s="57"/>
      <c r="H24" s="41"/>
      <c r="I24" s="11"/>
      <c r="J24" s="58"/>
      <c r="K24" s="7" t="str">
        <f t="shared" si="2"/>
        <v/>
      </c>
      <c r="L24" s="41"/>
      <c r="M24" s="10"/>
      <c r="N24" s="10"/>
      <c r="O24" s="10"/>
      <c r="P24" s="11"/>
      <c r="Q24" s="22"/>
      <c r="R24" s="23"/>
      <c r="S24" s="4"/>
      <c r="T24" s="4"/>
      <c r="U24" s="4"/>
      <c r="V24" s="4"/>
      <c r="W24" s="4"/>
      <c r="X24" s="4"/>
      <c r="Y24" s="4"/>
      <c r="Z24" s="4"/>
    </row>
    <row r="25" ht="14.25" customHeight="1">
      <c r="A25" s="4" t="str">
        <f t="shared" si="1"/>
        <v> </v>
      </c>
      <c r="B25" s="57"/>
      <c r="C25" s="59"/>
      <c r="D25" s="57"/>
      <c r="E25" s="57"/>
      <c r="F25" s="57"/>
      <c r="G25" s="57"/>
      <c r="H25" s="41"/>
      <c r="I25" s="11"/>
      <c r="J25" s="58"/>
      <c r="K25" s="7" t="str">
        <f t="shared" si="2"/>
        <v/>
      </c>
      <c r="L25" s="41"/>
      <c r="M25" s="10"/>
      <c r="N25" s="10"/>
      <c r="O25" s="10"/>
      <c r="P25" s="11"/>
      <c r="Q25" s="22"/>
      <c r="R25" s="23"/>
      <c r="S25" s="4"/>
      <c r="T25" s="4"/>
      <c r="U25" s="4"/>
      <c r="V25" s="4"/>
      <c r="W25" s="4"/>
      <c r="X25" s="4"/>
      <c r="Y25" s="4"/>
      <c r="Z25" s="4"/>
    </row>
    <row r="26" ht="14.25" customHeight="1">
      <c r="A26" s="4" t="str">
        <f t="shared" si="1"/>
        <v> </v>
      </c>
      <c r="B26" s="57"/>
      <c r="C26" s="59"/>
      <c r="D26" s="57"/>
      <c r="E26" s="57"/>
      <c r="F26" s="57"/>
      <c r="G26" s="57"/>
      <c r="H26" s="41"/>
      <c r="I26" s="11"/>
      <c r="J26" s="58"/>
      <c r="K26" s="7" t="str">
        <f t="shared" si="2"/>
        <v/>
      </c>
      <c r="L26" s="41"/>
      <c r="M26" s="10"/>
      <c r="N26" s="10"/>
      <c r="O26" s="10"/>
      <c r="P26" s="11"/>
      <c r="Q26" s="22"/>
      <c r="R26" s="23"/>
      <c r="S26" s="4"/>
      <c r="T26" s="4"/>
      <c r="U26" s="4"/>
      <c r="V26" s="4"/>
      <c r="W26" s="4"/>
      <c r="X26" s="4"/>
      <c r="Y26" s="4"/>
      <c r="Z26" s="4"/>
    </row>
    <row r="27" ht="14.25" customHeight="1">
      <c r="A27" s="4" t="str">
        <f t="shared" si="1"/>
        <v> </v>
      </c>
      <c r="B27" s="57"/>
      <c r="C27" s="59"/>
      <c r="D27" s="57"/>
      <c r="E27" s="57"/>
      <c r="F27" s="57"/>
      <c r="G27" s="57"/>
      <c r="H27" s="41"/>
      <c r="I27" s="11"/>
      <c r="J27" s="58"/>
      <c r="K27" s="7" t="str">
        <f t="shared" si="2"/>
        <v/>
      </c>
      <c r="L27" s="41"/>
      <c r="M27" s="10"/>
      <c r="N27" s="10"/>
      <c r="O27" s="10"/>
      <c r="P27" s="11"/>
      <c r="Q27" s="22"/>
      <c r="R27" s="23"/>
      <c r="S27" s="4"/>
      <c r="T27" s="4"/>
      <c r="U27" s="4"/>
      <c r="V27" s="4"/>
      <c r="W27" s="4"/>
      <c r="X27" s="4"/>
      <c r="Y27" s="4"/>
      <c r="Z27" s="4"/>
    </row>
    <row r="28" ht="14.25" customHeight="1">
      <c r="A28" s="4" t="str">
        <f t="shared" si="1"/>
        <v> </v>
      </c>
      <c r="B28" s="57"/>
      <c r="C28" s="59"/>
      <c r="D28" s="57"/>
      <c r="E28" s="57"/>
      <c r="F28" s="57"/>
      <c r="G28" s="57"/>
      <c r="H28" s="41"/>
      <c r="I28" s="11"/>
      <c r="J28" s="58"/>
      <c r="K28" s="7" t="str">
        <f t="shared" si="2"/>
        <v/>
      </c>
      <c r="L28" s="41"/>
      <c r="M28" s="10"/>
      <c r="N28" s="10"/>
      <c r="O28" s="10"/>
      <c r="P28" s="11"/>
      <c r="Q28" s="22"/>
      <c r="R28" s="23"/>
      <c r="S28" s="4"/>
      <c r="T28" s="4"/>
      <c r="U28" s="4"/>
      <c r="V28" s="4"/>
      <c r="W28" s="4"/>
      <c r="X28" s="4"/>
      <c r="Y28" s="4"/>
      <c r="Z28" s="4"/>
    </row>
    <row r="29" ht="14.25" customHeight="1">
      <c r="A29" s="4" t="str">
        <f t="shared" si="1"/>
        <v> </v>
      </c>
      <c r="B29" s="57"/>
      <c r="C29" s="59"/>
      <c r="D29" s="57"/>
      <c r="E29" s="57"/>
      <c r="F29" s="57"/>
      <c r="G29" s="57"/>
      <c r="H29" s="41"/>
      <c r="I29" s="11"/>
      <c r="J29" s="58"/>
      <c r="K29" s="7" t="str">
        <f t="shared" si="2"/>
        <v/>
      </c>
      <c r="L29" s="41"/>
      <c r="M29" s="10"/>
      <c r="N29" s="10"/>
      <c r="O29" s="10"/>
      <c r="P29" s="11"/>
      <c r="Q29" s="22"/>
      <c r="R29" s="23"/>
      <c r="S29" s="4"/>
      <c r="T29" s="4"/>
      <c r="U29" s="4"/>
      <c r="V29" s="4"/>
      <c r="W29" s="4"/>
      <c r="X29" s="4"/>
      <c r="Y29" s="4"/>
      <c r="Z29" s="4"/>
    </row>
    <row r="30" ht="14.25" customHeight="1">
      <c r="A30" s="4" t="str">
        <f t="shared" si="1"/>
        <v> </v>
      </c>
      <c r="B30" s="57"/>
      <c r="C30" s="59"/>
      <c r="D30" s="57"/>
      <c r="E30" s="57"/>
      <c r="F30" s="57"/>
      <c r="G30" s="57"/>
      <c r="H30" s="41"/>
      <c r="I30" s="11"/>
      <c r="J30" s="58"/>
      <c r="K30" s="7" t="str">
        <f t="shared" si="2"/>
        <v/>
      </c>
      <c r="L30" s="41"/>
      <c r="M30" s="10"/>
      <c r="N30" s="10"/>
      <c r="O30" s="10"/>
      <c r="P30" s="11"/>
      <c r="Q30" s="22"/>
      <c r="R30" s="23"/>
      <c r="S30" s="4"/>
      <c r="T30" s="4"/>
      <c r="U30" s="4"/>
      <c r="V30" s="4"/>
      <c r="W30" s="4"/>
      <c r="X30" s="4"/>
      <c r="Y30" s="4"/>
      <c r="Z30" s="4"/>
    </row>
    <row r="31" ht="14.25" customHeight="1">
      <c r="A31" s="4" t="str">
        <f t="shared" si="1"/>
        <v> </v>
      </c>
      <c r="B31" s="57"/>
      <c r="C31" s="59"/>
      <c r="D31" s="57"/>
      <c r="E31" s="57"/>
      <c r="F31" s="57"/>
      <c r="G31" s="57"/>
      <c r="H31" s="41"/>
      <c r="I31" s="11"/>
      <c r="J31" s="58"/>
      <c r="K31" s="7" t="str">
        <f t="shared" si="2"/>
        <v/>
      </c>
      <c r="L31" s="41"/>
      <c r="M31" s="10"/>
      <c r="N31" s="10"/>
      <c r="O31" s="10"/>
      <c r="P31" s="11"/>
      <c r="Q31" s="22"/>
      <c r="R31" s="23"/>
      <c r="S31" s="4"/>
      <c r="T31" s="4"/>
      <c r="U31" s="4"/>
      <c r="V31" s="4"/>
      <c r="W31" s="4"/>
      <c r="X31" s="4"/>
      <c r="Y31" s="4"/>
      <c r="Z31" s="4"/>
    </row>
    <row r="32" ht="14.25" customHeight="1">
      <c r="A32" s="4" t="str">
        <f t="shared" si="1"/>
        <v> </v>
      </c>
      <c r="B32" s="57"/>
      <c r="C32" s="59"/>
      <c r="D32" s="57"/>
      <c r="E32" s="57"/>
      <c r="F32" s="57"/>
      <c r="G32" s="57"/>
      <c r="H32" s="41"/>
      <c r="I32" s="11"/>
      <c r="J32" s="58"/>
      <c r="K32" s="7" t="str">
        <f t="shared" si="2"/>
        <v/>
      </c>
      <c r="L32" s="41"/>
      <c r="M32" s="10"/>
      <c r="N32" s="10"/>
      <c r="O32" s="10"/>
      <c r="P32" s="11"/>
      <c r="Q32" s="22"/>
      <c r="R32" s="23"/>
      <c r="S32" s="4"/>
      <c r="T32" s="4"/>
      <c r="U32" s="4"/>
      <c r="V32" s="4"/>
      <c r="W32" s="4"/>
      <c r="X32" s="4"/>
      <c r="Y32" s="4"/>
      <c r="Z32" s="4"/>
    </row>
    <row r="33" ht="14.25" customHeight="1">
      <c r="A33" s="4" t="str">
        <f t="shared" si="1"/>
        <v> </v>
      </c>
      <c r="B33" s="57"/>
      <c r="C33" s="59"/>
      <c r="D33" s="57"/>
      <c r="E33" s="57"/>
      <c r="F33" s="57"/>
      <c r="G33" s="57"/>
      <c r="H33" s="41"/>
      <c r="I33" s="11"/>
      <c r="J33" s="58"/>
      <c r="K33" s="7" t="str">
        <f t="shared" si="2"/>
        <v/>
      </c>
      <c r="L33" s="41"/>
      <c r="M33" s="10"/>
      <c r="N33" s="10"/>
      <c r="O33" s="10"/>
      <c r="P33" s="11"/>
      <c r="Q33" s="22"/>
      <c r="R33" s="23"/>
      <c r="S33" s="4"/>
      <c r="T33" s="4"/>
      <c r="U33" s="4"/>
      <c r="V33" s="4"/>
      <c r="W33" s="4"/>
      <c r="X33" s="4"/>
      <c r="Y33" s="4"/>
      <c r="Z33" s="4"/>
    </row>
    <row r="34" ht="14.25" customHeight="1">
      <c r="A34" s="4" t="str">
        <f t="shared" si="1"/>
        <v> </v>
      </c>
      <c r="B34" s="57"/>
      <c r="C34" s="59"/>
      <c r="D34" s="57"/>
      <c r="E34" s="57"/>
      <c r="F34" s="57"/>
      <c r="G34" s="57"/>
      <c r="H34" s="41"/>
      <c r="I34" s="11"/>
      <c r="J34" s="58"/>
      <c r="K34" s="7" t="str">
        <f t="shared" si="2"/>
        <v/>
      </c>
      <c r="L34" s="41"/>
      <c r="M34" s="10"/>
      <c r="N34" s="10"/>
      <c r="O34" s="10"/>
      <c r="P34" s="11"/>
      <c r="Q34" s="22"/>
      <c r="R34" s="23"/>
      <c r="S34" s="4"/>
      <c r="T34" s="4"/>
      <c r="U34" s="4"/>
      <c r="V34" s="4"/>
      <c r="W34" s="4"/>
      <c r="X34" s="4"/>
      <c r="Y34" s="4"/>
      <c r="Z34" s="4"/>
    </row>
    <row r="35" ht="14.25" customHeight="1">
      <c r="A35" s="4" t="str">
        <f t="shared" si="1"/>
        <v> </v>
      </c>
      <c r="B35" s="57"/>
      <c r="C35" s="59"/>
      <c r="D35" s="57"/>
      <c r="E35" s="57"/>
      <c r="F35" s="57"/>
      <c r="G35" s="57"/>
      <c r="H35" s="41"/>
      <c r="I35" s="11"/>
      <c r="J35" s="58"/>
      <c r="K35" s="7" t="str">
        <f t="shared" si="2"/>
        <v/>
      </c>
      <c r="L35" s="41"/>
      <c r="M35" s="10"/>
      <c r="N35" s="10"/>
      <c r="O35" s="10"/>
      <c r="P35" s="11"/>
      <c r="Q35" s="22"/>
      <c r="R35" s="23"/>
      <c r="S35" s="4"/>
      <c r="T35" s="4"/>
      <c r="U35" s="4"/>
      <c r="V35" s="4"/>
      <c r="W35" s="4"/>
      <c r="X35" s="4"/>
      <c r="Y35" s="4"/>
      <c r="Z35" s="4"/>
    </row>
    <row r="36" ht="14.25" customHeight="1">
      <c r="A36" s="4" t="str">
        <f t="shared" si="1"/>
        <v> </v>
      </c>
      <c r="B36" s="57"/>
      <c r="C36" s="59"/>
      <c r="D36" s="57"/>
      <c r="E36" s="57"/>
      <c r="F36" s="57"/>
      <c r="G36" s="57"/>
      <c r="H36" s="41"/>
      <c r="I36" s="11"/>
      <c r="J36" s="58"/>
      <c r="K36" s="7" t="str">
        <f t="shared" si="2"/>
        <v/>
      </c>
      <c r="L36" s="41"/>
      <c r="M36" s="10"/>
      <c r="N36" s="10"/>
      <c r="O36" s="10"/>
      <c r="P36" s="11"/>
      <c r="Q36" s="22"/>
      <c r="R36" s="23"/>
      <c r="S36" s="4"/>
      <c r="T36" s="4"/>
      <c r="U36" s="4"/>
      <c r="V36" s="4"/>
      <c r="W36" s="4"/>
      <c r="X36" s="4"/>
      <c r="Y36" s="4"/>
      <c r="Z36" s="4"/>
    </row>
    <row r="37" ht="14.25" customHeight="1">
      <c r="A37" s="4" t="str">
        <f t="shared" si="1"/>
        <v> </v>
      </c>
      <c r="B37" s="57"/>
      <c r="C37" s="59"/>
      <c r="D37" s="57"/>
      <c r="E37" s="57"/>
      <c r="F37" s="57"/>
      <c r="G37" s="57"/>
      <c r="H37" s="41"/>
      <c r="I37" s="11"/>
      <c r="J37" s="58"/>
      <c r="K37" s="7" t="str">
        <f t="shared" si="2"/>
        <v/>
      </c>
      <c r="L37" s="41"/>
      <c r="M37" s="10"/>
      <c r="N37" s="10"/>
      <c r="O37" s="10"/>
      <c r="P37" s="11"/>
      <c r="Q37" s="24"/>
      <c r="R37" s="26"/>
      <c r="S37" s="4"/>
      <c r="T37" s="4"/>
      <c r="U37" s="4"/>
      <c r="V37" s="4"/>
      <c r="W37" s="4"/>
      <c r="X37" s="4"/>
      <c r="Y37" s="4"/>
      <c r="Z37" s="4"/>
    </row>
    <row r="38" ht="14.25" customHeight="1">
      <c r="A38" s="4" t="str">
        <f t="shared" si="1"/>
        <v> </v>
      </c>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t="str">
        <f t="shared" si="1"/>
        <v>Fuses </v>
      </c>
      <c r="B39" s="1" t="s">
        <v>77</v>
      </c>
      <c r="C39" s="2"/>
      <c r="D39" s="2"/>
      <c r="E39" s="2"/>
      <c r="F39" s="2"/>
      <c r="G39" s="2"/>
      <c r="H39" s="2"/>
      <c r="I39" s="3"/>
      <c r="J39" s="43"/>
      <c r="K39" s="7" t="str">
        <f>IF(COUNTIF(K41:K52, "="&amp;IncompleteText), IncompleteText, IF(COUNTIF(K41:K52, "="&amp;ErrorText), ErrorText, OKText))</f>
        <v>OK</v>
      </c>
      <c r="L39" s="4"/>
      <c r="M39" s="4"/>
      <c r="N39" s="4"/>
      <c r="O39" s="4"/>
      <c r="P39" s="4"/>
      <c r="Q39" s="4"/>
      <c r="R39" s="4"/>
      <c r="S39" s="4"/>
      <c r="T39" s="4"/>
      <c r="U39" s="4"/>
      <c r="V39" s="4"/>
      <c r="W39" s="4"/>
      <c r="X39" s="4"/>
      <c r="Y39" s="4"/>
      <c r="Z39" s="4"/>
    </row>
    <row r="40" ht="14.25" customHeight="1">
      <c r="A40" s="4" t="str">
        <f t="shared" si="1"/>
        <v>Manufacturer Part Number</v>
      </c>
      <c r="B40" s="44" t="s">
        <v>57</v>
      </c>
      <c r="C40" s="45" t="s">
        <v>58</v>
      </c>
      <c r="D40" s="45" t="s">
        <v>78</v>
      </c>
      <c r="E40" s="47" t="s">
        <v>79</v>
      </c>
      <c r="F40" s="45" t="s">
        <v>80</v>
      </c>
      <c r="G40" s="45" t="s">
        <v>81</v>
      </c>
      <c r="H40" s="46" t="s">
        <v>52</v>
      </c>
      <c r="I40" s="25"/>
      <c r="J40" s="45" t="s">
        <v>63</v>
      </c>
      <c r="K40" s="47"/>
      <c r="L40" s="47" t="s">
        <v>20</v>
      </c>
      <c r="Q40" s="48" t="s">
        <v>64</v>
      </c>
      <c r="R40" s="49"/>
      <c r="S40" s="4"/>
      <c r="T40" s="4"/>
      <c r="U40" s="4"/>
      <c r="V40" s="4"/>
      <c r="W40" s="4"/>
      <c r="X40" s="4"/>
      <c r="Y40" s="4"/>
      <c r="Z40" s="4"/>
    </row>
    <row r="41" ht="14.25" customHeight="1">
      <c r="A41" s="4" t="str">
        <f t="shared" si="1"/>
        <v>Bojack F2AL250V</v>
      </c>
      <c r="B41" s="60" t="s">
        <v>82</v>
      </c>
      <c r="C41" s="61" t="s">
        <v>83</v>
      </c>
      <c r="D41" s="62">
        <v>250.0</v>
      </c>
      <c r="E41" s="63" t="s">
        <v>84</v>
      </c>
      <c r="F41" s="62">
        <v>2.0</v>
      </c>
      <c r="G41" s="64">
        <v>1000.0</v>
      </c>
      <c r="H41" s="65" t="s">
        <v>85</v>
      </c>
      <c r="I41" s="11"/>
      <c r="J41" s="66" t="s">
        <v>86</v>
      </c>
      <c r="K41" s="7" t="str">
        <f>IF(COUNTBLANK(B41:J41)=9,IncompleteText,IF(COUNTBLANK(B41:J41)=1,OKText,ErrorText))</f>
        <v>OK</v>
      </c>
      <c r="L41" s="41"/>
      <c r="M41" s="10"/>
      <c r="N41" s="10"/>
      <c r="O41" s="10"/>
      <c r="P41" s="11"/>
      <c r="Q41" s="55" t="s">
        <v>87</v>
      </c>
      <c r="R41" s="21"/>
      <c r="S41" s="4"/>
      <c r="T41" s="4"/>
      <c r="U41" s="4"/>
      <c r="V41" s="4"/>
      <c r="W41" s="4"/>
      <c r="X41" s="4"/>
      <c r="Y41" s="4"/>
      <c r="Z41" s="4"/>
    </row>
    <row r="42" ht="14.25" customHeight="1">
      <c r="A42" s="4" t="str">
        <f t="shared" si="1"/>
        <v>Littelfuse L50QS125.V</v>
      </c>
      <c r="B42" s="50" t="s">
        <v>88</v>
      </c>
      <c r="C42" s="51" t="s">
        <v>89</v>
      </c>
      <c r="D42" s="50">
        <v>500.0</v>
      </c>
      <c r="E42" s="50" t="s">
        <v>84</v>
      </c>
      <c r="F42" s="50">
        <v>125.0</v>
      </c>
      <c r="G42" s="67">
        <v>50000.0</v>
      </c>
      <c r="H42" s="53" t="s">
        <v>90</v>
      </c>
      <c r="I42" s="11"/>
      <c r="J42" s="54" t="s">
        <v>90</v>
      </c>
      <c r="K42" s="7" t="str">
        <f t="shared" ref="K42:K52" si="3">IF(COUNTBLANK(B42:J42)=9,"",IF(COUNTBLANK(B42:J42)=1,OKText,ErrorText))</f>
        <v>OK</v>
      </c>
      <c r="L42" s="41"/>
      <c r="M42" s="10"/>
      <c r="N42" s="10"/>
      <c r="O42" s="10"/>
      <c r="P42" s="11"/>
      <c r="Q42" s="22"/>
      <c r="R42" s="23"/>
      <c r="S42" s="4"/>
      <c r="T42" s="4"/>
      <c r="U42" s="4"/>
      <c r="V42" s="4"/>
      <c r="W42" s="4"/>
      <c r="X42" s="4"/>
      <c r="Y42" s="4"/>
      <c r="Z42" s="4"/>
    </row>
    <row r="43" ht="14.25" customHeight="1">
      <c r="A43" s="4" t="str">
        <f t="shared" si="1"/>
        <v>Bel Fuse 0ADKC5000-BE</v>
      </c>
      <c r="B43" s="50" t="s">
        <v>91</v>
      </c>
      <c r="C43" s="51" t="s">
        <v>92</v>
      </c>
      <c r="D43" s="50">
        <v>500.0</v>
      </c>
      <c r="E43" s="50" t="s">
        <v>84</v>
      </c>
      <c r="F43" s="50">
        <v>5.0</v>
      </c>
      <c r="G43" s="67">
        <v>20000.0</v>
      </c>
      <c r="H43" s="53" t="s">
        <v>93</v>
      </c>
      <c r="I43" s="11"/>
      <c r="J43" s="54" t="s">
        <v>93</v>
      </c>
      <c r="K43" s="7" t="str">
        <f t="shared" si="3"/>
        <v>OK</v>
      </c>
      <c r="L43" s="41"/>
      <c r="M43" s="10"/>
      <c r="N43" s="10"/>
      <c r="O43" s="10"/>
      <c r="P43" s="11"/>
      <c r="Q43" s="22"/>
      <c r="R43" s="23"/>
      <c r="S43" s="4"/>
      <c r="T43" s="4"/>
      <c r="U43" s="4"/>
      <c r="V43" s="4"/>
      <c r="W43" s="4"/>
      <c r="X43" s="4"/>
      <c r="Y43" s="4"/>
      <c r="Z43" s="4"/>
    </row>
    <row r="44" ht="14.25" customHeight="1">
      <c r="A44" s="4" t="str">
        <f t="shared" si="1"/>
        <v> </v>
      </c>
      <c r="B44" s="57"/>
      <c r="C44" s="59"/>
      <c r="D44" s="57"/>
      <c r="E44" s="57"/>
      <c r="F44" s="57"/>
      <c r="G44" s="57"/>
      <c r="H44" s="41"/>
      <c r="I44" s="11"/>
      <c r="J44" s="58"/>
      <c r="K44" s="7" t="str">
        <f t="shared" si="3"/>
        <v/>
      </c>
      <c r="L44" s="41"/>
      <c r="M44" s="10"/>
      <c r="N44" s="10"/>
      <c r="O44" s="10"/>
      <c r="P44" s="11"/>
      <c r="Q44" s="22"/>
      <c r="R44" s="23"/>
      <c r="S44" s="4"/>
      <c r="T44" s="4"/>
      <c r="U44" s="4"/>
      <c r="V44" s="4"/>
      <c r="W44" s="4"/>
      <c r="X44" s="4"/>
      <c r="Y44" s="4"/>
      <c r="Z44" s="4"/>
    </row>
    <row r="45" ht="14.25" customHeight="1">
      <c r="A45" s="4" t="str">
        <f t="shared" si="1"/>
        <v> </v>
      </c>
      <c r="B45" s="57"/>
      <c r="C45" s="59"/>
      <c r="D45" s="57"/>
      <c r="E45" s="57"/>
      <c r="F45" s="57"/>
      <c r="G45" s="57"/>
      <c r="H45" s="41"/>
      <c r="I45" s="11"/>
      <c r="J45" s="58"/>
      <c r="K45" s="7" t="str">
        <f t="shared" si="3"/>
        <v/>
      </c>
      <c r="L45" s="41"/>
      <c r="M45" s="10"/>
      <c r="N45" s="10"/>
      <c r="O45" s="10"/>
      <c r="P45" s="11"/>
      <c r="Q45" s="22"/>
      <c r="R45" s="23"/>
      <c r="S45" s="4"/>
      <c r="T45" s="4"/>
      <c r="U45" s="4"/>
      <c r="V45" s="4"/>
      <c r="W45" s="4"/>
      <c r="X45" s="4"/>
      <c r="Y45" s="4"/>
      <c r="Z45" s="4"/>
    </row>
    <row r="46" ht="14.25" customHeight="1">
      <c r="A46" s="4" t="str">
        <f t="shared" si="1"/>
        <v> </v>
      </c>
      <c r="B46" s="57"/>
      <c r="C46" s="59"/>
      <c r="D46" s="57"/>
      <c r="E46" s="57"/>
      <c r="F46" s="57"/>
      <c r="G46" s="57"/>
      <c r="H46" s="41"/>
      <c r="I46" s="11"/>
      <c r="J46" s="58"/>
      <c r="K46" s="7" t="str">
        <f t="shared" si="3"/>
        <v/>
      </c>
      <c r="L46" s="41"/>
      <c r="M46" s="10"/>
      <c r="N46" s="10"/>
      <c r="O46" s="10"/>
      <c r="P46" s="11"/>
      <c r="Q46" s="22"/>
      <c r="R46" s="23"/>
      <c r="S46" s="4"/>
      <c r="T46" s="4"/>
      <c r="U46" s="4"/>
      <c r="V46" s="4"/>
      <c r="W46" s="4"/>
      <c r="X46" s="4"/>
      <c r="Y46" s="4"/>
      <c r="Z46" s="4"/>
    </row>
    <row r="47" ht="14.25" customHeight="1">
      <c r="A47" s="4" t="str">
        <f t="shared" si="1"/>
        <v> </v>
      </c>
      <c r="B47" s="57"/>
      <c r="C47" s="59"/>
      <c r="D47" s="57"/>
      <c r="E47" s="57"/>
      <c r="F47" s="57"/>
      <c r="G47" s="57"/>
      <c r="H47" s="41"/>
      <c r="I47" s="11"/>
      <c r="J47" s="58"/>
      <c r="K47" s="7" t="str">
        <f t="shared" si="3"/>
        <v/>
      </c>
      <c r="L47" s="41"/>
      <c r="M47" s="10"/>
      <c r="N47" s="10"/>
      <c r="O47" s="10"/>
      <c r="P47" s="11"/>
      <c r="Q47" s="22"/>
      <c r="R47" s="23"/>
      <c r="S47" s="4"/>
      <c r="T47" s="4"/>
      <c r="U47" s="4"/>
      <c r="V47" s="4"/>
      <c r="W47" s="4"/>
      <c r="X47" s="4"/>
      <c r="Y47" s="4"/>
      <c r="Z47" s="4"/>
    </row>
    <row r="48" ht="14.25" customHeight="1">
      <c r="A48" s="4" t="str">
        <f t="shared" si="1"/>
        <v> </v>
      </c>
      <c r="B48" s="57"/>
      <c r="C48" s="59"/>
      <c r="D48" s="57"/>
      <c r="E48" s="57"/>
      <c r="F48" s="57"/>
      <c r="G48" s="57"/>
      <c r="H48" s="41"/>
      <c r="I48" s="11"/>
      <c r="J48" s="58"/>
      <c r="K48" s="7" t="str">
        <f t="shared" si="3"/>
        <v/>
      </c>
      <c r="L48" s="41"/>
      <c r="M48" s="10"/>
      <c r="N48" s="10"/>
      <c r="O48" s="10"/>
      <c r="P48" s="11"/>
      <c r="Q48" s="22"/>
      <c r="R48" s="23"/>
      <c r="S48" s="4"/>
      <c r="T48" s="4"/>
      <c r="U48" s="4"/>
      <c r="V48" s="4"/>
      <c r="W48" s="4"/>
      <c r="X48" s="4"/>
      <c r="Y48" s="4"/>
      <c r="Z48" s="4"/>
    </row>
    <row r="49" ht="14.25" customHeight="1">
      <c r="A49" s="4" t="str">
        <f t="shared" si="1"/>
        <v> </v>
      </c>
      <c r="B49" s="57"/>
      <c r="C49" s="59"/>
      <c r="D49" s="57"/>
      <c r="E49" s="57"/>
      <c r="F49" s="57"/>
      <c r="G49" s="57"/>
      <c r="H49" s="41"/>
      <c r="I49" s="11"/>
      <c r="J49" s="58"/>
      <c r="K49" s="7" t="str">
        <f t="shared" si="3"/>
        <v/>
      </c>
      <c r="L49" s="41"/>
      <c r="M49" s="10"/>
      <c r="N49" s="10"/>
      <c r="O49" s="10"/>
      <c r="P49" s="11"/>
      <c r="Q49" s="22"/>
      <c r="R49" s="23"/>
      <c r="S49" s="4"/>
      <c r="T49" s="4"/>
      <c r="U49" s="4"/>
      <c r="V49" s="4"/>
      <c r="W49" s="4"/>
      <c r="X49" s="4"/>
      <c r="Y49" s="4"/>
      <c r="Z49" s="4"/>
    </row>
    <row r="50" ht="14.25" customHeight="1">
      <c r="A50" s="4" t="str">
        <f t="shared" si="1"/>
        <v> </v>
      </c>
      <c r="B50" s="57"/>
      <c r="C50" s="59"/>
      <c r="D50" s="57"/>
      <c r="E50" s="57"/>
      <c r="F50" s="57"/>
      <c r="G50" s="57"/>
      <c r="H50" s="41"/>
      <c r="I50" s="11"/>
      <c r="J50" s="58"/>
      <c r="K50" s="7" t="str">
        <f t="shared" si="3"/>
        <v/>
      </c>
      <c r="L50" s="41"/>
      <c r="M50" s="10"/>
      <c r="N50" s="10"/>
      <c r="O50" s="10"/>
      <c r="P50" s="11"/>
      <c r="Q50" s="22"/>
      <c r="R50" s="23"/>
      <c r="S50" s="4"/>
      <c r="T50" s="4"/>
      <c r="U50" s="4"/>
      <c r="V50" s="4"/>
      <c r="W50" s="4"/>
      <c r="X50" s="4"/>
      <c r="Y50" s="4"/>
      <c r="Z50" s="4"/>
    </row>
    <row r="51" ht="14.25" customHeight="1">
      <c r="A51" s="4" t="str">
        <f t="shared" si="1"/>
        <v> </v>
      </c>
      <c r="B51" s="57"/>
      <c r="C51" s="59"/>
      <c r="D51" s="57"/>
      <c r="E51" s="57"/>
      <c r="F51" s="57"/>
      <c r="G51" s="57"/>
      <c r="H51" s="41"/>
      <c r="I51" s="11"/>
      <c r="J51" s="58"/>
      <c r="K51" s="7" t="str">
        <f t="shared" si="3"/>
        <v/>
      </c>
      <c r="L51" s="41"/>
      <c r="M51" s="10"/>
      <c r="N51" s="10"/>
      <c r="O51" s="10"/>
      <c r="P51" s="11"/>
      <c r="Q51" s="22"/>
      <c r="R51" s="23"/>
      <c r="S51" s="4"/>
      <c r="T51" s="4"/>
      <c r="U51" s="4"/>
      <c r="V51" s="4"/>
      <c r="W51" s="4"/>
      <c r="X51" s="4"/>
      <c r="Y51" s="4"/>
      <c r="Z51" s="4"/>
    </row>
    <row r="52" ht="14.25" customHeight="1">
      <c r="A52" s="4" t="str">
        <f t="shared" si="1"/>
        <v> </v>
      </c>
      <c r="B52" s="57"/>
      <c r="C52" s="59"/>
      <c r="D52" s="57"/>
      <c r="E52" s="57"/>
      <c r="F52" s="57"/>
      <c r="G52" s="57"/>
      <c r="H52" s="41"/>
      <c r="I52" s="11"/>
      <c r="J52" s="58"/>
      <c r="K52" s="7" t="str">
        <f t="shared" si="3"/>
        <v/>
      </c>
      <c r="L52" s="41"/>
      <c r="M52" s="10"/>
      <c r="N52" s="10"/>
      <c r="O52" s="10"/>
      <c r="P52" s="11"/>
      <c r="Q52" s="24"/>
      <c r="R52" s="26"/>
      <c r="S52" s="4"/>
      <c r="T52" s="4"/>
      <c r="U52" s="4"/>
      <c r="V52" s="4"/>
      <c r="W52" s="4"/>
      <c r="X52" s="4"/>
      <c r="Y52" s="4"/>
      <c r="Z52" s="4"/>
    </row>
    <row r="53" ht="14.25" customHeight="1">
      <c r="A53" s="4" t="str">
        <f t="shared" si="1"/>
        <v> </v>
      </c>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t="str">
        <f t="shared" si="1"/>
        <v>Resistors </v>
      </c>
      <c r="B54" s="1" t="s">
        <v>94</v>
      </c>
      <c r="C54" s="2"/>
      <c r="D54" s="2"/>
      <c r="E54" s="2"/>
      <c r="F54" s="2"/>
      <c r="G54" s="2"/>
      <c r="H54" s="2"/>
      <c r="I54" s="2"/>
      <c r="J54" s="2"/>
      <c r="K54" s="2"/>
      <c r="L54" s="3"/>
      <c r="M54" s="43"/>
      <c r="N54" s="7" t="str">
        <f>IF(COUNTIF(N56:N61, "="&amp;IncompleteText), IncompleteText, IF(COUNTIF(N56:N61, "="&amp;ErrorText), ErrorText, OKText))</f>
        <v>OK</v>
      </c>
      <c r="O54" s="4"/>
      <c r="P54" s="4"/>
      <c r="Q54" s="4"/>
      <c r="R54" s="4"/>
      <c r="S54" s="4"/>
      <c r="T54" s="4"/>
      <c r="U54" s="4"/>
      <c r="V54" s="4"/>
      <c r="W54" s="4"/>
      <c r="X54" s="4"/>
      <c r="Y54" s="4"/>
      <c r="Z54" s="4"/>
    </row>
    <row r="55" ht="14.25" customHeight="1">
      <c r="A55" s="4" t="str">
        <f t="shared" si="1"/>
        <v>Manufacturer Part Number</v>
      </c>
      <c r="B55" s="44" t="s">
        <v>57</v>
      </c>
      <c r="C55" s="45" t="s">
        <v>58</v>
      </c>
      <c r="D55" s="45" t="s">
        <v>78</v>
      </c>
      <c r="E55" s="45" t="s">
        <v>95</v>
      </c>
      <c r="F55" s="45" t="s">
        <v>96</v>
      </c>
      <c r="G55" s="45" t="s">
        <v>97</v>
      </c>
      <c r="H55" s="45" t="s">
        <v>98</v>
      </c>
      <c r="K55" s="46" t="s">
        <v>52</v>
      </c>
      <c r="L55" s="25"/>
      <c r="M55" s="45" t="s">
        <v>63</v>
      </c>
      <c r="N55" s="47"/>
      <c r="O55" s="47" t="s">
        <v>20</v>
      </c>
      <c r="T55" s="48" t="s">
        <v>64</v>
      </c>
      <c r="U55" s="49"/>
      <c r="V55" s="4"/>
      <c r="W55" s="4"/>
      <c r="X55" s="4"/>
      <c r="Y55" s="4"/>
      <c r="Z55" s="4"/>
    </row>
    <row r="56" ht="14.25" customHeight="1">
      <c r="A56" s="4" t="str">
        <f t="shared" si="1"/>
        <v>Caddock Electronics Inc. MP925-10.0K-1%</v>
      </c>
      <c r="B56" s="68" t="s">
        <v>99</v>
      </c>
      <c r="C56" s="69" t="s">
        <v>100</v>
      </c>
      <c r="D56" s="70" t="s">
        <v>101</v>
      </c>
      <c r="E56" s="70" t="s">
        <v>102</v>
      </c>
      <c r="F56" s="70" t="s">
        <v>46</v>
      </c>
      <c r="G56" s="69" t="s">
        <v>73</v>
      </c>
      <c r="H56" s="71" t="s">
        <v>103</v>
      </c>
      <c r="I56" s="10"/>
      <c r="J56" s="11"/>
      <c r="K56" s="40" t="s">
        <v>104</v>
      </c>
      <c r="L56" s="11"/>
      <c r="M56" s="72" t="s">
        <v>105</v>
      </c>
      <c r="N56" s="7" t="str">
        <f>IF(COUNTBLANK(B56:M56)=12,IncompleteText,IF(COUNTBLANK(B56:M56)=3,OKText,ErrorText))</f>
        <v>OK</v>
      </c>
      <c r="O56" s="41"/>
      <c r="P56" s="10"/>
      <c r="Q56" s="10"/>
      <c r="R56" s="10"/>
      <c r="S56" s="11"/>
      <c r="T56" s="55" t="s">
        <v>106</v>
      </c>
      <c r="U56" s="21"/>
      <c r="V56" s="4"/>
      <c r="W56" s="4"/>
      <c r="X56" s="4"/>
      <c r="Y56" s="4"/>
      <c r="Z56" s="4"/>
    </row>
    <row r="57" ht="13.5" customHeight="1">
      <c r="A57" s="4" t="str">
        <f t="shared" si="1"/>
        <v>Mouser 284-HS50-750F</v>
      </c>
      <c r="B57" s="50" t="s">
        <v>107</v>
      </c>
      <c r="C57" s="51" t="s">
        <v>108</v>
      </c>
      <c r="D57" s="50">
        <v>1250.0</v>
      </c>
      <c r="E57" s="50">
        <v>750.0</v>
      </c>
      <c r="F57" s="50">
        <v>50.0</v>
      </c>
      <c r="G57" s="50" t="s">
        <v>73</v>
      </c>
      <c r="H57" s="73" t="s">
        <v>103</v>
      </c>
      <c r="I57" s="10"/>
      <c r="J57" s="11"/>
      <c r="K57" s="53" t="s">
        <v>108</v>
      </c>
      <c r="L57" s="11"/>
      <c r="M57" s="54" t="s">
        <v>105</v>
      </c>
      <c r="N57" s="7" t="str">
        <f t="shared" ref="N57:N61" si="4">IF(COUNTBLANK(B57:M57)=12,"",IF(COUNTBLANK(B57:M57)=3,OKText,ErrorText))</f>
        <v>OK</v>
      </c>
      <c r="O57" s="41"/>
      <c r="P57" s="10"/>
      <c r="Q57" s="10"/>
      <c r="R57" s="10"/>
      <c r="S57" s="11"/>
      <c r="T57" s="22"/>
      <c r="U57" s="23"/>
      <c r="V57" s="4"/>
      <c r="W57" s="4"/>
      <c r="X57" s="4"/>
      <c r="Y57" s="4"/>
      <c r="Z57" s="4"/>
    </row>
    <row r="58" ht="14.25" customHeight="1">
      <c r="A58" s="4" t="str">
        <f t="shared" si="1"/>
        <v> </v>
      </c>
      <c r="B58" s="57"/>
      <c r="C58" s="59"/>
      <c r="D58" s="57"/>
      <c r="E58" s="57"/>
      <c r="F58" s="57"/>
      <c r="G58" s="57"/>
      <c r="H58" s="74"/>
      <c r="I58" s="10"/>
      <c r="J58" s="11"/>
      <c r="K58" s="41"/>
      <c r="L58" s="11"/>
      <c r="M58" s="58"/>
      <c r="N58" s="7" t="str">
        <f t="shared" si="4"/>
        <v/>
      </c>
      <c r="O58" s="41"/>
      <c r="P58" s="10"/>
      <c r="Q58" s="10"/>
      <c r="R58" s="10"/>
      <c r="S58" s="11"/>
      <c r="T58" s="22"/>
      <c r="U58" s="23"/>
      <c r="V58" s="4"/>
      <c r="W58" s="4"/>
      <c r="X58" s="4"/>
      <c r="Y58" s="4"/>
      <c r="Z58" s="4"/>
    </row>
    <row r="59" ht="13.5" customHeight="1">
      <c r="A59" s="4" t="str">
        <f t="shared" si="1"/>
        <v> </v>
      </c>
      <c r="B59" s="57"/>
      <c r="C59" s="59"/>
      <c r="D59" s="57"/>
      <c r="E59" s="57"/>
      <c r="F59" s="57"/>
      <c r="G59" s="57"/>
      <c r="H59" s="74"/>
      <c r="I59" s="10"/>
      <c r="J59" s="11"/>
      <c r="K59" s="41"/>
      <c r="L59" s="11"/>
      <c r="M59" s="58"/>
      <c r="N59" s="7" t="str">
        <f t="shared" si="4"/>
        <v/>
      </c>
      <c r="O59" s="41"/>
      <c r="P59" s="10"/>
      <c r="Q59" s="10"/>
      <c r="R59" s="10"/>
      <c r="S59" s="11"/>
      <c r="T59" s="22"/>
      <c r="U59" s="23"/>
      <c r="V59" s="4"/>
      <c r="W59" s="4"/>
      <c r="X59" s="4"/>
      <c r="Y59" s="4"/>
      <c r="Z59" s="4"/>
    </row>
    <row r="60" ht="14.25" customHeight="1">
      <c r="A60" s="4" t="str">
        <f t="shared" si="1"/>
        <v> </v>
      </c>
      <c r="B60" s="57"/>
      <c r="C60" s="59"/>
      <c r="D60" s="57"/>
      <c r="E60" s="57"/>
      <c r="F60" s="57"/>
      <c r="G60" s="57"/>
      <c r="H60" s="74"/>
      <c r="I60" s="10"/>
      <c r="J60" s="11"/>
      <c r="K60" s="41"/>
      <c r="L60" s="11"/>
      <c r="M60" s="58"/>
      <c r="N60" s="7" t="str">
        <f t="shared" si="4"/>
        <v/>
      </c>
      <c r="O60" s="41"/>
      <c r="P60" s="10"/>
      <c r="Q60" s="10"/>
      <c r="R60" s="10"/>
      <c r="S60" s="11"/>
      <c r="T60" s="22"/>
      <c r="U60" s="23"/>
      <c r="V60" s="4"/>
      <c r="W60" s="4"/>
      <c r="X60" s="4"/>
      <c r="Y60" s="4"/>
      <c r="Z60" s="4"/>
    </row>
    <row r="61" ht="13.5" customHeight="1">
      <c r="A61" s="4" t="str">
        <f t="shared" si="1"/>
        <v> </v>
      </c>
      <c r="B61" s="57"/>
      <c r="C61" s="59"/>
      <c r="D61" s="57"/>
      <c r="E61" s="57"/>
      <c r="F61" s="57"/>
      <c r="G61" s="57"/>
      <c r="H61" s="74"/>
      <c r="I61" s="10"/>
      <c r="J61" s="11"/>
      <c r="K61" s="41"/>
      <c r="L61" s="11"/>
      <c r="M61" s="58"/>
      <c r="N61" s="7" t="str">
        <f t="shared" si="4"/>
        <v/>
      </c>
      <c r="O61" s="41"/>
      <c r="P61" s="10"/>
      <c r="Q61" s="10"/>
      <c r="R61" s="10"/>
      <c r="S61" s="11"/>
      <c r="T61" s="24"/>
      <c r="U61" s="26"/>
      <c r="V61" s="4"/>
      <c r="W61" s="4"/>
      <c r="X61" s="4"/>
      <c r="Y61" s="4"/>
      <c r="Z61" s="4"/>
    </row>
    <row r="62" ht="14.25" customHeight="1">
      <c r="A62" s="4" t="str">
        <f t="shared" si="1"/>
        <v> </v>
      </c>
      <c r="B62" s="4"/>
      <c r="C62" s="4"/>
      <c r="D62" s="4"/>
      <c r="E62" s="4"/>
      <c r="F62" s="4"/>
      <c r="G62" s="4"/>
      <c r="H62" s="4"/>
      <c r="I62" s="4"/>
      <c r="J62" s="4"/>
      <c r="K62" s="4"/>
      <c r="L62" s="4"/>
      <c r="M62" s="4"/>
      <c r="N62" s="75"/>
      <c r="O62" s="75"/>
      <c r="P62" s="75"/>
      <c r="Q62" s="75"/>
      <c r="R62" s="75"/>
      <c r="S62" s="4"/>
      <c r="T62" s="4"/>
      <c r="U62" s="4"/>
      <c r="V62" s="4"/>
      <c r="W62" s="4"/>
      <c r="X62" s="4"/>
      <c r="Y62" s="4"/>
      <c r="Z62" s="4"/>
    </row>
    <row r="63" ht="14.25" customHeight="1">
      <c r="A63" s="4" t="str">
        <f t="shared" si="1"/>
        <v>Contactors/Relays </v>
      </c>
      <c r="B63" s="1" t="s">
        <v>109</v>
      </c>
      <c r="C63" s="2"/>
      <c r="D63" s="2"/>
      <c r="E63" s="2"/>
      <c r="F63" s="2"/>
      <c r="G63" s="2"/>
      <c r="H63" s="2"/>
      <c r="I63" s="2"/>
      <c r="J63" s="3"/>
      <c r="K63" s="7" t="str">
        <f>IF(COUNTIF(K65:K69, "="&amp;IncompleteText), IncompleteText, IF(COUNTIF(K65:K69, "="&amp;ErrorText), ErrorText, OKText))</f>
        <v>OK</v>
      </c>
      <c r="L63" s="4"/>
      <c r="M63" s="4"/>
      <c r="N63" s="4"/>
      <c r="O63" s="4"/>
      <c r="P63" s="4"/>
      <c r="Q63" s="4"/>
      <c r="R63" s="4"/>
      <c r="S63" s="4"/>
      <c r="T63" s="4"/>
      <c r="U63" s="4"/>
      <c r="V63" s="4"/>
      <c r="W63" s="4"/>
      <c r="X63" s="4"/>
      <c r="Y63" s="4"/>
      <c r="Z63" s="4"/>
    </row>
    <row r="64" ht="14.25" customHeight="1">
      <c r="A64" s="4" t="str">
        <f t="shared" si="1"/>
        <v>Manufacturer Part Number</v>
      </c>
      <c r="B64" s="44" t="s">
        <v>57</v>
      </c>
      <c r="C64" s="45" t="s">
        <v>58</v>
      </c>
      <c r="D64" s="45" t="s">
        <v>110</v>
      </c>
      <c r="E64" s="45" t="s">
        <v>111</v>
      </c>
      <c r="F64" s="45" t="s">
        <v>112</v>
      </c>
      <c r="G64" s="45" t="s">
        <v>113</v>
      </c>
      <c r="H64" s="46" t="s">
        <v>52</v>
      </c>
      <c r="I64" s="25"/>
      <c r="J64" s="45" t="s">
        <v>63</v>
      </c>
      <c r="K64" s="47"/>
      <c r="L64" s="47" t="s">
        <v>20</v>
      </c>
      <c r="Q64" s="48" t="s">
        <v>64</v>
      </c>
      <c r="R64" s="49"/>
      <c r="S64" s="4"/>
      <c r="T64" s="4"/>
      <c r="U64" s="4"/>
      <c r="V64" s="4"/>
      <c r="W64" s="4"/>
      <c r="X64" s="4"/>
      <c r="Y64" s="4"/>
      <c r="Z64" s="4"/>
    </row>
    <row r="65" ht="14.25" customHeight="1">
      <c r="A65" s="4" t="str">
        <f t="shared" si="1"/>
        <v>TE Connectivity / Kilovac LEV200A4NAA</v>
      </c>
      <c r="B65" s="76" t="s">
        <v>114</v>
      </c>
      <c r="C65" s="77" t="s">
        <v>115</v>
      </c>
      <c r="D65" s="78">
        <v>900.0</v>
      </c>
      <c r="E65" s="78">
        <v>500.0</v>
      </c>
      <c r="F65" s="78">
        <v>2000.0</v>
      </c>
      <c r="G65" s="60" t="s">
        <v>116</v>
      </c>
      <c r="H65" s="65" t="s">
        <v>115</v>
      </c>
      <c r="I65" s="11"/>
      <c r="J65" s="79" t="s">
        <v>117</v>
      </c>
      <c r="K65" s="7" t="str">
        <f>IF(COUNTBLANK(B65:J65)=9,IncompleteText,IF(COUNTBLANK(B65:J65)=1,OKText,ErrorText))</f>
        <v>OK</v>
      </c>
      <c r="L65" s="41"/>
      <c r="M65" s="10"/>
      <c r="N65" s="10"/>
      <c r="O65" s="10"/>
      <c r="P65" s="11"/>
      <c r="Q65" s="55" t="s">
        <v>118</v>
      </c>
      <c r="R65" s="21"/>
      <c r="S65" s="4"/>
      <c r="T65" s="4"/>
      <c r="U65" s="4"/>
      <c r="V65" s="4"/>
      <c r="W65" s="4"/>
      <c r="X65" s="4"/>
      <c r="Y65" s="4"/>
      <c r="Z65" s="4"/>
    </row>
    <row r="66" ht="14.25" customHeight="1">
      <c r="A66" s="4" t="str">
        <f t="shared" si="1"/>
        <v>Panasonic Electric Works AQZ404</v>
      </c>
      <c r="B66" s="80" t="s">
        <v>119</v>
      </c>
      <c r="C66" s="81" t="s">
        <v>120</v>
      </c>
      <c r="D66" s="82">
        <v>400.0</v>
      </c>
      <c r="E66" s="82">
        <v>20.0</v>
      </c>
      <c r="F66" s="82">
        <v>50.0</v>
      </c>
      <c r="G66" s="50" t="s">
        <v>121</v>
      </c>
      <c r="H66" s="83" t="s">
        <v>120</v>
      </c>
      <c r="I66" s="84"/>
      <c r="J66" s="54" t="s">
        <v>122</v>
      </c>
      <c r="K66" s="7" t="str">
        <f t="shared" ref="K66:K69" si="5">IF(COUNTBLANK(B66:J66)=9,"",IF(COUNTBLANK(B66:J66)=1,OKText,ErrorText))</f>
        <v>OK</v>
      </c>
      <c r="L66" s="41"/>
      <c r="M66" s="10"/>
      <c r="N66" s="10"/>
      <c r="O66" s="10"/>
      <c r="P66" s="11"/>
      <c r="Q66" s="22"/>
      <c r="R66" s="23"/>
      <c r="S66" s="4"/>
      <c r="T66" s="4"/>
      <c r="U66" s="4"/>
      <c r="V66" s="4"/>
      <c r="W66" s="4"/>
      <c r="X66" s="4"/>
      <c r="Y66" s="4"/>
      <c r="Z66" s="4"/>
    </row>
    <row r="67" ht="14.25" customHeight="1">
      <c r="A67" s="4" t="str">
        <f t="shared" si="1"/>
        <v> </v>
      </c>
      <c r="B67" s="57"/>
      <c r="C67" s="59"/>
      <c r="D67" s="57"/>
      <c r="E67" s="57"/>
      <c r="F67" s="57"/>
      <c r="G67" s="57"/>
      <c r="H67" s="41"/>
      <c r="I67" s="11"/>
      <c r="J67" s="58"/>
      <c r="K67" s="7" t="str">
        <f t="shared" si="5"/>
        <v/>
      </c>
      <c r="L67" s="41"/>
      <c r="M67" s="10"/>
      <c r="N67" s="10"/>
      <c r="O67" s="10"/>
      <c r="P67" s="11"/>
      <c r="Q67" s="22"/>
      <c r="R67" s="23"/>
      <c r="S67" s="4"/>
      <c r="T67" s="4"/>
      <c r="U67" s="4"/>
      <c r="V67" s="4"/>
      <c r="W67" s="4"/>
      <c r="X67" s="4"/>
      <c r="Y67" s="4"/>
      <c r="Z67" s="4"/>
    </row>
    <row r="68" ht="14.25" customHeight="1">
      <c r="A68" s="4" t="str">
        <f t="shared" si="1"/>
        <v> </v>
      </c>
      <c r="B68" s="57"/>
      <c r="C68" s="59"/>
      <c r="D68" s="57"/>
      <c r="E68" s="57"/>
      <c r="F68" s="57"/>
      <c r="G68" s="57"/>
      <c r="H68" s="41"/>
      <c r="I68" s="11"/>
      <c r="J68" s="58"/>
      <c r="K68" s="7" t="str">
        <f t="shared" si="5"/>
        <v/>
      </c>
      <c r="L68" s="41"/>
      <c r="M68" s="10"/>
      <c r="N68" s="10"/>
      <c r="O68" s="10"/>
      <c r="P68" s="11"/>
      <c r="Q68" s="22"/>
      <c r="R68" s="23"/>
      <c r="S68" s="4"/>
      <c r="T68" s="4"/>
      <c r="U68" s="4"/>
      <c r="V68" s="4"/>
      <c r="W68" s="4"/>
      <c r="X68" s="4"/>
      <c r="Y68" s="4"/>
      <c r="Z68" s="4"/>
    </row>
    <row r="69" ht="14.25" customHeight="1">
      <c r="A69" s="4" t="str">
        <f t="shared" si="1"/>
        <v> </v>
      </c>
      <c r="B69" s="57"/>
      <c r="C69" s="59"/>
      <c r="D69" s="57"/>
      <c r="E69" s="57"/>
      <c r="F69" s="57"/>
      <c r="G69" s="57"/>
      <c r="H69" s="41"/>
      <c r="I69" s="11"/>
      <c r="J69" s="58"/>
      <c r="K69" s="7" t="str">
        <f t="shared" si="5"/>
        <v/>
      </c>
      <c r="L69" s="41"/>
      <c r="M69" s="10"/>
      <c r="N69" s="10"/>
      <c r="O69" s="10"/>
      <c r="P69" s="11"/>
      <c r="Q69" s="24"/>
      <c r="R69" s="26"/>
      <c r="S69" s="4"/>
      <c r="T69" s="4"/>
      <c r="U69" s="4"/>
      <c r="V69" s="4"/>
      <c r="W69" s="4"/>
      <c r="X69" s="4"/>
      <c r="Y69" s="4"/>
      <c r="Z69" s="4"/>
    </row>
    <row r="70" ht="14.25" customHeight="1">
      <c r="A70" s="4" t="str">
        <f t="shared" si="1"/>
        <v> </v>
      </c>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t="str">
        <f t="shared" si="1"/>
        <v>Connectors </v>
      </c>
      <c r="B71" s="1" t="s">
        <v>123</v>
      </c>
      <c r="C71" s="2"/>
      <c r="D71" s="2"/>
      <c r="E71" s="2"/>
      <c r="F71" s="2"/>
      <c r="G71" s="2"/>
      <c r="H71" s="3"/>
      <c r="I71" s="43"/>
      <c r="J71" s="7" t="str">
        <f>IF(COUNTIF(J73:J91, "="&amp;IncompleteText), IncompleteText, IF(COUNTIF(J73:J91, "="&amp;ErrorText), ErrorText, OKText))</f>
        <v>OK</v>
      </c>
      <c r="K71" s="4"/>
      <c r="L71" s="4"/>
      <c r="M71" s="4"/>
      <c r="N71" s="4"/>
      <c r="O71" s="4"/>
      <c r="P71" s="4"/>
      <c r="Q71" s="4"/>
      <c r="R71" s="4"/>
      <c r="S71" s="4"/>
      <c r="T71" s="4"/>
      <c r="U71" s="4"/>
      <c r="V71" s="4"/>
      <c r="W71" s="4"/>
      <c r="X71" s="4"/>
      <c r="Y71" s="4"/>
      <c r="Z71" s="4"/>
    </row>
    <row r="72" ht="14.25" customHeight="1">
      <c r="A72" s="4" t="str">
        <f t="shared" si="1"/>
        <v>Manufacturer Part Number</v>
      </c>
      <c r="B72" s="44" t="s">
        <v>57</v>
      </c>
      <c r="C72" s="45" t="s">
        <v>58</v>
      </c>
      <c r="D72" s="45" t="s">
        <v>78</v>
      </c>
      <c r="E72" s="45" t="s">
        <v>61</v>
      </c>
      <c r="F72" s="45" t="s">
        <v>124</v>
      </c>
      <c r="G72" s="46" t="s">
        <v>52</v>
      </c>
      <c r="H72" s="25"/>
      <c r="I72" s="45" t="s">
        <v>63</v>
      </c>
      <c r="J72" s="47"/>
      <c r="K72" s="47" t="s">
        <v>20</v>
      </c>
      <c r="P72" s="48" t="s">
        <v>64</v>
      </c>
      <c r="Q72" s="49"/>
      <c r="R72" s="4"/>
      <c r="S72" s="4"/>
      <c r="T72" s="4"/>
      <c r="U72" s="4"/>
      <c r="V72" s="4"/>
      <c r="W72" s="4"/>
      <c r="X72" s="4"/>
      <c r="Y72" s="4"/>
      <c r="Z72" s="4"/>
    </row>
    <row r="73" ht="14.25" customHeight="1">
      <c r="A73" s="4" t="str">
        <f t="shared" si="1"/>
        <v>Amphenol RL0-080-1-70*</v>
      </c>
      <c r="B73" s="85" t="s">
        <v>125</v>
      </c>
      <c r="C73" s="86" t="s">
        <v>126</v>
      </c>
      <c r="D73" s="78">
        <v>1000.0</v>
      </c>
      <c r="E73" s="78">
        <v>200.0</v>
      </c>
      <c r="F73" s="78">
        <v>50.0</v>
      </c>
      <c r="G73" s="40" t="s">
        <v>127</v>
      </c>
      <c r="H73" s="11"/>
      <c r="I73" s="79" t="s">
        <v>128</v>
      </c>
      <c r="J73" s="87" t="str">
        <f>IF(COUNTBLANK(B73:I73)=8,IncompleteText,IF(COUNTBLANK(B73:I73)=1,OKText,ErrorText))</f>
        <v>OK</v>
      </c>
      <c r="K73" s="88" t="s">
        <v>129</v>
      </c>
      <c r="L73" s="10"/>
      <c r="M73" s="10"/>
      <c r="N73" s="10"/>
      <c r="O73" s="11"/>
      <c r="P73" s="55" t="s">
        <v>130</v>
      </c>
      <c r="Q73" s="21"/>
      <c r="R73" s="4"/>
      <c r="S73" s="4"/>
      <c r="T73" s="4"/>
      <c r="U73" s="4"/>
      <c r="V73" s="4"/>
      <c r="W73" s="4"/>
      <c r="X73" s="4"/>
      <c r="Y73" s="4"/>
      <c r="Z73" s="4"/>
    </row>
    <row r="74" ht="14.25" customHeight="1">
      <c r="A74" s="4" t="str">
        <f t="shared" si="1"/>
        <v>Amphenol RL9-100-202F1</v>
      </c>
      <c r="B74" s="89" t="s">
        <v>125</v>
      </c>
      <c r="C74" s="69" t="s">
        <v>131</v>
      </c>
      <c r="D74" s="90">
        <v>1000.0</v>
      </c>
      <c r="E74" s="90">
        <v>200.0</v>
      </c>
      <c r="F74" s="90">
        <v>50.0</v>
      </c>
      <c r="G74" s="40" t="s">
        <v>131</v>
      </c>
      <c r="H74" s="11"/>
      <c r="I74" s="72" t="s">
        <v>128</v>
      </c>
      <c r="J74" s="87" t="str">
        <f t="shared" ref="J74:J91" si="6">IF(COUNTBLANK(B74:I74)=8,"",IF(COUNTBLANK(B74:I74)=1,OKText,ErrorText))</f>
        <v>OK</v>
      </c>
      <c r="K74" s="91" t="s">
        <v>132</v>
      </c>
      <c r="L74" s="10"/>
      <c r="M74" s="10"/>
      <c r="N74" s="10"/>
      <c r="O74" s="11"/>
      <c r="P74" s="22"/>
      <c r="Q74" s="23"/>
      <c r="R74" s="4"/>
      <c r="S74" s="4"/>
      <c r="T74" s="4"/>
      <c r="U74" s="4"/>
      <c r="V74" s="4"/>
      <c r="W74" s="4"/>
      <c r="X74" s="4"/>
      <c r="Y74" s="4"/>
      <c r="Z74" s="4"/>
    </row>
    <row r="75" ht="14.25" customHeight="1">
      <c r="A75" s="4" t="str">
        <f t="shared" si="1"/>
        <v>Amphenol MSDM5002</v>
      </c>
      <c r="B75" s="50" t="s">
        <v>125</v>
      </c>
      <c r="C75" s="51" t="s">
        <v>133</v>
      </c>
      <c r="D75" s="50">
        <v>690.0</v>
      </c>
      <c r="E75" s="50">
        <v>500.0</v>
      </c>
      <c r="F75" s="50">
        <v>50.0</v>
      </c>
      <c r="G75" s="53" t="s">
        <v>133</v>
      </c>
      <c r="H75" s="84"/>
      <c r="I75" s="54" t="s">
        <v>134</v>
      </c>
      <c r="J75" s="7" t="str">
        <f t="shared" si="6"/>
        <v>OK</v>
      </c>
      <c r="K75" s="41"/>
      <c r="L75" s="10"/>
      <c r="M75" s="10"/>
      <c r="N75" s="10"/>
      <c r="O75" s="11"/>
      <c r="P75" s="22"/>
      <c r="Q75" s="23"/>
      <c r="R75" s="4"/>
      <c r="S75" s="4"/>
      <c r="T75" s="4"/>
      <c r="U75" s="4"/>
      <c r="V75" s="4"/>
      <c r="W75" s="4"/>
      <c r="X75" s="4"/>
      <c r="Y75" s="4"/>
      <c r="Z75" s="4"/>
    </row>
    <row r="76" ht="14.25" customHeight="1">
      <c r="A76" s="4" t="str">
        <f t="shared" si="1"/>
        <v> </v>
      </c>
      <c r="B76" s="57"/>
      <c r="C76" s="59"/>
      <c r="D76" s="57"/>
      <c r="E76" s="57"/>
      <c r="F76" s="57"/>
      <c r="G76" s="41"/>
      <c r="H76" s="11"/>
      <c r="I76" s="58"/>
      <c r="J76" s="7" t="str">
        <f t="shared" si="6"/>
        <v/>
      </c>
      <c r="K76" s="41"/>
      <c r="L76" s="10"/>
      <c r="M76" s="10"/>
      <c r="N76" s="10"/>
      <c r="O76" s="11"/>
      <c r="P76" s="22"/>
      <c r="Q76" s="23"/>
      <c r="R76" s="4"/>
      <c r="S76" s="4"/>
      <c r="T76" s="4"/>
      <c r="U76" s="4"/>
      <c r="V76" s="4"/>
      <c r="W76" s="4"/>
      <c r="X76" s="4"/>
      <c r="Y76" s="4"/>
      <c r="Z76" s="4"/>
    </row>
    <row r="77" ht="14.25" customHeight="1">
      <c r="A77" s="4" t="str">
        <f t="shared" si="1"/>
        <v> </v>
      </c>
      <c r="B77" s="57"/>
      <c r="C77" s="59"/>
      <c r="D77" s="57"/>
      <c r="E77" s="57"/>
      <c r="F77" s="57"/>
      <c r="G77" s="41"/>
      <c r="H77" s="11"/>
      <c r="I77" s="58"/>
      <c r="J77" s="7" t="str">
        <f t="shared" si="6"/>
        <v/>
      </c>
      <c r="K77" s="41"/>
      <c r="L77" s="10"/>
      <c r="M77" s="10"/>
      <c r="N77" s="10"/>
      <c r="O77" s="11"/>
      <c r="P77" s="22"/>
      <c r="Q77" s="23"/>
      <c r="R77" s="4"/>
      <c r="S77" s="4"/>
      <c r="T77" s="4"/>
      <c r="U77" s="4"/>
      <c r="V77" s="4"/>
      <c r="W77" s="4"/>
      <c r="X77" s="4"/>
      <c r="Y77" s="4"/>
      <c r="Z77" s="4"/>
    </row>
    <row r="78" ht="14.25" customHeight="1">
      <c r="A78" s="4" t="str">
        <f t="shared" si="1"/>
        <v> </v>
      </c>
      <c r="B78" s="57"/>
      <c r="C78" s="59"/>
      <c r="D78" s="57"/>
      <c r="E78" s="57"/>
      <c r="F78" s="57"/>
      <c r="G78" s="41"/>
      <c r="H78" s="11"/>
      <c r="I78" s="58"/>
      <c r="J78" s="7" t="str">
        <f t="shared" si="6"/>
        <v/>
      </c>
      <c r="K78" s="41"/>
      <c r="L78" s="10"/>
      <c r="M78" s="10"/>
      <c r="N78" s="10"/>
      <c r="O78" s="11"/>
      <c r="P78" s="22"/>
      <c r="Q78" s="23"/>
      <c r="R78" s="4"/>
      <c r="S78" s="4"/>
      <c r="T78" s="4"/>
      <c r="U78" s="4"/>
      <c r="V78" s="4"/>
      <c r="W78" s="4"/>
      <c r="X78" s="4"/>
      <c r="Y78" s="4"/>
      <c r="Z78" s="4"/>
    </row>
    <row r="79" ht="14.25" customHeight="1">
      <c r="A79" s="4" t="str">
        <f t="shared" si="1"/>
        <v> </v>
      </c>
      <c r="B79" s="57"/>
      <c r="C79" s="59"/>
      <c r="D79" s="57"/>
      <c r="E79" s="57"/>
      <c r="F79" s="57"/>
      <c r="G79" s="41"/>
      <c r="H79" s="11"/>
      <c r="I79" s="58"/>
      <c r="J79" s="7" t="str">
        <f t="shared" si="6"/>
        <v/>
      </c>
      <c r="K79" s="41"/>
      <c r="L79" s="10"/>
      <c r="M79" s="10"/>
      <c r="N79" s="10"/>
      <c r="O79" s="11"/>
      <c r="P79" s="22"/>
      <c r="Q79" s="23"/>
      <c r="R79" s="4"/>
      <c r="S79" s="4"/>
      <c r="T79" s="4"/>
      <c r="U79" s="4"/>
      <c r="V79" s="4"/>
      <c r="W79" s="4"/>
      <c r="X79" s="4"/>
      <c r="Y79" s="4"/>
      <c r="Z79" s="4"/>
    </row>
    <row r="80" ht="14.25" customHeight="1">
      <c r="A80" s="4" t="str">
        <f t="shared" si="1"/>
        <v> </v>
      </c>
      <c r="B80" s="57"/>
      <c r="C80" s="59"/>
      <c r="D80" s="57"/>
      <c r="E80" s="57"/>
      <c r="F80" s="57"/>
      <c r="G80" s="41"/>
      <c r="H80" s="11"/>
      <c r="I80" s="58"/>
      <c r="J80" s="7" t="str">
        <f t="shared" si="6"/>
        <v/>
      </c>
      <c r="K80" s="41"/>
      <c r="L80" s="10"/>
      <c r="M80" s="10"/>
      <c r="N80" s="10"/>
      <c r="O80" s="11"/>
      <c r="P80" s="22"/>
      <c r="Q80" s="23"/>
      <c r="R80" s="4"/>
      <c r="S80" s="4"/>
      <c r="T80" s="4"/>
      <c r="U80" s="4"/>
      <c r="V80" s="4"/>
      <c r="W80" s="4"/>
      <c r="X80" s="4"/>
      <c r="Y80" s="4"/>
      <c r="Z80" s="4"/>
    </row>
    <row r="81" ht="14.25" customHeight="1">
      <c r="A81" s="4" t="str">
        <f t="shared" si="1"/>
        <v> </v>
      </c>
      <c r="B81" s="57"/>
      <c r="C81" s="59"/>
      <c r="D81" s="57"/>
      <c r="E81" s="57"/>
      <c r="F81" s="57"/>
      <c r="G81" s="41"/>
      <c r="H81" s="11"/>
      <c r="I81" s="58"/>
      <c r="J81" s="7" t="str">
        <f t="shared" si="6"/>
        <v/>
      </c>
      <c r="K81" s="41"/>
      <c r="L81" s="10"/>
      <c r="M81" s="10"/>
      <c r="N81" s="10"/>
      <c r="O81" s="11"/>
      <c r="P81" s="22"/>
      <c r="Q81" s="23"/>
      <c r="R81" s="4"/>
      <c r="S81" s="4"/>
      <c r="T81" s="4"/>
      <c r="U81" s="4"/>
      <c r="V81" s="4"/>
      <c r="W81" s="4"/>
      <c r="X81" s="4"/>
      <c r="Y81" s="4"/>
      <c r="Z81" s="4"/>
    </row>
    <row r="82" ht="14.25" customHeight="1">
      <c r="A82" s="4" t="str">
        <f t="shared" si="1"/>
        <v> </v>
      </c>
      <c r="B82" s="57"/>
      <c r="C82" s="59"/>
      <c r="D82" s="57"/>
      <c r="E82" s="57"/>
      <c r="F82" s="57"/>
      <c r="G82" s="41"/>
      <c r="H82" s="11"/>
      <c r="I82" s="58"/>
      <c r="J82" s="7" t="str">
        <f t="shared" si="6"/>
        <v/>
      </c>
      <c r="K82" s="41"/>
      <c r="L82" s="10"/>
      <c r="M82" s="10"/>
      <c r="N82" s="10"/>
      <c r="O82" s="11"/>
      <c r="P82" s="22"/>
      <c r="Q82" s="23"/>
      <c r="R82" s="4"/>
      <c r="S82" s="4"/>
      <c r="T82" s="4"/>
      <c r="U82" s="4"/>
      <c r="V82" s="4"/>
      <c r="W82" s="4"/>
      <c r="X82" s="4"/>
      <c r="Y82" s="4"/>
      <c r="Z82" s="4"/>
    </row>
    <row r="83" ht="14.25" customHeight="1">
      <c r="A83" s="4" t="str">
        <f t="shared" si="1"/>
        <v> </v>
      </c>
      <c r="B83" s="57"/>
      <c r="C83" s="59"/>
      <c r="D83" s="57"/>
      <c r="E83" s="57"/>
      <c r="F83" s="57"/>
      <c r="G83" s="41"/>
      <c r="H83" s="11"/>
      <c r="I83" s="58"/>
      <c r="J83" s="7" t="str">
        <f t="shared" si="6"/>
        <v/>
      </c>
      <c r="K83" s="41"/>
      <c r="L83" s="10"/>
      <c r="M83" s="10"/>
      <c r="N83" s="10"/>
      <c r="O83" s="11"/>
      <c r="P83" s="22"/>
      <c r="Q83" s="23"/>
      <c r="R83" s="4"/>
      <c r="S83" s="4"/>
      <c r="T83" s="4"/>
      <c r="U83" s="4"/>
      <c r="V83" s="4"/>
      <c r="W83" s="4"/>
      <c r="X83" s="4"/>
      <c r="Y83" s="4"/>
      <c r="Z83" s="4"/>
    </row>
    <row r="84" ht="14.25" customHeight="1">
      <c r="A84" s="4" t="str">
        <f t="shared" si="1"/>
        <v> </v>
      </c>
      <c r="B84" s="57"/>
      <c r="C84" s="59"/>
      <c r="D84" s="57"/>
      <c r="E84" s="57"/>
      <c r="F84" s="57"/>
      <c r="G84" s="41"/>
      <c r="H84" s="11"/>
      <c r="I84" s="58"/>
      <c r="J84" s="7" t="str">
        <f t="shared" si="6"/>
        <v/>
      </c>
      <c r="K84" s="41"/>
      <c r="L84" s="10"/>
      <c r="M84" s="10"/>
      <c r="N84" s="10"/>
      <c r="O84" s="11"/>
      <c r="P84" s="22"/>
      <c r="Q84" s="23"/>
      <c r="R84" s="4"/>
      <c r="S84" s="4"/>
      <c r="T84" s="4"/>
      <c r="U84" s="4"/>
      <c r="V84" s="4"/>
      <c r="W84" s="4"/>
      <c r="X84" s="4"/>
      <c r="Y84" s="4"/>
      <c r="Z84" s="4"/>
    </row>
    <row r="85" ht="14.25" customHeight="1">
      <c r="A85" s="4" t="str">
        <f t="shared" si="1"/>
        <v> </v>
      </c>
      <c r="B85" s="57"/>
      <c r="C85" s="59"/>
      <c r="D85" s="57"/>
      <c r="E85" s="57"/>
      <c r="F85" s="57"/>
      <c r="G85" s="41"/>
      <c r="H85" s="11"/>
      <c r="I85" s="58"/>
      <c r="J85" s="7" t="str">
        <f t="shared" si="6"/>
        <v/>
      </c>
      <c r="K85" s="41"/>
      <c r="L85" s="10"/>
      <c r="M85" s="10"/>
      <c r="N85" s="10"/>
      <c r="O85" s="11"/>
      <c r="P85" s="22"/>
      <c r="Q85" s="23"/>
      <c r="R85" s="4"/>
      <c r="S85" s="4"/>
      <c r="T85" s="4"/>
      <c r="U85" s="4"/>
      <c r="V85" s="4"/>
      <c r="W85" s="4"/>
      <c r="X85" s="4"/>
      <c r="Y85" s="4"/>
      <c r="Z85" s="4"/>
    </row>
    <row r="86" ht="14.25" customHeight="1">
      <c r="A86" s="4" t="str">
        <f t="shared" si="1"/>
        <v> </v>
      </c>
      <c r="B86" s="57"/>
      <c r="C86" s="59"/>
      <c r="D86" s="57"/>
      <c r="E86" s="57"/>
      <c r="F86" s="57"/>
      <c r="G86" s="41"/>
      <c r="H86" s="11"/>
      <c r="I86" s="58"/>
      <c r="J86" s="7" t="str">
        <f t="shared" si="6"/>
        <v/>
      </c>
      <c r="K86" s="41"/>
      <c r="L86" s="10"/>
      <c r="M86" s="10"/>
      <c r="N86" s="10"/>
      <c r="O86" s="11"/>
      <c r="P86" s="22"/>
      <c r="Q86" s="23"/>
      <c r="R86" s="4"/>
      <c r="S86" s="4"/>
      <c r="T86" s="4"/>
      <c r="U86" s="4"/>
      <c r="V86" s="4"/>
      <c r="W86" s="4"/>
      <c r="X86" s="4"/>
      <c r="Y86" s="4"/>
      <c r="Z86" s="4"/>
    </row>
    <row r="87" ht="14.25" customHeight="1">
      <c r="A87" s="4" t="str">
        <f t="shared" si="1"/>
        <v> </v>
      </c>
      <c r="B87" s="57"/>
      <c r="C87" s="59"/>
      <c r="D87" s="57"/>
      <c r="E87" s="57"/>
      <c r="F87" s="57"/>
      <c r="G87" s="41"/>
      <c r="H87" s="11"/>
      <c r="I87" s="58"/>
      <c r="J87" s="7" t="str">
        <f t="shared" si="6"/>
        <v/>
      </c>
      <c r="K87" s="41"/>
      <c r="L87" s="10"/>
      <c r="M87" s="10"/>
      <c r="N87" s="10"/>
      <c r="O87" s="11"/>
      <c r="P87" s="22"/>
      <c r="Q87" s="23"/>
      <c r="R87" s="4"/>
      <c r="S87" s="4"/>
      <c r="T87" s="4"/>
      <c r="U87" s="4"/>
      <c r="V87" s="4"/>
      <c r="W87" s="4"/>
      <c r="X87" s="4"/>
      <c r="Y87" s="4"/>
      <c r="Z87" s="4"/>
    </row>
    <row r="88" ht="14.25" customHeight="1">
      <c r="A88" s="4" t="str">
        <f t="shared" si="1"/>
        <v> </v>
      </c>
      <c r="B88" s="57"/>
      <c r="C88" s="59"/>
      <c r="D88" s="57"/>
      <c r="E88" s="57"/>
      <c r="F88" s="57"/>
      <c r="G88" s="41"/>
      <c r="H88" s="11"/>
      <c r="I88" s="58"/>
      <c r="J88" s="7" t="str">
        <f t="shared" si="6"/>
        <v/>
      </c>
      <c r="K88" s="41"/>
      <c r="L88" s="10"/>
      <c r="M88" s="10"/>
      <c r="N88" s="10"/>
      <c r="O88" s="11"/>
      <c r="P88" s="22"/>
      <c r="Q88" s="23"/>
      <c r="R88" s="4"/>
      <c r="S88" s="4"/>
      <c r="T88" s="4"/>
      <c r="U88" s="4"/>
      <c r="V88" s="4"/>
      <c r="W88" s="4"/>
      <c r="X88" s="4"/>
      <c r="Y88" s="4"/>
      <c r="Z88" s="4"/>
    </row>
    <row r="89" ht="14.25" customHeight="1">
      <c r="A89" s="4" t="str">
        <f t="shared" si="1"/>
        <v> </v>
      </c>
      <c r="B89" s="57"/>
      <c r="C89" s="59"/>
      <c r="D89" s="57"/>
      <c r="E89" s="57"/>
      <c r="F89" s="57"/>
      <c r="G89" s="41"/>
      <c r="H89" s="11"/>
      <c r="I89" s="58"/>
      <c r="J89" s="7" t="str">
        <f t="shared" si="6"/>
        <v/>
      </c>
      <c r="K89" s="41"/>
      <c r="L89" s="10"/>
      <c r="M89" s="10"/>
      <c r="N89" s="10"/>
      <c r="O89" s="11"/>
      <c r="P89" s="22"/>
      <c r="Q89" s="23"/>
      <c r="R89" s="4"/>
      <c r="S89" s="4"/>
      <c r="T89" s="4"/>
      <c r="U89" s="4"/>
      <c r="V89" s="4"/>
      <c r="W89" s="4"/>
      <c r="X89" s="4"/>
      <c r="Y89" s="4"/>
      <c r="Z89" s="4"/>
    </row>
    <row r="90" ht="14.25" customHeight="1">
      <c r="A90" s="4" t="str">
        <f t="shared" si="1"/>
        <v> </v>
      </c>
      <c r="B90" s="57"/>
      <c r="C90" s="59"/>
      <c r="D90" s="57"/>
      <c r="E90" s="57"/>
      <c r="F90" s="57"/>
      <c r="G90" s="41"/>
      <c r="H90" s="11"/>
      <c r="I90" s="58"/>
      <c r="J90" s="7" t="str">
        <f t="shared" si="6"/>
        <v/>
      </c>
      <c r="K90" s="41"/>
      <c r="L90" s="10"/>
      <c r="M90" s="10"/>
      <c r="N90" s="10"/>
      <c r="O90" s="11"/>
      <c r="P90" s="22"/>
      <c r="Q90" s="23"/>
      <c r="R90" s="4"/>
      <c r="S90" s="4"/>
      <c r="T90" s="4"/>
      <c r="U90" s="4"/>
      <c r="V90" s="4"/>
      <c r="W90" s="4"/>
      <c r="X90" s="4"/>
      <c r="Y90" s="4"/>
      <c r="Z90" s="4"/>
    </row>
    <row r="91" ht="14.25" customHeight="1">
      <c r="A91" s="4" t="str">
        <f t="shared" si="1"/>
        <v> </v>
      </c>
      <c r="B91" s="57"/>
      <c r="C91" s="59"/>
      <c r="D91" s="57"/>
      <c r="E91" s="57"/>
      <c r="F91" s="57"/>
      <c r="G91" s="41"/>
      <c r="H91" s="11"/>
      <c r="I91" s="58"/>
      <c r="J91" s="7" t="str">
        <f t="shared" si="6"/>
        <v/>
      </c>
      <c r="K91" s="41"/>
      <c r="L91" s="10"/>
      <c r="M91" s="10"/>
      <c r="N91" s="10"/>
      <c r="O91" s="11"/>
      <c r="P91" s="24"/>
      <c r="Q91" s="26"/>
      <c r="R91" s="4"/>
      <c r="S91" s="4"/>
      <c r="T91" s="4"/>
      <c r="U91" s="4"/>
      <c r="V91" s="4"/>
      <c r="W91" s="4"/>
      <c r="X91" s="4"/>
      <c r="Y91" s="4"/>
      <c r="Z91" s="4"/>
    </row>
    <row r="92" ht="14.25" customHeight="1">
      <c r="A92" s="4" t="str">
        <f t="shared" si="1"/>
        <v> </v>
      </c>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t="str">
        <f t="shared" si="1"/>
        <v>Insulating Materials </v>
      </c>
      <c r="B93" s="1" t="s">
        <v>135</v>
      </c>
      <c r="C93" s="2"/>
      <c r="D93" s="2"/>
      <c r="E93" s="2"/>
      <c r="F93" s="2"/>
      <c r="G93" s="2"/>
      <c r="H93" s="2"/>
      <c r="I93" s="2"/>
      <c r="J93" s="3"/>
      <c r="K93" s="43"/>
      <c r="L93" s="7" t="str">
        <f>IF(COUNTIF(L95:L104, "="&amp;IncompleteText), IncompleteText, IF(COUNTIF(L95:L104, "="&amp;ErrorText), ErrorText, OKText))</f>
        <v>BLANK</v>
      </c>
      <c r="M93" s="4"/>
      <c r="N93" s="4"/>
      <c r="O93" s="4"/>
      <c r="P93" s="4"/>
      <c r="Q93" s="4"/>
      <c r="R93" s="4"/>
      <c r="S93" s="4"/>
      <c r="T93" s="4"/>
      <c r="U93" s="4"/>
      <c r="V93" s="4"/>
      <c r="W93" s="4"/>
      <c r="X93" s="4"/>
      <c r="Y93" s="4"/>
      <c r="Z93" s="4"/>
    </row>
    <row r="94" ht="14.25" customHeight="1">
      <c r="A94" s="4" t="str">
        <f t="shared" si="1"/>
        <v>Manufacturer Part Number</v>
      </c>
      <c r="B94" s="44" t="s">
        <v>57</v>
      </c>
      <c r="C94" s="45" t="s">
        <v>58</v>
      </c>
      <c r="D94" s="45" t="s">
        <v>136</v>
      </c>
      <c r="E94" s="45" t="s">
        <v>137</v>
      </c>
      <c r="F94" s="45" t="s">
        <v>138</v>
      </c>
      <c r="G94" s="45" t="s">
        <v>62</v>
      </c>
      <c r="H94" s="92" t="s">
        <v>139</v>
      </c>
      <c r="I94" s="46" t="s">
        <v>52</v>
      </c>
      <c r="J94" s="25"/>
      <c r="K94" s="45" t="s">
        <v>63</v>
      </c>
      <c r="L94" s="47"/>
      <c r="M94" s="47" t="s">
        <v>20</v>
      </c>
      <c r="R94" s="48" t="s">
        <v>64</v>
      </c>
      <c r="S94" s="49"/>
      <c r="T94" s="4"/>
      <c r="U94" s="4"/>
      <c r="V94" s="4"/>
      <c r="W94" s="4"/>
      <c r="X94" s="4"/>
      <c r="Y94" s="4"/>
      <c r="Z94" s="4"/>
    </row>
    <row r="95" ht="14.25" customHeight="1">
      <c r="A95" s="4" t="str">
        <f t="shared" si="1"/>
        <v> </v>
      </c>
      <c r="B95" s="59"/>
      <c r="C95" s="59"/>
      <c r="D95" s="57"/>
      <c r="E95" s="57"/>
      <c r="F95" s="93" t="str">
        <f t="shared" ref="F95:F104" si="7">IF(OR(ISBLANK(D95),ISBLANK(E95)), "", D95*E95)</f>
        <v/>
      </c>
      <c r="G95" s="57"/>
      <c r="H95" s="59"/>
      <c r="I95" s="41"/>
      <c r="J95" s="11"/>
      <c r="K95" s="58"/>
      <c r="L95" s="7" t="str">
        <f>IF(COUNTBLANK(B95:K95)=10,IncompleteText,IF(AND(COUNTBLANK(B95:K95)=1,G95&gt;=90),OKText,ErrorText))</f>
        <v>BLANK</v>
      </c>
      <c r="M95" s="41"/>
      <c r="N95" s="10"/>
      <c r="O95" s="10"/>
      <c r="P95" s="10"/>
      <c r="Q95" s="11"/>
      <c r="R95" s="55" t="s">
        <v>140</v>
      </c>
      <c r="S95" s="21"/>
      <c r="T95" s="4"/>
      <c r="U95" s="4"/>
      <c r="V95" s="4"/>
      <c r="W95" s="4"/>
      <c r="X95" s="4"/>
      <c r="Y95" s="4"/>
      <c r="Z95" s="4"/>
    </row>
    <row r="96" ht="14.25" customHeight="1">
      <c r="A96" s="4" t="str">
        <f t="shared" si="1"/>
        <v> </v>
      </c>
      <c r="B96" s="57"/>
      <c r="C96" s="59"/>
      <c r="D96" s="57"/>
      <c r="E96" s="57"/>
      <c r="F96" s="93" t="str">
        <f t="shared" si="7"/>
        <v/>
      </c>
      <c r="G96" s="57"/>
      <c r="H96" s="59"/>
      <c r="I96" s="41"/>
      <c r="J96" s="11"/>
      <c r="K96" s="58"/>
      <c r="L96" s="7" t="str">
        <f t="shared" ref="L96:L104" si="8">IF(COUNTBLANK(B96:K96)=10,"",IF(AND(COUNTBLANK(B96:K96)=1,G96&gt;=90),OKText,ErrorText))</f>
        <v/>
      </c>
      <c r="M96" s="41"/>
      <c r="N96" s="10"/>
      <c r="O96" s="10"/>
      <c r="P96" s="10"/>
      <c r="Q96" s="11"/>
      <c r="R96" s="22"/>
      <c r="S96" s="23"/>
      <c r="T96" s="4"/>
      <c r="U96" s="4"/>
      <c r="V96" s="4"/>
      <c r="W96" s="4"/>
      <c r="X96" s="4"/>
      <c r="Y96" s="4"/>
      <c r="Z96" s="4"/>
    </row>
    <row r="97" ht="14.25" customHeight="1">
      <c r="A97" s="4" t="str">
        <f t="shared" si="1"/>
        <v> </v>
      </c>
      <c r="B97" s="57"/>
      <c r="C97" s="59"/>
      <c r="D97" s="57"/>
      <c r="E97" s="57"/>
      <c r="F97" s="93" t="str">
        <f t="shared" si="7"/>
        <v/>
      </c>
      <c r="G97" s="57"/>
      <c r="H97" s="59"/>
      <c r="I97" s="41"/>
      <c r="J97" s="11"/>
      <c r="K97" s="58"/>
      <c r="L97" s="7" t="str">
        <f t="shared" si="8"/>
        <v/>
      </c>
      <c r="M97" s="41"/>
      <c r="N97" s="10"/>
      <c r="O97" s="10"/>
      <c r="P97" s="10"/>
      <c r="Q97" s="11"/>
      <c r="R97" s="22"/>
      <c r="S97" s="23"/>
      <c r="T97" s="4"/>
      <c r="U97" s="4"/>
      <c r="V97" s="4"/>
      <c r="W97" s="4"/>
      <c r="X97" s="4"/>
      <c r="Y97" s="4"/>
      <c r="Z97" s="4"/>
    </row>
    <row r="98" ht="14.25" customHeight="1">
      <c r="A98" s="4" t="str">
        <f t="shared" si="1"/>
        <v> </v>
      </c>
      <c r="B98" s="57"/>
      <c r="C98" s="59"/>
      <c r="D98" s="57"/>
      <c r="E98" s="57"/>
      <c r="F98" s="93" t="str">
        <f t="shared" si="7"/>
        <v/>
      </c>
      <c r="G98" s="57"/>
      <c r="H98" s="59"/>
      <c r="I98" s="41"/>
      <c r="J98" s="11"/>
      <c r="K98" s="58"/>
      <c r="L98" s="7" t="str">
        <f t="shared" si="8"/>
        <v/>
      </c>
      <c r="M98" s="41"/>
      <c r="N98" s="10"/>
      <c r="O98" s="10"/>
      <c r="P98" s="10"/>
      <c r="Q98" s="11"/>
      <c r="R98" s="22"/>
      <c r="S98" s="23"/>
      <c r="T98" s="4"/>
      <c r="U98" s="4"/>
      <c r="V98" s="4"/>
      <c r="W98" s="4"/>
      <c r="X98" s="4"/>
      <c r="Y98" s="4"/>
      <c r="Z98" s="4"/>
    </row>
    <row r="99" ht="14.25" customHeight="1">
      <c r="A99" s="4" t="str">
        <f t="shared" si="1"/>
        <v> </v>
      </c>
      <c r="B99" s="57"/>
      <c r="C99" s="59"/>
      <c r="D99" s="57"/>
      <c r="E99" s="57"/>
      <c r="F99" s="93" t="str">
        <f t="shared" si="7"/>
        <v/>
      </c>
      <c r="G99" s="57"/>
      <c r="H99" s="59"/>
      <c r="I99" s="41"/>
      <c r="J99" s="11"/>
      <c r="K99" s="58"/>
      <c r="L99" s="7" t="str">
        <f t="shared" si="8"/>
        <v/>
      </c>
      <c r="M99" s="41"/>
      <c r="N99" s="10"/>
      <c r="O99" s="10"/>
      <c r="P99" s="10"/>
      <c r="Q99" s="11"/>
      <c r="R99" s="22"/>
      <c r="S99" s="23"/>
      <c r="T99" s="4"/>
      <c r="U99" s="4"/>
      <c r="V99" s="4"/>
      <c r="W99" s="4"/>
      <c r="X99" s="4"/>
      <c r="Y99" s="4"/>
      <c r="Z99" s="4"/>
    </row>
    <row r="100" ht="14.25" customHeight="1">
      <c r="A100" s="4" t="str">
        <f t="shared" si="1"/>
        <v> </v>
      </c>
      <c r="B100" s="57"/>
      <c r="C100" s="59"/>
      <c r="D100" s="57"/>
      <c r="E100" s="57"/>
      <c r="F100" s="93" t="str">
        <f t="shared" si="7"/>
        <v/>
      </c>
      <c r="G100" s="57"/>
      <c r="H100" s="59"/>
      <c r="I100" s="41"/>
      <c r="J100" s="11"/>
      <c r="K100" s="58"/>
      <c r="L100" s="7" t="str">
        <f t="shared" si="8"/>
        <v/>
      </c>
      <c r="M100" s="41"/>
      <c r="N100" s="10"/>
      <c r="O100" s="10"/>
      <c r="P100" s="10"/>
      <c r="Q100" s="11"/>
      <c r="R100" s="22"/>
      <c r="S100" s="23"/>
      <c r="T100" s="4"/>
      <c r="U100" s="4"/>
      <c r="V100" s="4"/>
      <c r="W100" s="4"/>
      <c r="X100" s="4"/>
      <c r="Y100" s="4"/>
      <c r="Z100" s="4"/>
    </row>
    <row r="101" ht="14.25" customHeight="1">
      <c r="A101" s="4" t="str">
        <f t="shared" si="1"/>
        <v> </v>
      </c>
      <c r="B101" s="57"/>
      <c r="C101" s="59"/>
      <c r="D101" s="57"/>
      <c r="E101" s="57"/>
      <c r="F101" s="93" t="str">
        <f t="shared" si="7"/>
        <v/>
      </c>
      <c r="G101" s="57"/>
      <c r="H101" s="59"/>
      <c r="I101" s="41"/>
      <c r="J101" s="11"/>
      <c r="K101" s="58"/>
      <c r="L101" s="7" t="str">
        <f t="shared" si="8"/>
        <v/>
      </c>
      <c r="M101" s="41"/>
      <c r="N101" s="10"/>
      <c r="O101" s="10"/>
      <c r="P101" s="10"/>
      <c r="Q101" s="11"/>
      <c r="R101" s="22"/>
      <c r="S101" s="23"/>
      <c r="T101" s="4"/>
      <c r="U101" s="4"/>
      <c r="V101" s="4"/>
      <c r="W101" s="4"/>
      <c r="X101" s="4"/>
      <c r="Y101" s="4"/>
      <c r="Z101" s="4"/>
    </row>
    <row r="102" ht="14.25" customHeight="1">
      <c r="A102" s="4" t="str">
        <f t="shared" si="1"/>
        <v> </v>
      </c>
      <c r="B102" s="57"/>
      <c r="C102" s="59"/>
      <c r="D102" s="57"/>
      <c r="E102" s="57"/>
      <c r="F102" s="93" t="str">
        <f t="shared" si="7"/>
        <v/>
      </c>
      <c r="G102" s="57"/>
      <c r="H102" s="59"/>
      <c r="I102" s="41"/>
      <c r="J102" s="11"/>
      <c r="K102" s="58"/>
      <c r="L102" s="7" t="str">
        <f t="shared" si="8"/>
        <v/>
      </c>
      <c r="M102" s="41"/>
      <c r="N102" s="10"/>
      <c r="O102" s="10"/>
      <c r="P102" s="10"/>
      <c r="Q102" s="11"/>
      <c r="R102" s="22"/>
      <c r="S102" s="23"/>
      <c r="T102" s="4"/>
      <c r="U102" s="4"/>
      <c r="V102" s="4"/>
      <c r="W102" s="4"/>
      <c r="X102" s="4"/>
      <c r="Y102" s="4"/>
      <c r="Z102" s="4"/>
    </row>
    <row r="103" ht="14.25" customHeight="1">
      <c r="A103" s="4" t="str">
        <f t="shared" si="1"/>
        <v> </v>
      </c>
      <c r="B103" s="57"/>
      <c r="C103" s="59"/>
      <c r="D103" s="57"/>
      <c r="E103" s="57"/>
      <c r="F103" s="93" t="str">
        <f t="shared" si="7"/>
        <v/>
      </c>
      <c r="G103" s="57"/>
      <c r="H103" s="59"/>
      <c r="I103" s="41"/>
      <c r="J103" s="11"/>
      <c r="K103" s="58"/>
      <c r="L103" s="7" t="str">
        <f t="shared" si="8"/>
        <v/>
      </c>
      <c r="M103" s="41"/>
      <c r="N103" s="10"/>
      <c r="O103" s="10"/>
      <c r="P103" s="10"/>
      <c r="Q103" s="11"/>
      <c r="R103" s="22"/>
      <c r="S103" s="23"/>
      <c r="T103" s="4"/>
      <c r="U103" s="4"/>
      <c r="V103" s="4"/>
      <c r="W103" s="4"/>
      <c r="X103" s="4"/>
      <c r="Y103" s="4"/>
      <c r="Z103" s="4"/>
    </row>
    <row r="104" ht="14.25" customHeight="1">
      <c r="A104" s="4" t="str">
        <f t="shared" si="1"/>
        <v> </v>
      </c>
      <c r="B104" s="57"/>
      <c r="C104" s="59"/>
      <c r="D104" s="57"/>
      <c r="E104" s="57"/>
      <c r="F104" s="93" t="str">
        <f t="shared" si="7"/>
        <v/>
      </c>
      <c r="G104" s="57"/>
      <c r="H104" s="59"/>
      <c r="I104" s="41"/>
      <c r="J104" s="11"/>
      <c r="K104" s="58"/>
      <c r="L104" s="7" t="str">
        <f t="shared" si="8"/>
        <v/>
      </c>
      <c r="M104" s="41"/>
      <c r="N104" s="10"/>
      <c r="O104" s="10"/>
      <c r="P104" s="10"/>
      <c r="Q104" s="11"/>
      <c r="R104" s="24"/>
      <c r="S104" s="26"/>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97">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20:I20"/>
    <mergeCell ref="H21:I21"/>
    <mergeCell ref="H19:I19"/>
    <mergeCell ref="H22:I22"/>
    <mergeCell ref="L23:P23"/>
    <mergeCell ref="L24:P24"/>
    <mergeCell ref="H18:I18"/>
    <mergeCell ref="H23:I23"/>
    <mergeCell ref="H24:I24"/>
    <mergeCell ref="H25:I25"/>
    <mergeCell ref="H26:I26"/>
    <mergeCell ref="H27:I27"/>
    <mergeCell ref="H28:I28"/>
    <mergeCell ref="L25:P25"/>
    <mergeCell ref="L26:P26"/>
    <mergeCell ref="L27:P27"/>
    <mergeCell ref="L28:P28"/>
    <mergeCell ref="L29:P29"/>
    <mergeCell ref="L30:P30"/>
    <mergeCell ref="L31:P31"/>
    <mergeCell ref="L32:P32"/>
    <mergeCell ref="L33:P33"/>
    <mergeCell ref="L34:P34"/>
    <mergeCell ref="L43:P43"/>
    <mergeCell ref="L44:P44"/>
    <mergeCell ref="L45:P45"/>
    <mergeCell ref="L46:P46"/>
    <mergeCell ref="L18:P18"/>
    <mergeCell ref="Q18:R18"/>
    <mergeCell ref="L19:P19"/>
    <mergeCell ref="Q19:R37"/>
    <mergeCell ref="L20:P20"/>
    <mergeCell ref="L21:P21"/>
    <mergeCell ref="L22:P22"/>
    <mergeCell ref="L37:P37"/>
    <mergeCell ref="L47:P47"/>
    <mergeCell ref="L48:P48"/>
    <mergeCell ref="L49:P49"/>
    <mergeCell ref="L50:P50"/>
    <mergeCell ref="L35:P35"/>
    <mergeCell ref="L36:P36"/>
    <mergeCell ref="L40:P40"/>
    <mergeCell ref="Q40:R40"/>
    <mergeCell ref="L41:P41"/>
    <mergeCell ref="Q41:R52"/>
    <mergeCell ref="L42:P42"/>
    <mergeCell ref="O58:S58"/>
    <mergeCell ref="O59:S59"/>
    <mergeCell ref="O60:S60"/>
    <mergeCell ref="O61:S61"/>
    <mergeCell ref="L51:P51"/>
    <mergeCell ref="L52:P52"/>
    <mergeCell ref="O55:S55"/>
    <mergeCell ref="T55:U55"/>
    <mergeCell ref="O56:S56"/>
    <mergeCell ref="T56:U61"/>
    <mergeCell ref="O57:S57"/>
    <mergeCell ref="G77:H77"/>
    <mergeCell ref="G78:H78"/>
    <mergeCell ref="G79:H79"/>
    <mergeCell ref="G80:H80"/>
    <mergeCell ref="G81:H81"/>
    <mergeCell ref="G82:H82"/>
    <mergeCell ref="G83:H83"/>
    <mergeCell ref="G84:H84"/>
    <mergeCell ref="G85:H85"/>
    <mergeCell ref="G86:H86"/>
    <mergeCell ref="G87:H87"/>
    <mergeCell ref="G88:H88"/>
    <mergeCell ref="G89:H89"/>
    <mergeCell ref="G90:H90"/>
    <mergeCell ref="I99:J99"/>
    <mergeCell ref="I100:J100"/>
    <mergeCell ref="I101:J101"/>
    <mergeCell ref="I102:J102"/>
    <mergeCell ref="I103:J103"/>
    <mergeCell ref="I104:J104"/>
    <mergeCell ref="G91:H91"/>
    <mergeCell ref="B93:J93"/>
    <mergeCell ref="I94:J94"/>
    <mergeCell ref="I95:J95"/>
    <mergeCell ref="I96:J96"/>
    <mergeCell ref="I97:J97"/>
    <mergeCell ref="I98:J98"/>
    <mergeCell ref="H29:I29"/>
    <mergeCell ref="H30:I30"/>
    <mergeCell ref="H31:I31"/>
    <mergeCell ref="H32:I32"/>
    <mergeCell ref="H33:I33"/>
    <mergeCell ref="H34:I34"/>
    <mergeCell ref="H35:I35"/>
    <mergeCell ref="H36:I36"/>
    <mergeCell ref="H37:I37"/>
    <mergeCell ref="B39:I39"/>
    <mergeCell ref="H40:I40"/>
    <mergeCell ref="H41:I41"/>
    <mergeCell ref="H42:I42"/>
    <mergeCell ref="H43:I43"/>
    <mergeCell ref="H44:I44"/>
    <mergeCell ref="H45:I45"/>
    <mergeCell ref="H46:I46"/>
    <mergeCell ref="H47:I47"/>
    <mergeCell ref="H48:I48"/>
    <mergeCell ref="H49:I49"/>
    <mergeCell ref="H50:I50"/>
    <mergeCell ref="H51:I51"/>
    <mergeCell ref="H52:I52"/>
    <mergeCell ref="B54:L54"/>
    <mergeCell ref="H55:J55"/>
    <mergeCell ref="K55:L55"/>
    <mergeCell ref="H56:J56"/>
    <mergeCell ref="K56:L56"/>
    <mergeCell ref="H57:J57"/>
    <mergeCell ref="K57:L57"/>
    <mergeCell ref="H58:J58"/>
    <mergeCell ref="K58:L58"/>
    <mergeCell ref="H59:J59"/>
    <mergeCell ref="K59:L59"/>
    <mergeCell ref="K60:L60"/>
    <mergeCell ref="H60:J60"/>
    <mergeCell ref="H61:J61"/>
    <mergeCell ref="K61:L61"/>
    <mergeCell ref="B63:J63"/>
    <mergeCell ref="H64:I64"/>
    <mergeCell ref="H65:I65"/>
    <mergeCell ref="H67:I67"/>
    <mergeCell ref="H68:I68"/>
    <mergeCell ref="H69:I69"/>
    <mergeCell ref="B71:H71"/>
    <mergeCell ref="G72:H72"/>
    <mergeCell ref="G73:H73"/>
    <mergeCell ref="G74:H74"/>
    <mergeCell ref="G76:H76"/>
    <mergeCell ref="K88:O88"/>
    <mergeCell ref="K89:O89"/>
    <mergeCell ref="K90:O90"/>
    <mergeCell ref="K91:O91"/>
    <mergeCell ref="R94:S94"/>
    <mergeCell ref="L69:P69"/>
    <mergeCell ref="K72:O72"/>
    <mergeCell ref="P72:Q72"/>
    <mergeCell ref="K73:O73"/>
    <mergeCell ref="P73:Q91"/>
    <mergeCell ref="K74:O74"/>
    <mergeCell ref="K75:O75"/>
    <mergeCell ref="M100:Q100"/>
    <mergeCell ref="M101:Q101"/>
    <mergeCell ref="M102:Q102"/>
    <mergeCell ref="M103:Q103"/>
    <mergeCell ref="M94:Q94"/>
    <mergeCell ref="M95:Q95"/>
    <mergeCell ref="R95:S104"/>
    <mergeCell ref="M96:Q96"/>
    <mergeCell ref="M97:Q97"/>
    <mergeCell ref="M98:Q98"/>
    <mergeCell ref="M99:Q99"/>
    <mergeCell ref="M104:Q104"/>
    <mergeCell ref="L64:P64"/>
    <mergeCell ref="Q64:R64"/>
    <mergeCell ref="L65:P65"/>
    <mergeCell ref="Q65:R69"/>
    <mergeCell ref="L66:P66"/>
    <mergeCell ref="L67:P67"/>
    <mergeCell ref="L68:P68"/>
    <mergeCell ref="K76:O76"/>
    <mergeCell ref="K77:O77"/>
    <mergeCell ref="K78:O78"/>
    <mergeCell ref="K79:O79"/>
    <mergeCell ref="K80:O80"/>
    <mergeCell ref="K81:O81"/>
    <mergeCell ref="K82:O82"/>
    <mergeCell ref="K83:O83"/>
    <mergeCell ref="K84:O84"/>
    <mergeCell ref="K85:O85"/>
    <mergeCell ref="K86:O86"/>
    <mergeCell ref="K87:O87"/>
  </mergeCells>
  <dataValidations>
    <dataValidation type="custom" allowBlank="1" showErrorMessage="1" sqref="J37">
      <formula1>COUNTIF(J37,"ts*")+COUNTIF(J37,"glv*")</formula1>
    </dataValidation>
    <dataValidation type="list" allowBlank="1" showErrorMessage="1" sqref="E41:E52">
      <formula1>"AC,DC"</formula1>
    </dataValidation>
    <dataValidation type="list" allowBlank="1" showErrorMessage="1" sqref="G65:G69">
      <formula1>"NO,NC"</formula1>
    </dataValidation>
  </dataValidations>
  <hyperlinks>
    <hyperlink r:id="rId1" ref="D13"/>
    <hyperlink r:id="rId2" ref="D14"/>
    <hyperlink r:id="rId3" ref="H19"/>
    <hyperlink r:id="rId4" ref="H41"/>
    <hyperlink r:id="rId5" ref="H42"/>
    <hyperlink r:id="rId6" ref="H43"/>
    <hyperlink r:id="rId7" ref="K56"/>
    <hyperlink r:id="rId8" ref="K57"/>
    <hyperlink r:id="rId9" ref="H65"/>
    <hyperlink r:id="rId10" ref="H66"/>
    <hyperlink r:id="rId11" ref="G73"/>
    <hyperlink r:id="rId12" ref="G74"/>
    <hyperlink r:id="rId13" ref="G75"/>
  </hyperlinks>
  <printOptions/>
  <pageMargins bottom="0.75" footer="0.0" header="0.0" left="0.7" right="0.7" top="0.75"/>
  <pageSetup orientation="portrait"/>
  <headerFooter>
    <oddFooter>&amp;R#FF0000Public</oddFooter>
  </headerFooter>
  <drawing r:id="rId1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4" width="8.67"/>
    <col customWidth="1" min="5" max="5" width="9.11"/>
    <col customWidth="1" min="6" max="31" width="8.67"/>
  </cols>
  <sheetData>
    <row r="1" ht="14.25" customHeight="1">
      <c r="A1" s="8" t="s">
        <v>1</v>
      </c>
      <c r="B1" s="7" t="str">
        <f t="array" ref="B1">IF(SUM(COUNTIF(INDIRECT({"'TS Schematics'!$K$28","'TS Schematics'!$W$28","'TS Schematics'!$K$46"}), "="&amp;IncompleteText)), IncompleteText, IF(SUM(COUNTIF(INDIRECT({"'TS Schematics'!$K$28","'TS Schematics'!$W$28","'TS Schematics'!$K$46"}), "="&amp;ErrorText)), ErrorText, OKText))</f>
        <v>OK</v>
      </c>
      <c r="C1" s="4"/>
      <c r="D1" s="4"/>
      <c r="E1" s="4"/>
      <c r="F1" s="4"/>
      <c r="G1" s="4"/>
      <c r="H1" s="4"/>
      <c r="I1" s="4"/>
      <c r="J1" s="4"/>
      <c r="K1" s="4"/>
      <c r="L1" s="4"/>
      <c r="M1" s="4"/>
      <c r="N1" s="4"/>
      <c r="O1" s="4"/>
      <c r="P1" s="4"/>
      <c r="Q1" s="4"/>
      <c r="R1" s="4"/>
      <c r="S1" s="4"/>
      <c r="T1" s="4"/>
      <c r="U1" s="4"/>
      <c r="V1" s="4"/>
      <c r="W1" s="4"/>
      <c r="X1" s="4"/>
      <c r="Y1" s="4"/>
      <c r="Z1" s="4"/>
      <c r="AA1" s="4"/>
      <c r="AB1" s="4"/>
      <c r="AC1" s="4"/>
      <c r="AD1" s="4"/>
      <c r="AE1" s="4"/>
    </row>
    <row r="2" ht="14.25" customHeight="1">
      <c r="A2" s="94" t="s">
        <v>141</v>
      </c>
      <c r="B2" s="20"/>
      <c r="C2" s="20"/>
      <c r="D2" s="20"/>
      <c r="E2" s="20"/>
      <c r="F2" s="20"/>
      <c r="G2" s="20"/>
      <c r="H2" s="20"/>
      <c r="I2" s="20"/>
      <c r="J2" s="20"/>
      <c r="K2" s="21"/>
      <c r="L2" s="4"/>
      <c r="M2" s="94" t="s">
        <v>142</v>
      </c>
      <c r="N2" s="20"/>
      <c r="O2" s="20"/>
      <c r="P2" s="20"/>
      <c r="Q2" s="20"/>
      <c r="R2" s="20"/>
      <c r="S2" s="20"/>
      <c r="T2" s="20"/>
      <c r="U2" s="20"/>
      <c r="V2" s="20"/>
      <c r="W2" s="21"/>
      <c r="X2" s="4"/>
      <c r="Y2" s="1" t="s">
        <v>20</v>
      </c>
      <c r="Z2" s="2"/>
      <c r="AA2" s="2"/>
      <c r="AB2" s="2"/>
      <c r="AC2" s="2"/>
      <c r="AD2" s="2"/>
      <c r="AE2" s="3"/>
    </row>
    <row r="3" ht="14.25" customHeight="1">
      <c r="A3" s="22"/>
      <c r="K3" s="23"/>
      <c r="L3" s="4"/>
      <c r="M3" s="22"/>
      <c r="W3" s="23"/>
      <c r="X3" s="4"/>
      <c r="Y3" s="95"/>
      <c r="Z3" s="20"/>
      <c r="AA3" s="20"/>
      <c r="AB3" s="20"/>
      <c r="AC3" s="20"/>
      <c r="AD3" s="20"/>
      <c r="AE3" s="96"/>
    </row>
    <row r="4" ht="14.25" customHeight="1">
      <c r="A4" s="22"/>
      <c r="K4" s="23"/>
      <c r="L4" s="4"/>
      <c r="M4" s="22"/>
      <c r="W4" s="23"/>
      <c r="X4" s="4"/>
      <c r="Y4" s="97"/>
      <c r="AE4" s="98"/>
    </row>
    <row r="5" ht="14.25" customHeight="1">
      <c r="A5" s="22"/>
      <c r="K5" s="23"/>
      <c r="L5" s="4"/>
      <c r="M5" s="22"/>
      <c r="W5" s="23"/>
      <c r="X5" s="4"/>
      <c r="Y5" s="97"/>
      <c r="AE5" s="98"/>
    </row>
    <row r="6" ht="14.25" customHeight="1">
      <c r="A6" s="22"/>
      <c r="K6" s="23"/>
      <c r="L6" s="4"/>
      <c r="M6" s="22"/>
      <c r="W6" s="23"/>
      <c r="X6" s="4"/>
      <c r="Y6" s="97"/>
      <c r="AE6" s="98"/>
    </row>
    <row r="7" ht="14.25" customHeight="1">
      <c r="A7" s="22"/>
      <c r="K7" s="23"/>
      <c r="L7" s="4"/>
      <c r="M7" s="22"/>
      <c r="W7" s="23"/>
      <c r="X7" s="4"/>
      <c r="Y7" s="97"/>
      <c r="AE7" s="98"/>
    </row>
    <row r="8" ht="14.25" customHeight="1">
      <c r="A8" s="22"/>
      <c r="K8" s="23"/>
      <c r="L8" s="4"/>
      <c r="M8" s="22"/>
      <c r="W8" s="23"/>
      <c r="X8" s="4"/>
      <c r="Y8" s="97"/>
      <c r="AE8" s="98"/>
    </row>
    <row r="9" ht="14.25" customHeight="1">
      <c r="A9" s="22"/>
      <c r="K9" s="23"/>
      <c r="L9" s="4"/>
      <c r="M9" s="22"/>
      <c r="W9" s="23"/>
      <c r="X9" s="4"/>
      <c r="Y9" s="97"/>
      <c r="AE9" s="98"/>
    </row>
    <row r="10" ht="14.25" customHeight="1">
      <c r="A10" s="22"/>
      <c r="K10" s="23"/>
      <c r="L10" s="4"/>
      <c r="M10" s="22"/>
      <c r="W10" s="23"/>
      <c r="X10" s="4"/>
      <c r="Y10" s="97"/>
      <c r="AE10" s="98"/>
    </row>
    <row r="11" ht="14.25" customHeight="1">
      <c r="A11" s="22"/>
      <c r="K11" s="23"/>
      <c r="L11" s="4"/>
      <c r="M11" s="22"/>
      <c r="W11" s="23"/>
      <c r="X11" s="4"/>
      <c r="Y11" s="97"/>
      <c r="AE11" s="98"/>
    </row>
    <row r="12" ht="14.25" customHeight="1">
      <c r="A12" s="22"/>
      <c r="K12" s="23"/>
      <c r="L12" s="4"/>
      <c r="M12" s="22"/>
      <c r="W12" s="23"/>
      <c r="X12" s="4"/>
      <c r="Y12" s="97"/>
      <c r="AE12" s="98"/>
    </row>
    <row r="13" ht="14.25" customHeight="1">
      <c r="A13" s="22"/>
      <c r="K13" s="23"/>
      <c r="L13" s="4"/>
      <c r="M13" s="22"/>
      <c r="W13" s="23"/>
      <c r="X13" s="4"/>
      <c r="Y13" s="97"/>
      <c r="AE13" s="98"/>
    </row>
    <row r="14" ht="14.25" customHeight="1">
      <c r="A14" s="22"/>
      <c r="K14" s="23"/>
      <c r="L14" s="4"/>
      <c r="M14" s="22"/>
      <c r="W14" s="23"/>
      <c r="X14" s="4"/>
      <c r="Y14" s="97"/>
      <c r="AE14" s="98"/>
    </row>
    <row r="15" ht="14.25" customHeight="1">
      <c r="A15" s="22"/>
      <c r="K15" s="23"/>
      <c r="L15" s="4"/>
      <c r="M15" s="22"/>
      <c r="W15" s="23"/>
      <c r="X15" s="4"/>
      <c r="Y15" s="97"/>
      <c r="AE15" s="98"/>
    </row>
    <row r="16" ht="14.25" customHeight="1">
      <c r="A16" s="22"/>
      <c r="K16" s="23"/>
      <c r="L16" s="4"/>
      <c r="M16" s="22"/>
      <c r="W16" s="23"/>
      <c r="X16" s="4"/>
      <c r="Y16" s="97"/>
      <c r="AE16" s="98"/>
    </row>
    <row r="17" ht="14.25" customHeight="1">
      <c r="A17" s="22"/>
      <c r="K17" s="23"/>
      <c r="L17" s="4"/>
      <c r="M17" s="22"/>
      <c r="W17" s="23"/>
      <c r="X17" s="4"/>
      <c r="Y17" s="97"/>
      <c r="AE17" s="98"/>
    </row>
    <row r="18" ht="14.25" customHeight="1">
      <c r="A18" s="22"/>
      <c r="K18" s="23"/>
      <c r="L18" s="4"/>
      <c r="M18" s="22"/>
      <c r="W18" s="23"/>
      <c r="X18" s="4"/>
      <c r="Y18" s="97"/>
      <c r="AE18" s="98"/>
    </row>
    <row r="19" ht="14.25" customHeight="1">
      <c r="A19" s="22"/>
      <c r="K19" s="23"/>
      <c r="L19" s="4"/>
      <c r="M19" s="22"/>
      <c r="W19" s="23"/>
      <c r="X19" s="4"/>
      <c r="Y19" s="97"/>
      <c r="AE19" s="98"/>
    </row>
    <row r="20" ht="14.25" customHeight="1">
      <c r="A20" s="22"/>
      <c r="K20" s="23"/>
      <c r="L20" s="4"/>
      <c r="M20" s="22"/>
      <c r="W20" s="23"/>
      <c r="X20" s="4"/>
      <c r="Y20" s="97"/>
      <c r="AE20" s="98"/>
    </row>
    <row r="21" ht="14.25" customHeight="1">
      <c r="A21" s="22"/>
      <c r="K21" s="23"/>
      <c r="L21" s="4"/>
      <c r="M21" s="22"/>
      <c r="W21" s="23"/>
      <c r="X21" s="4"/>
      <c r="Y21" s="97"/>
      <c r="AE21" s="98"/>
    </row>
    <row r="22" ht="14.25" customHeight="1">
      <c r="A22" s="22"/>
      <c r="K22" s="23"/>
      <c r="L22" s="4"/>
      <c r="M22" s="22"/>
      <c r="W22" s="23"/>
      <c r="X22" s="4"/>
      <c r="Y22" s="97"/>
      <c r="AE22" s="98"/>
    </row>
    <row r="23" ht="14.25" customHeight="1">
      <c r="A23" s="22"/>
      <c r="K23" s="23"/>
      <c r="L23" s="4"/>
      <c r="M23" s="22"/>
      <c r="W23" s="23"/>
      <c r="X23" s="4"/>
      <c r="Y23" s="97"/>
      <c r="AE23" s="98"/>
    </row>
    <row r="24" ht="14.25" customHeight="1">
      <c r="A24" s="22"/>
      <c r="K24" s="23"/>
      <c r="L24" s="4"/>
      <c r="M24" s="22"/>
      <c r="W24" s="23"/>
      <c r="X24" s="4"/>
      <c r="Y24" s="97"/>
      <c r="AE24" s="98"/>
    </row>
    <row r="25" ht="14.25" customHeight="1">
      <c r="A25" s="22"/>
      <c r="K25" s="23"/>
      <c r="L25" s="4"/>
      <c r="M25" s="22"/>
      <c r="W25" s="23"/>
      <c r="X25" s="4"/>
      <c r="Y25" s="97"/>
      <c r="AE25" s="98"/>
    </row>
    <row r="26" ht="14.25" customHeight="1">
      <c r="A26" s="22"/>
      <c r="K26" s="23"/>
      <c r="L26" s="4"/>
      <c r="M26" s="22"/>
      <c r="W26" s="23"/>
      <c r="X26" s="4"/>
      <c r="Y26" s="97"/>
      <c r="AE26" s="98"/>
    </row>
    <row r="27" ht="14.25" customHeight="1">
      <c r="A27" s="24"/>
      <c r="B27" s="25"/>
      <c r="C27" s="25"/>
      <c r="D27" s="25"/>
      <c r="E27" s="25"/>
      <c r="F27" s="25"/>
      <c r="G27" s="25"/>
      <c r="H27" s="25"/>
      <c r="I27" s="25"/>
      <c r="J27" s="25"/>
      <c r="K27" s="26"/>
      <c r="L27" s="4"/>
      <c r="M27" s="24"/>
      <c r="N27" s="25"/>
      <c r="O27" s="25"/>
      <c r="P27" s="25"/>
      <c r="Q27" s="25"/>
      <c r="R27" s="25"/>
      <c r="S27" s="25"/>
      <c r="T27" s="25"/>
      <c r="U27" s="25"/>
      <c r="V27" s="25"/>
      <c r="W27" s="26"/>
      <c r="X27" s="4"/>
      <c r="Y27" s="99"/>
      <c r="Z27" s="100"/>
      <c r="AA27" s="100"/>
      <c r="AB27" s="100"/>
      <c r="AC27" s="100"/>
      <c r="AD27" s="100"/>
      <c r="AE27" s="101"/>
    </row>
    <row r="28" ht="14.25" customHeight="1">
      <c r="A28" s="1" t="s">
        <v>143</v>
      </c>
      <c r="B28" s="2"/>
      <c r="C28" s="2"/>
      <c r="D28" s="2"/>
      <c r="E28" s="2"/>
      <c r="F28" s="2"/>
      <c r="G28" s="2"/>
      <c r="H28" s="2"/>
      <c r="I28" s="2"/>
      <c r="J28" s="3"/>
      <c r="K28" s="102" t="str">
        <f>IF(COUNTIF(K30:K43, "="&amp;IncompleteText), IncompleteText, IF(COUNTIF(K30:K43, "="&amp;ErrorText), ErrorText, OKText))</f>
        <v>OK</v>
      </c>
      <c r="L28" s="4"/>
      <c r="M28" s="1" t="s">
        <v>144</v>
      </c>
      <c r="N28" s="2"/>
      <c r="O28" s="2"/>
      <c r="P28" s="2"/>
      <c r="Q28" s="2"/>
      <c r="R28" s="2"/>
      <c r="S28" s="2"/>
      <c r="T28" s="2"/>
      <c r="U28" s="2"/>
      <c r="V28" s="3"/>
      <c r="W28" s="102" t="str">
        <f>IF(COUNTIF(W30:W41, "="&amp;IncompleteText), IncompleteText, IF(COUNTIF(W30:W41, "="&amp;ErrorText), ErrorText, OKText))</f>
        <v>OK</v>
      </c>
      <c r="X28" s="4"/>
      <c r="Y28" s="4"/>
      <c r="Z28" s="4"/>
      <c r="AA28" s="4"/>
      <c r="AB28" s="4"/>
      <c r="AC28" s="4"/>
      <c r="AD28" s="4"/>
      <c r="AE28" s="4"/>
    </row>
    <row r="29" ht="14.25" customHeight="1">
      <c r="A29" s="103" t="s">
        <v>64</v>
      </c>
      <c r="B29" s="104"/>
      <c r="C29" s="43"/>
      <c r="D29" s="43"/>
      <c r="E29" s="43"/>
      <c r="F29" s="43"/>
      <c r="G29" s="43"/>
      <c r="H29" s="43"/>
      <c r="I29" s="43"/>
      <c r="J29" s="43"/>
      <c r="K29" s="105"/>
      <c r="L29" s="4"/>
      <c r="M29" s="103" t="s">
        <v>64</v>
      </c>
      <c r="N29" s="104"/>
      <c r="O29" s="43"/>
      <c r="P29" s="43"/>
      <c r="Q29" s="43"/>
      <c r="R29" s="43"/>
      <c r="S29" s="43"/>
      <c r="T29" s="43"/>
      <c r="U29" s="43"/>
      <c r="V29" s="43"/>
      <c r="W29" s="105"/>
      <c r="X29" s="4"/>
      <c r="Y29" s="4"/>
      <c r="Z29" s="4"/>
      <c r="AA29" s="4"/>
      <c r="AB29" s="4"/>
      <c r="AC29" s="4"/>
      <c r="AD29" s="4"/>
      <c r="AE29" s="4"/>
    </row>
    <row r="30" ht="14.25" customHeight="1">
      <c r="A30" s="106"/>
      <c r="B30" s="107"/>
      <c r="C30" s="8" t="s">
        <v>145</v>
      </c>
      <c r="I30" s="23"/>
      <c r="J30" s="50" t="b">
        <v>1</v>
      </c>
      <c r="K30" s="7" t="str">
        <f t="shared" ref="K30:K43" si="1">IF(ISBLANK(J30),IncompleteText, IF(J30, OKText, ErrorText))</f>
        <v>OK</v>
      </c>
      <c r="L30" s="4"/>
      <c r="M30" s="106"/>
      <c r="N30" s="107"/>
      <c r="O30" s="8" t="s">
        <v>146</v>
      </c>
      <c r="U30" s="23"/>
      <c r="V30" s="50" t="b">
        <v>1</v>
      </c>
      <c r="W30" s="7" t="str">
        <f t="shared" ref="W30:W41" si="2">IF(ISBLANK(V30),IncompleteText, IF(V30, OKText, ErrorText))</f>
        <v>OK</v>
      </c>
      <c r="X30" s="4"/>
      <c r="Y30" s="4"/>
      <c r="Z30" s="4"/>
      <c r="AA30" s="4"/>
      <c r="AB30" s="4"/>
      <c r="AC30" s="4"/>
      <c r="AD30" s="4"/>
      <c r="AE30" s="4"/>
    </row>
    <row r="31" ht="14.25" customHeight="1">
      <c r="A31" s="108"/>
      <c r="C31" s="8" t="s">
        <v>147</v>
      </c>
      <c r="I31" s="23"/>
      <c r="J31" s="50" t="b">
        <v>1</v>
      </c>
      <c r="K31" s="7" t="str">
        <f t="shared" si="1"/>
        <v>OK</v>
      </c>
      <c r="L31" s="4"/>
      <c r="M31" s="108"/>
      <c r="O31" s="8" t="s">
        <v>148</v>
      </c>
      <c r="U31" s="23"/>
      <c r="V31" s="50" t="b">
        <v>1</v>
      </c>
      <c r="W31" s="7" t="str">
        <f t="shared" si="2"/>
        <v>OK</v>
      </c>
      <c r="X31" s="4"/>
      <c r="Y31" s="4"/>
      <c r="Z31" s="4"/>
      <c r="AA31" s="4"/>
      <c r="AB31" s="4"/>
      <c r="AC31" s="4"/>
      <c r="AD31" s="4"/>
      <c r="AE31" s="4"/>
    </row>
    <row r="32" ht="14.25" customHeight="1">
      <c r="A32" s="108"/>
      <c r="C32" s="8" t="s">
        <v>148</v>
      </c>
      <c r="I32" s="23"/>
      <c r="J32" s="50" t="b">
        <v>1</v>
      </c>
      <c r="K32" s="7" t="str">
        <f t="shared" si="1"/>
        <v>OK</v>
      </c>
      <c r="L32" s="4"/>
      <c r="M32" s="108"/>
      <c r="O32" s="8" t="s">
        <v>149</v>
      </c>
      <c r="U32" s="23"/>
      <c r="V32" s="50" t="b">
        <v>1</v>
      </c>
      <c r="W32" s="7" t="str">
        <f t="shared" si="2"/>
        <v>OK</v>
      </c>
      <c r="X32" s="4"/>
      <c r="Y32" s="4"/>
      <c r="Z32" s="4"/>
      <c r="AA32" s="4"/>
      <c r="AB32" s="4"/>
      <c r="AC32" s="4"/>
      <c r="AD32" s="4"/>
      <c r="AE32" s="4"/>
    </row>
    <row r="33" ht="14.25" customHeight="1">
      <c r="A33" s="108"/>
      <c r="C33" s="8" t="s">
        <v>149</v>
      </c>
      <c r="I33" s="23"/>
      <c r="J33" s="50" t="b">
        <v>1</v>
      </c>
      <c r="K33" s="7" t="str">
        <f t="shared" si="1"/>
        <v>OK</v>
      </c>
      <c r="L33" s="4"/>
      <c r="M33" s="108"/>
      <c r="O33" s="8" t="s">
        <v>150</v>
      </c>
      <c r="U33" s="23"/>
      <c r="V33" s="50" t="b">
        <v>1</v>
      </c>
      <c r="W33" s="7" t="str">
        <f t="shared" si="2"/>
        <v>OK</v>
      </c>
      <c r="X33" s="4"/>
      <c r="Y33" s="4"/>
      <c r="Z33" s="4"/>
      <c r="AA33" s="4"/>
      <c r="AB33" s="4"/>
      <c r="AC33" s="4"/>
      <c r="AD33" s="4"/>
      <c r="AE33" s="4"/>
    </row>
    <row r="34" ht="14.25" customHeight="1">
      <c r="A34" s="108"/>
      <c r="C34" s="8" t="s">
        <v>150</v>
      </c>
      <c r="I34" s="23"/>
      <c r="J34" s="50" t="b">
        <v>1</v>
      </c>
      <c r="K34" s="7" t="str">
        <f t="shared" si="1"/>
        <v>OK</v>
      </c>
      <c r="L34" s="4"/>
      <c r="M34" s="47"/>
      <c r="O34" s="8" t="s">
        <v>151</v>
      </c>
      <c r="U34" s="23"/>
      <c r="V34" s="50" t="b">
        <v>1</v>
      </c>
      <c r="W34" s="7" t="str">
        <f t="shared" si="2"/>
        <v>OK</v>
      </c>
      <c r="X34" s="4"/>
      <c r="Y34" s="4"/>
      <c r="Z34" s="4"/>
      <c r="AA34" s="4"/>
      <c r="AB34" s="4"/>
      <c r="AC34" s="4"/>
      <c r="AD34" s="4"/>
      <c r="AE34" s="4"/>
    </row>
    <row r="35" ht="14.25" customHeight="1">
      <c r="A35" s="108"/>
      <c r="C35" s="8" t="s">
        <v>151</v>
      </c>
      <c r="I35" s="23"/>
      <c r="J35" s="50" t="b">
        <v>1</v>
      </c>
      <c r="K35" s="7" t="str">
        <f t="shared" si="1"/>
        <v>OK</v>
      </c>
      <c r="L35" s="4"/>
      <c r="M35" s="108"/>
      <c r="O35" s="8" t="s">
        <v>152</v>
      </c>
      <c r="U35" s="23"/>
      <c r="V35" s="50" t="b">
        <v>1</v>
      </c>
      <c r="W35" s="7" t="str">
        <f t="shared" si="2"/>
        <v>OK</v>
      </c>
      <c r="X35" s="4"/>
      <c r="Y35" s="4"/>
      <c r="Z35" s="4"/>
      <c r="AA35" s="4"/>
      <c r="AB35" s="4"/>
      <c r="AC35" s="4"/>
      <c r="AD35" s="4"/>
      <c r="AE35" s="4"/>
    </row>
    <row r="36" ht="14.25" customHeight="1">
      <c r="A36" s="108"/>
      <c r="C36" s="8" t="s">
        <v>153</v>
      </c>
      <c r="I36" s="23"/>
      <c r="J36" s="50" t="b">
        <v>1</v>
      </c>
      <c r="K36" s="7" t="str">
        <f t="shared" si="1"/>
        <v>OK</v>
      </c>
      <c r="L36" s="4"/>
      <c r="M36" s="108"/>
      <c r="O36" s="8" t="s">
        <v>154</v>
      </c>
      <c r="U36" s="23"/>
      <c r="V36" s="50" t="b">
        <v>1</v>
      </c>
      <c r="W36" s="7" t="str">
        <f t="shared" si="2"/>
        <v>OK</v>
      </c>
      <c r="X36" s="4"/>
      <c r="Y36" s="4"/>
      <c r="Z36" s="4"/>
      <c r="AA36" s="4"/>
      <c r="AB36" s="4"/>
      <c r="AC36" s="4"/>
      <c r="AD36" s="4"/>
      <c r="AE36" s="4"/>
    </row>
    <row r="37" ht="14.25" customHeight="1">
      <c r="A37" s="108"/>
      <c r="C37" s="8" t="s">
        <v>152</v>
      </c>
      <c r="I37" s="23"/>
      <c r="J37" s="50" t="b">
        <v>1</v>
      </c>
      <c r="K37" s="7" t="str">
        <f t="shared" si="1"/>
        <v>OK</v>
      </c>
      <c r="L37" s="4"/>
      <c r="M37" s="108"/>
      <c r="O37" s="8" t="s">
        <v>155</v>
      </c>
      <c r="U37" s="23"/>
      <c r="V37" s="50" t="b">
        <v>1</v>
      </c>
      <c r="W37" s="7" t="str">
        <f t="shared" si="2"/>
        <v>OK</v>
      </c>
      <c r="X37" s="4"/>
      <c r="Y37" s="4"/>
      <c r="Z37" s="4"/>
      <c r="AA37" s="4"/>
      <c r="AB37" s="4"/>
      <c r="AC37" s="4"/>
      <c r="AD37" s="4"/>
      <c r="AE37" s="4"/>
    </row>
    <row r="38" ht="14.25" customHeight="1">
      <c r="A38" s="108"/>
      <c r="C38" s="8" t="s">
        <v>154</v>
      </c>
      <c r="I38" s="23"/>
      <c r="J38" s="50" t="b">
        <v>1</v>
      </c>
      <c r="K38" s="7" t="str">
        <f t="shared" si="1"/>
        <v>OK</v>
      </c>
      <c r="L38" s="4"/>
      <c r="M38" s="108" t="s">
        <v>156</v>
      </c>
      <c r="O38" s="8" t="s">
        <v>157</v>
      </c>
      <c r="U38" s="23"/>
      <c r="V38" s="50" t="b">
        <v>1</v>
      </c>
      <c r="W38" s="7" t="str">
        <f t="shared" si="2"/>
        <v>OK</v>
      </c>
      <c r="X38" s="4"/>
      <c r="Y38" s="4"/>
      <c r="Z38" s="4"/>
      <c r="AA38" s="4"/>
      <c r="AB38" s="4"/>
      <c r="AC38" s="4"/>
      <c r="AD38" s="4"/>
      <c r="AE38" s="4"/>
    </row>
    <row r="39" ht="14.25" customHeight="1">
      <c r="A39" s="108"/>
      <c r="C39" s="8" t="s">
        <v>155</v>
      </c>
      <c r="I39" s="23"/>
      <c r="J39" s="50" t="b">
        <v>1</v>
      </c>
      <c r="K39" s="7" t="str">
        <f t="shared" si="1"/>
        <v>OK</v>
      </c>
      <c r="L39" s="4"/>
      <c r="M39" s="108" t="s">
        <v>158</v>
      </c>
      <c r="O39" s="8" t="s">
        <v>159</v>
      </c>
      <c r="U39" s="23"/>
      <c r="V39" s="50" t="b">
        <v>1</v>
      </c>
      <c r="W39" s="7" t="str">
        <f t="shared" si="2"/>
        <v>OK</v>
      </c>
      <c r="X39" s="4"/>
      <c r="Y39" s="4"/>
      <c r="Z39" s="4"/>
      <c r="AA39" s="4"/>
      <c r="AB39" s="4"/>
      <c r="AC39" s="4"/>
      <c r="AD39" s="4"/>
      <c r="AE39" s="4"/>
    </row>
    <row r="40" ht="14.25" customHeight="1">
      <c r="A40" s="108" t="s">
        <v>160</v>
      </c>
      <c r="C40" s="8" t="s">
        <v>161</v>
      </c>
      <c r="I40" s="23"/>
      <c r="J40" s="50" t="b">
        <v>1</v>
      </c>
      <c r="K40" s="7" t="str">
        <f t="shared" si="1"/>
        <v>OK</v>
      </c>
      <c r="L40" s="4"/>
      <c r="M40" s="108"/>
      <c r="O40" s="8" t="s">
        <v>162</v>
      </c>
      <c r="U40" s="23"/>
      <c r="V40" s="50" t="b">
        <v>1</v>
      </c>
      <c r="W40" s="7" t="str">
        <f t="shared" si="2"/>
        <v>OK</v>
      </c>
      <c r="X40" s="4"/>
      <c r="Y40" s="4"/>
      <c r="Z40" s="4"/>
      <c r="AA40" s="4"/>
      <c r="AB40" s="4"/>
      <c r="AC40" s="4"/>
      <c r="AD40" s="4"/>
      <c r="AE40" s="4"/>
    </row>
    <row r="41" ht="14.25" customHeight="1">
      <c r="A41" s="108"/>
      <c r="C41" s="8" t="s">
        <v>163</v>
      </c>
      <c r="I41" s="23"/>
      <c r="J41" s="50" t="b">
        <v>1</v>
      </c>
      <c r="K41" s="7" t="str">
        <f t="shared" si="1"/>
        <v>OK</v>
      </c>
      <c r="L41" s="4"/>
      <c r="M41" s="108"/>
      <c r="O41" s="8" t="s">
        <v>164</v>
      </c>
      <c r="U41" s="23"/>
      <c r="V41" s="50" t="b">
        <v>1</v>
      </c>
      <c r="W41" s="7" t="str">
        <f t="shared" si="2"/>
        <v>OK</v>
      </c>
      <c r="X41" s="4"/>
      <c r="Y41" s="4"/>
      <c r="Z41" s="4"/>
      <c r="AA41" s="4"/>
      <c r="AB41" s="4"/>
      <c r="AC41" s="4"/>
      <c r="AD41" s="4"/>
      <c r="AE41" s="4"/>
    </row>
    <row r="42" ht="14.25" customHeight="1">
      <c r="A42" s="108"/>
      <c r="C42" s="8" t="s">
        <v>165</v>
      </c>
      <c r="I42" s="23"/>
      <c r="J42" s="50" t="b">
        <v>1</v>
      </c>
      <c r="K42" s="7" t="str">
        <f t="shared" si="1"/>
        <v>OK</v>
      </c>
      <c r="L42" s="4"/>
      <c r="M42" s="4"/>
      <c r="N42" s="4"/>
      <c r="O42" s="4"/>
      <c r="P42" s="4"/>
      <c r="Q42" s="4"/>
      <c r="R42" s="4"/>
      <c r="S42" s="4"/>
      <c r="T42" s="4"/>
      <c r="U42" s="4"/>
      <c r="V42" s="4"/>
      <c r="W42" s="4"/>
      <c r="X42" s="4"/>
      <c r="Y42" s="4"/>
      <c r="Z42" s="4"/>
      <c r="AA42" s="4"/>
      <c r="AB42" s="4"/>
      <c r="AC42" s="4"/>
      <c r="AD42" s="4"/>
      <c r="AE42" s="4"/>
    </row>
    <row r="43" ht="14.25" customHeight="1">
      <c r="A43" s="108" t="s">
        <v>166</v>
      </c>
      <c r="C43" s="8" t="s">
        <v>167</v>
      </c>
      <c r="I43" s="23"/>
      <c r="J43" s="50" t="b">
        <v>1</v>
      </c>
      <c r="K43" s="7" t="str">
        <f t="shared" si="1"/>
        <v>OK</v>
      </c>
      <c r="L43" s="4"/>
      <c r="M43" s="4"/>
      <c r="N43" s="4"/>
      <c r="O43" s="4"/>
      <c r="P43" s="4"/>
      <c r="Q43" s="4"/>
      <c r="R43" s="4"/>
      <c r="S43" s="4"/>
      <c r="T43" s="4"/>
      <c r="U43" s="4"/>
      <c r="V43" s="4"/>
      <c r="W43" s="4"/>
      <c r="X43" s="4"/>
      <c r="Y43" s="4"/>
      <c r="Z43" s="4"/>
      <c r="AA43" s="4"/>
      <c r="AB43" s="4"/>
      <c r="AC43" s="4"/>
      <c r="AD43" s="4"/>
      <c r="AE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row>
    <row r="46" ht="14.25" customHeight="1">
      <c r="A46" s="1" t="s">
        <v>168</v>
      </c>
      <c r="B46" s="2"/>
      <c r="C46" s="2"/>
      <c r="D46" s="2"/>
      <c r="E46" s="2"/>
      <c r="F46" s="2"/>
      <c r="G46" s="2"/>
      <c r="H46" s="2"/>
      <c r="I46" s="2"/>
      <c r="J46" s="3"/>
      <c r="K46" s="109" t="str">
        <f>IF(COUNTIF(K48:K54, "="&amp;IncompleteText), IncompleteText, IF(COUNTIF(K48:K54, "="&amp;ErrorText), ErrorText, OKText))</f>
        <v>OK</v>
      </c>
      <c r="L46" s="4"/>
      <c r="M46" s="4"/>
      <c r="N46" s="4"/>
      <c r="O46" s="4"/>
      <c r="P46" s="4"/>
      <c r="Q46" s="4"/>
      <c r="R46" s="4"/>
      <c r="S46" s="4"/>
      <c r="T46" s="4"/>
      <c r="U46" s="4"/>
      <c r="V46" s="4"/>
      <c r="W46" s="4"/>
      <c r="X46" s="4"/>
      <c r="Y46" s="4"/>
      <c r="Z46" s="4"/>
      <c r="AA46" s="4"/>
      <c r="AB46" s="4"/>
      <c r="AC46" s="4"/>
      <c r="AD46" s="4"/>
      <c r="AE46" s="4"/>
    </row>
    <row r="47" ht="14.25" customHeight="1">
      <c r="A47" s="103" t="s">
        <v>64</v>
      </c>
      <c r="B47" s="104"/>
      <c r="C47" s="43"/>
      <c r="D47" s="43"/>
      <c r="E47" s="43"/>
      <c r="F47" s="43"/>
      <c r="G47" s="43"/>
      <c r="H47" s="43"/>
      <c r="I47" s="43"/>
      <c r="J47" s="43"/>
      <c r="K47" s="105"/>
      <c r="L47" s="4"/>
      <c r="M47" s="4"/>
      <c r="N47" s="4"/>
      <c r="O47" s="4"/>
      <c r="P47" s="4"/>
      <c r="Q47" s="4"/>
      <c r="R47" s="4"/>
      <c r="S47" s="4"/>
      <c r="T47" s="4"/>
      <c r="U47" s="4"/>
      <c r="V47" s="4"/>
      <c r="W47" s="4"/>
      <c r="X47" s="4"/>
      <c r="Y47" s="4"/>
      <c r="Z47" s="4"/>
      <c r="AA47" s="4"/>
      <c r="AB47" s="4"/>
      <c r="AC47" s="4"/>
      <c r="AD47" s="4"/>
      <c r="AE47" s="4"/>
    </row>
    <row r="48" ht="14.25" customHeight="1">
      <c r="A48" s="106" t="s">
        <v>169</v>
      </c>
      <c r="B48" s="107"/>
      <c r="C48" s="8" t="s">
        <v>170</v>
      </c>
      <c r="I48" s="23"/>
      <c r="J48" s="50" t="b">
        <v>1</v>
      </c>
      <c r="K48" s="7" t="str">
        <f t="shared" ref="K48:K54" si="3">IF(ISBLANK(J48),IncompleteText, IF(J48, OKText, ErrorText))</f>
        <v>OK</v>
      </c>
      <c r="L48" s="4"/>
      <c r="M48" s="4"/>
      <c r="N48" s="4"/>
      <c r="O48" s="4"/>
      <c r="P48" s="4"/>
      <c r="Q48" s="4"/>
      <c r="R48" s="4"/>
      <c r="S48" s="4"/>
      <c r="T48" s="4"/>
      <c r="U48" s="4"/>
      <c r="V48" s="4"/>
      <c r="W48" s="4"/>
      <c r="X48" s="4"/>
      <c r="Y48" s="4"/>
      <c r="Z48" s="4"/>
      <c r="AA48" s="4"/>
      <c r="AB48" s="4"/>
      <c r="AC48" s="4"/>
      <c r="AD48" s="4"/>
      <c r="AE48" s="4"/>
    </row>
    <row r="49" ht="14.25" customHeight="1">
      <c r="A49" s="108" t="s">
        <v>171</v>
      </c>
      <c r="C49" s="8" t="s">
        <v>134</v>
      </c>
      <c r="I49" s="23"/>
      <c r="J49" s="50" t="b">
        <v>1</v>
      </c>
      <c r="K49" s="7" t="str">
        <f t="shared" si="3"/>
        <v>OK</v>
      </c>
      <c r="L49" s="4"/>
      <c r="M49" s="4"/>
      <c r="N49" s="4"/>
      <c r="O49" s="4"/>
      <c r="P49" s="4"/>
      <c r="Q49" s="4"/>
      <c r="R49" s="4"/>
      <c r="S49" s="4"/>
      <c r="T49" s="4"/>
      <c r="U49" s="4"/>
      <c r="V49" s="4"/>
      <c r="W49" s="4"/>
      <c r="X49" s="4"/>
      <c r="Y49" s="4"/>
      <c r="Z49" s="4"/>
      <c r="AA49" s="4"/>
      <c r="AB49" s="4"/>
      <c r="AC49" s="4"/>
      <c r="AD49" s="4"/>
      <c r="AE49" s="4"/>
    </row>
    <row r="50" ht="14.25" customHeight="1">
      <c r="A50" s="108" t="s">
        <v>172</v>
      </c>
      <c r="C50" s="8" t="s">
        <v>173</v>
      </c>
      <c r="I50" s="23"/>
      <c r="J50" s="50" t="b">
        <v>1</v>
      </c>
      <c r="K50" s="7" t="str">
        <f t="shared" si="3"/>
        <v>OK</v>
      </c>
      <c r="L50" s="4"/>
      <c r="M50" s="4"/>
      <c r="N50" s="4"/>
      <c r="O50" s="4"/>
      <c r="P50" s="4"/>
      <c r="Q50" s="4"/>
      <c r="R50" s="4"/>
      <c r="S50" s="4"/>
      <c r="T50" s="4"/>
      <c r="U50" s="4"/>
      <c r="V50" s="4"/>
      <c r="W50" s="4"/>
      <c r="X50" s="4"/>
      <c r="Y50" s="4"/>
      <c r="Z50" s="4"/>
      <c r="AA50" s="4"/>
      <c r="AB50" s="4"/>
      <c r="AC50" s="4"/>
      <c r="AD50" s="4"/>
      <c r="AE50" s="4"/>
    </row>
    <row r="51" ht="14.25" customHeight="1">
      <c r="A51" s="108" t="s">
        <v>172</v>
      </c>
      <c r="C51" s="8" t="s">
        <v>122</v>
      </c>
      <c r="I51" s="23"/>
      <c r="J51" s="50" t="b">
        <v>1</v>
      </c>
      <c r="K51" s="7" t="str">
        <f t="shared" si="3"/>
        <v>OK</v>
      </c>
      <c r="L51" s="4"/>
      <c r="M51" s="4"/>
      <c r="N51" s="4"/>
      <c r="O51" s="4"/>
      <c r="P51" s="4"/>
      <c r="Q51" s="4"/>
      <c r="R51" s="4"/>
      <c r="S51" s="4"/>
      <c r="T51" s="4"/>
      <c r="U51" s="4"/>
      <c r="V51" s="4"/>
      <c r="W51" s="4"/>
      <c r="X51" s="4"/>
      <c r="Y51" s="4"/>
      <c r="Z51" s="4"/>
      <c r="AA51" s="4"/>
      <c r="AB51" s="4"/>
      <c r="AC51" s="4"/>
      <c r="AD51" s="4"/>
      <c r="AE51" s="4"/>
    </row>
    <row r="52" ht="14.25" customHeight="1">
      <c r="A52" s="108" t="s">
        <v>174</v>
      </c>
      <c r="C52" s="8" t="s">
        <v>175</v>
      </c>
      <c r="I52" s="23"/>
      <c r="J52" s="50" t="b">
        <v>1</v>
      </c>
      <c r="K52" s="7" t="str">
        <f t="shared" si="3"/>
        <v>OK</v>
      </c>
      <c r="L52" s="4"/>
      <c r="M52" s="4"/>
      <c r="N52" s="4"/>
      <c r="O52" s="4"/>
      <c r="P52" s="4"/>
      <c r="Q52" s="4"/>
      <c r="R52" s="4"/>
      <c r="S52" s="4"/>
      <c r="T52" s="4"/>
      <c r="U52" s="4"/>
      <c r="V52" s="4"/>
      <c r="W52" s="4"/>
      <c r="X52" s="4"/>
      <c r="Y52" s="4"/>
      <c r="Z52" s="4"/>
      <c r="AA52" s="4"/>
      <c r="AB52" s="4"/>
      <c r="AC52" s="4"/>
      <c r="AD52" s="4"/>
      <c r="AE52" s="4"/>
    </row>
    <row r="53" ht="14.25" customHeight="1">
      <c r="A53" s="108" t="s">
        <v>176</v>
      </c>
      <c r="C53" s="8" t="s">
        <v>177</v>
      </c>
      <c r="I53" s="23"/>
      <c r="J53" s="50" t="b">
        <v>1</v>
      </c>
      <c r="K53" s="7" t="str">
        <f t="shared" si="3"/>
        <v>OK</v>
      </c>
      <c r="L53" s="4"/>
      <c r="M53" s="4"/>
      <c r="N53" s="4"/>
      <c r="O53" s="4"/>
      <c r="P53" s="4"/>
      <c r="Q53" s="4"/>
      <c r="R53" s="4"/>
      <c r="S53" s="4"/>
      <c r="T53" s="4"/>
      <c r="U53" s="4"/>
      <c r="V53" s="4"/>
      <c r="W53" s="4"/>
      <c r="X53" s="4"/>
      <c r="Y53" s="4"/>
      <c r="Z53" s="4"/>
      <c r="AA53" s="4"/>
      <c r="AB53" s="4"/>
      <c r="AC53" s="4"/>
      <c r="AD53" s="4"/>
      <c r="AE53" s="4"/>
    </row>
    <row r="54" ht="14.25" customHeight="1">
      <c r="A54" s="108" t="s">
        <v>176</v>
      </c>
      <c r="C54" s="8" t="s">
        <v>178</v>
      </c>
      <c r="I54" s="23"/>
      <c r="J54" s="50" t="b">
        <v>1</v>
      </c>
      <c r="K54" s="7" t="str">
        <f t="shared" si="3"/>
        <v>OK</v>
      </c>
      <c r="L54" s="4"/>
      <c r="M54" s="4"/>
      <c r="N54" s="4"/>
      <c r="O54" s="4"/>
      <c r="P54" s="4"/>
      <c r="Q54" s="4"/>
      <c r="R54" s="4"/>
      <c r="S54" s="4"/>
      <c r="T54" s="4"/>
      <c r="U54" s="4"/>
      <c r="V54" s="4"/>
      <c r="W54" s="4"/>
      <c r="X54" s="4"/>
      <c r="Y54" s="4"/>
      <c r="Z54" s="4"/>
      <c r="AA54" s="4"/>
      <c r="AB54" s="4"/>
      <c r="AC54" s="4"/>
      <c r="AD54" s="4"/>
      <c r="AE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row>
  </sheetData>
  <mergeCells count="79">
    <mergeCell ref="A31:B31"/>
    <mergeCell ref="A32:B32"/>
    <mergeCell ref="C32:I32"/>
    <mergeCell ref="A33:B33"/>
    <mergeCell ref="C33:I33"/>
    <mergeCell ref="A34:B34"/>
    <mergeCell ref="C34:I34"/>
    <mergeCell ref="A35:B35"/>
    <mergeCell ref="C35:I35"/>
    <mergeCell ref="A36:B36"/>
    <mergeCell ref="C36:I36"/>
    <mergeCell ref="A37:B37"/>
    <mergeCell ref="C37:I37"/>
    <mergeCell ref="C38:I38"/>
    <mergeCell ref="C48:I48"/>
    <mergeCell ref="C49:I49"/>
    <mergeCell ref="C50:I50"/>
    <mergeCell ref="C51:I51"/>
    <mergeCell ref="C52:I52"/>
    <mergeCell ref="C53:I53"/>
    <mergeCell ref="C54:I54"/>
    <mergeCell ref="A41:B41"/>
    <mergeCell ref="C41:I41"/>
    <mergeCell ref="A42:B42"/>
    <mergeCell ref="C42:I42"/>
    <mergeCell ref="C43:I43"/>
    <mergeCell ref="A46:J46"/>
    <mergeCell ref="K46:K47"/>
    <mergeCell ref="A53:B53"/>
    <mergeCell ref="A54:B54"/>
    <mergeCell ref="A43:B43"/>
    <mergeCell ref="A47:B47"/>
    <mergeCell ref="A48:B48"/>
    <mergeCell ref="A49:B49"/>
    <mergeCell ref="A50:B50"/>
    <mergeCell ref="A51:B51"/>
    <mergeCell ref="A52:B52"/>
    <mergeCell ref="A2:K27"/>
    <mergeCell ref="M2:W27"/>
    <mergeCell ref="Y2:AE2"/>
    <mergeCell ref="Y3:AE27"/>
    <mergeCell ref="K28:K29"/>
    <mergeCell ref="M28:V28"/>
    <mergeCell ref="W28:W29"/>
    <mergeCell ref="M29:N29"/>
    <mergeCell ref="A28:J28"/>
    <mergeCell ref="A29:B29"/>
    <mergeCell ref="A30:B30"/>
    <mergeCell ref="C30:I30"/>
    <mergeCell ref="O30:U30"/>
    <mergeCell ref="C31:I31"/>
    <mergeCell ref="O31:U31"/>
    <mergeCell ref="M37:N37"/>
    <mergeCell ref="M38:N38"/>
    <mergeCell ref="M39:N39"/>
    <mergeCell ref="M40:N40"/>
    <mergeCell ref="M41:N41"/>
    <mergeCell ref="M30:N30"/>
    <mergeCell ref="M31:N31"/>
    <mergeCell ref="M32:N32"/>
    <mergeCell ref="M33:N33"/>
    <mergeCell ref="M34:N34"/>
    <mergeCell ref="M35:N35"/>
    <mergeCell ref="M36:N36"/>
    <mergeCell ref="A38:B38"/>
    <mergeCell ref="A39:B39"/>
    <mergeCell ref="A40:B40"/>
    <mergeCell ref="C39:I39"/>
    <mergeCell ref="C40:I40"/>
    <mergeCell ref="O39:U39"/>
    <mergeCell ref="O40:U40"/>
    <mergeCell ref="O41:U41"/>
    <mergeCell ref="O32:U32"/>
    <mergeCell ref="O33:U33"/>
    <mergeCell ref="O34:U34"/>
    <mergeCell ref="O35:U35"/>
    <mergeCell ref="O36:U36"/>
    <mergeCell ref="O37:U37"/>
    <mergeCell ref="O38:U38"/>
  </mergeCells>
  <dataValidations>
    <dataValidation type="list" allowBlank="1" showErrorMessage="1" sqref="V30:V42 J30:J45 J48:J54">
      <formula1>"TRUE,FALSE"</formula1>
    </dataValidation>
  </dataValidations>
  <printOptions/>
  <pageMargins bottom="0.75" footer="0.0" header="0.0" left="0.7" right="0.7" top="0.75"/>
  <pageSetup orientation="portrait"/>
  <headerFooter>
    <oddFooter>&amp;R#FF0000Public</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4" width="8.67"/>
    <col customWidth="1" min="5" max="5" width="10.33"/>
    <col customWidth="1" min="6" max="7" width="8.67"/>
    <col customWidth="1" min="8" max="8" width="13.67"/>
    <col customWidth="1" min="9" max="13" width="8.67"/>
    <col customWidth="1" min="14" max="14" width="8.89"/>
    <col customWidth="1" min="15" max="16" width="8.67"/>
    <col customWidth="1" min="17" max="17" width="13.67"/>
    <col customWidth="1" min="18" max="25" width="8.67"/>
    <col customWidth="1" min="26" max="26" width="13.67"/>
    <col customWidth="1" min="27" max="34" width="8.67"/>
    <col customWidth="1" min="35" max="35" width="13.67"/>
    <col customWidth="1" min="36" max="43" width="8.67"/>
    <col customWidth="1" min="44" max="44" width="13.67"/>
    <col customWidth="1" min="45" max="52" width="8.67"/>
    <col customWidth="1" min="53" max="53" width="13.67"/>
  </cols>
  <sheetData>
    <row r="1" ht="14.25" customHeight="1">
      <c r="A1" s="8" t="s">
        <v>1</v>
      </c>
      <c r="B1" s="7" t="str">
        <f t="array" ref="B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OK</v>
      </c>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row>
    <row r="2" ht="14.25" customHeight="1">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row>
    <row r="3" ht="14.25" customHeight="1">
      <c r="A3" s="8" t="s">
        <v>179</v>
      </c>
      <c r="D3" s="23"/>
      <c r="E3" s="50" t="s">
        <v>180</v>
      </c>
      <c r="F3" s="4"/>
      <c r="G3" s="7" t="str">
        <f>IF(ISBLANK(E3), IncompleteText, OKText)</f>
        <v>OK</v>
      </c>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row>
    <row r="4" ht="14.25" customHeight="1">
      <c r="A4" s="8" t="s">
        <v>181</v>
      </c>
      <c r="D4" s="23"/>
      <c r="E4" s="110">
        <v>399.0</v>
      </c>
      <c r="F4" s="44" t="s">
        <v>17</v>
      </c>
      <c r="G4" s="7" t="str">
        <f>IF(E4 &gt; 600, ErrorText, OKText)</f>
        <v>OK</v>
      </c>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row>
    <row r="5" ht="14.25" customHeight="1">
      <c r="A5" s="8" t="s">
        <v>182</v>
      </c>
      <c r="D5" s="23"/>
      <c r="E5" s="110">
        <v>342.0</v>
      </c>
      <c r="F5" s="44" t="s">
        <v>17</v>
      </c>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row>
    <row r="6" ht="14.25" customHeight="1">
      <c r="A6" s="8" t="s">
        <v>183</v>
      </c>
      <c r="D6" s="23"/>
      <c r="E6" s="110">
        <v>570.0</v>
      </c>
      <c r="F6" s="4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row>
    <row r="7" ht="14.25" customHeight="1">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row>
    <row r="8" ht="14.25" customHeight="1">
      <c r="A8" s="1" t="s">
        <v>184</v>
      </c>
      <c r="B8" s="2"/>
      <c r="C8" s="2"/>
      <c r="D8" s="2"/>
      <c r="E8" s="2"/>
      <c r="F8" s="2"/>
      <c r="G8" s="2"/>
      <c r="H8" s="2"/>
      <c r="I8" s="3"/>
      <c r="J8" s="7" t="str">
        <f>IF(COUNTIF(J9:J29, "="&amp;IncompleteText), IncompleteText, IF(COUNTIF(J9:J29, "="&amp;ErrorText), ErrorText, OKText))</f>
        <v>OK</v>
      </c>
      <c r="K8" s="1" t="s">
        <v>185</v>
      </c>
      <c r="L8" s="2"/>
      <c r="M8" s="2"/>
      <c r="N8" s="2"/>
      <c r="O8" s="2"/>
      <c r="P8" s="3"/>
      <c r="Q8" s="7" t="str">
        <f>IF(COUNTIF(Q9:Q30, "="&amp;IncompleteText), IncompleteText, IF(COUNTIF(Q9:Q30, "="&amp;ErrorText), ErrorText, OKText))</f>
        <v>OK</v>
      </c>
      <c r="R8" s="1" t="s">
        <v>186</v>
      </c>
      <c r="S8" s="2"/>
      <c r="T8" s="2"/>
      <c r="U8" s="2"/>
      <c r="V8" s="3"/>
      <c r="W8" s="7" t="str">
        <f>IF(COUNTIF(W9:W21, "="&amp;IncompleteText), IncompleteText, IF(COUNTIF(W9:W21, "="&amp;ErrorText), ErrorText, OKText))</f>
        <v>OK</v>
      </c>
      <c r="X8" s="1" t="s">
        <v>135</v>
      </c>
      <c r="Y8" s="2"/>
      <c r="Z8" s="2"/>
      <c r="AA8" s="2"/>
      <c r="AB8" s="2"/>
      <c r="AC8" s="3"/>
      <c r="AD8" s="7" t="str">
        <f>IF(COUNTIF(AD9:AD17, "="&amp;IncompleteText), IncompleteText, IF(COUNTIF(AD9:AD17, "="&amp;ErrorText), ErrorText, OKText))</f>
        <v>BLANK</v>
      </c>
      <c r="AE8" s="1" t="s">
        <v>20</v>
      </c>
      <c r="AF8" s="2"/>
      <c r="AG8" s="2"/>
      <c r="AH8" s="2"/>
      <c r="AI8" s="2"/>
      <c r="AJ8" s="2"/>
      <c r="AK8" s="3"/>
      <c r="AL8" s="4"/>
      <c r="AM8" s="4"/>
      <c r="AN8" s="4"/>
      <c r="AO8" s="4"/>
      <c r="AP8" s="4"/>
      <c r="AQ8" s="4"/>
      <c r="AR8" s="4"/>
      <c r="AS8" s="4"/>
      <c r="AT8" s="4"/>
      <c r="AU8" s="4"/>
      <c r="AV8" s="4"/>
      <c r="AW8" s="4"/>
      <c r="AX8" s="4"/>
      <c r="AY8" s="4"/>
      <c r="AZ8" s="4"/>
      <c r="BA8" s="4"/>
    </row>
    <row r="9" ht="13.5" customHeight="1">
      <c r="A9" s="8" t="s">
        <v>187</v>
      </c>
      <c r="C9" s="23"/>
      <c r="D9" s="73" t="s">
        <v>188</v>
      </c>
      <c r="E9" s="11"/>
      <c r="J9" s="7" t="str">
        <f>IF(ISBLANK(D9), IncompleteText, OKText)</f>
        <v>OK</v>
      </c>
      <c r="K9" s="111" t="s">
        <v>189</v>
      </c>
      <c r="N9" s="23"/>
      <c r="O9" s="112" t="s">
        <v>190</v>
      </c>
      <c r="P9" s="11"/>
      <c r="Q9" s="113" t="str">
        <f t="shared" ref="Q9:Q10" si="1">IF(ISBLANK(O9), IncompleteText, OKText)</f>
        <v>OK</v>
      </c>
      <c r="R9" s="8" t="s">
        <v>191</v>
      </c>
      <c r="T9" s="23"/>
      <c r="U9" s="73" t="s">
        <v>192</v>
      </c>
      <c r="V9" s="11"/>
      <c r="W9" s="7" t="str">
        <f>IF(ISBLANK(U9), IncompleteText, OKText)</f>
        <v>OK</v>
      </c>
      <c r="X9" s="8" t="s">
        <v>193</v>
      </c>
      <c r="AA9" s="23"/>
      <c r="AB9" s="41"/>
      <c r="AC9" s="11"/>
      <c r="AD9" s="7" t="str">
        <f>IF(ISBLANK(AB9), IncompleteText, OKText)</f>
        <v>BLANK</v>
      </c>
      <c r="AE9" s="114" t="s">
        <v>194</v>
      </c>
      <c r="AF9" s="20"/>
      <c r="AG9" s="20"/>
      <c r="AH9" s="20"/>
      <c r="AI9" s="20"/>
      <c r="AJ9" s="20"/>
      <c r="AK9" s="21"/>
      <c r="AL9" s="4"/>
      <c r="AM9" s="4"/>
      <c r="AN9" s="4"/>
      <c r="AO9" s="4"/>
      <c r="AP9" s="4"/>
      <c r="AQ9" s="4"/>
      <c r="AR9" s="4"/>
      <c r="AS9" s="4"/>
      <c r="AT9" s="4"/>
      <c r="AU9" s="4"/>
      <c r="AV9" s="4"/>
      <c r="AW9" s="4"/>
      <c r="AX9" s="4"/>
      <c r="AY9" s="4"/>
      <c r="AZ9" s="4"/>
      <c r="BA9" s="4"/>
    </row>
    <row r="10" ht="13.5" customHeight="1">
      <c r="A10" s="47" t="s">
        <v>195</v>
      </c>
      <c r="B10" s="45" t="s">
        <v>196</v>
      </c>
      <c r="C10" s="45" t="s">
        <v>197</v>
      </c>
      <c r="D10" s="45" t="s">
        <v>198</v>
      </c>
      <c r="E10" s="45" t="s">
        <v>199</v>
      </c>
      <c r="F10" s="47" t="s">
        <v>200</v>
      </c>
      <c r="H10" s="45" t="s">
        <v>201</v>
      </c>
      <c r="K10" s="111" t="s">
        <v>202</v>
      </c>
      <c r="N10" s="23"/>
      <c r="O10" s="112" t="s">
        <v>203</v>
      </c>
      <c r="P10" s="11"/>
      <c r="Q10" s="113" t="str">
        <f t="shared" si="1"/>
        <v>OK</v>
      </c>
      <c r="R10" s="8" t="s">
        <v>204</v>
      </c>
      <c r="T10" s="23"/>
      <c r="U10" s="93">
        <f>VLOOKUP(U9, ConnectorsTable, 5, FALSE)</f>
        <v>200</v>
      </c>
      <c r="V10" s="44" t="s">
        <v>19</v>
      </c>
      <c r="W10" s="7" t="str">
        <f>IF(ISERROR(U10),IncompleteText,IF(E3="Series",IF(U10&gt;=U20,OKText,ErrorText),IF(E3="Parallel",IF(U10&gt;=U12,OKText,ErrorText),IncompleteText)))</f>
        <v>OK</v>
      </c>
      <c r="X10" s="8" t="s">
        <v>205</v>
      </c>
      <c r="AA10" s="23"/>
      <c r="AB10" s="93" t="str">
        <f>VLOOKUP(AB9, InsulationsTable, 6, FALSE)</f>
        <v>#N/A</v>
      </c>
      <c r="AC10" s="108" t="s">
        <v>17</v>
      </c>
      <c r="AD10" s="7" t="str">
        <f>IF(ISERROR(AB10), IncompleteText, IF(AB10 &lt; MaxTSVoltage,  ErrorText, OKText))</f>
        <v>BLANK</v>
      </c>
      <c r="AE10" s="22"/>
      <c r="AK10" s="23"/>
      <c r="AL10" s="4"/>
      <c r="AM10" s="4"/>
      <c r="AN10" s="4"/>
      <c r="AO10" s="4"/>
      <c r="AP10" s="4"/>
      <c r="AQ10" s="4"/>
      <c r="AR10" s="4"/>
      <c r="AS10" s="4"/>
      <c r="AT10" s="4"/>
      <c r="AU10" s="4"/>
      <c r="AV10" s="4"/>
      <c r="AW10" s="4"/>
      <c r="AX10" s="4"/>
      <c r="AY10" s="4"/>
      <c r="AZ10" s="4"/>
      <c r="BA10" s="4"/>
    </row>
    <row r="11" ht="14.25" customHeight="1">
      <c r="K11" s="111" t="s">
        <v>30</v>
      </c>
      <c r="L11" s="36" t="s">
        <v>206</v>
      </c>
      <c r="M11" s="11"/>
      <c r="N11" s="111" t="s">
        <v>32</v>
      </c>
      <c r="O11" s="36" t="s">
        <v>207</v>
      </c>
      <c r="P11" s="11"/>
      <c r="Q11" s="113" t="str">
        <f>IF(O10="Purchased", IF(OR(ISBLANK(L11), ISBLANK(O11)), IncompleteText, OKText), "")</f>
        <v>OK</v>
      </c>
      <c r="R11" s="8" t="s">
        <v>208</v>
      </c>
      <c r="T11" s="23"/>
      <c r="U11" s="74"/>
      <c r="V11" s="11"/>
      <c r="W11" s="7" t="str">
        <f>IF(E3="Series","",IF(ISBLANK(U11), IncompleteText, OKText))</f>
        <v/>
      </c>
      <c r="X11" s="8" t="s">
        <v>209</v>
      </c>
      <c r="AA11" s="23"/>
      <c r="AB11" s="93" t="str">
        <f>VLOOKUP(AB9, InsulationsTable, 7, FALSE)</f>
        <v>#N/A</v>
      </c>
      <c r="AC11" s="108" t="s">
        <v>49</v>
      </c>
      <c r="AD11" s="7" t="str">
        <f>IF(ISERROR(AB11), IncompleteText, IF(AB11 &lt; 90,  ErrorText, OKText))</f>
        <v>BLANK</v>
      </c>
      <c r="AE11" s="22"/>
      <c r="AK11" s="23"/>
      <c r="AL11" s="4"/>
      <c r="AM11" s="4"/>
      <c r="AN11" s="4"/>
      <c r="AO11" s="4"/>
      <c r="AP11" s="4"/>
      <c r="AQ11" s="4"/>
      <c r="AR11" s="4"/>
      <c r="AS11" s="4"/>
      <c r="AT11" s="4"/>
      <c r="AU11" s="4"/>
      <c r="AV11" s="4"/>
      <c r="AW11" s="4"/>
      <c r="AX11" s="4"/>
      <c r="AY11" s="4"/>
      <c r="AZ11" s="4"/>
      <c r="BA11" s="4"/>
    </row>
    <row r="12" ht="14.25" customHeight="1">
      <c r="A12" s="115">
        <v>1.0</v>
      </c>
      <c r="B12" s="50">
        <v>6.0</v>
      </c>
      <c r="C12" s="50">
        <v>19.0</v>
      </c>
      <c r="D12" s="50">
        <v>25.0</v>
      </c>
      <c r="E12" s="50">
        <v>1.0</v>
      </c>
      <c r="F12" s="116">
        <f>C12*BattCellMaxV</f>
        <v>79.8</v>
      </c>
      <c r="G12" s="11"/>
      <c r="H12" s="116">
        <f>F12*B12*BattCellCapacity*0.0036</f>
        <v>4.826304</v>
      </c>
      <c r="I12" s="11"/>
      <c r="J12" s="7" t="str">
        <f>IF(COUNTBLANK(A12:E12) &gt; 0, IncompleteText, IF(OR(F12&gt;120, H12&gt;6), ErrorText, OKText))</f>
        <v>OK</v>
      </c>
      <c r="K12" s="111" t="s">
        <v>210</v>
      </c>
      <c r="N12" s="23"/>
      <c r="O12" s="117">
        <v>1500.0</v>
      </c>
      <c r="P12" s="39" t="s">
        <v>17</v>
      </c>
      <c r="Q12" s="7" t="str">
        <f>IF(ISBLANK(O12), IncompleteText, IF(O12&lt;E4, ErrorText, OKText))</f>
        <v>OK</v>
      </c>
      <c r="R12" s="8" t="s">
        <v>211</v>
      </c>
      <c r="T12" s="23"/>
      <c r="U12" s="93" t="str">
        <f>VLOOKUP(U11, FusesTable, 6, FALSE)</f>
        <v>#N/A</v>
      </c>
      <c r="V12" s="115" t="s">
        <v>19</v>
      </c>
      <c r="W12" s="115"/>
      <c r="X12" s="8" t="s">
        <v>212</v>
      </c>
      <c r="AA12" s="23"/>
      <c r="AB12" s="41"/>
      <c r="AC12" s="11"/>
      <c r="AD12" s="7" t="str">
        <f>IF(ISBLANK(AB12), IncompleteText, OKText)</f>
        <v>BLANK</v>
      </c>
      <c r="AE12" s="22"/>
      <c r="AK12" s="23"/>
      <c r="AL12" s="4"/>
      <c r="AM12" s="4"/>
      <c r="AN12" s="4"/>
      <c r="AO12" s="4"/>
      <c r="AP12" s="4"/>
      <c r="AQ12" s="4"/>
      <c r="AR12" s="4"/>
      <c r="AS12" s="4"/>
      <c r="AT12" s="4"/>
      <c r="AU12" s="4"/>
      <c r="AV12" s="4"/>
      <c r="AW12" s="4"/>
      <c r="AX12" s="4"/>
      <c r="AY12" s="4"/>
      <c r="AZ12" s="4"/>
      <c r="BA12" s="4"/>
    </row>
    <row r="13" ht="14.25" customHeight="1">
      <c r="A13" s="115">
        <v>2.0</v>
      </c>
      <c r="B13" s="50">
        <v>6.0</v>
      </c>
      <c r="C13" s="50">
        <v>19.0</v>
      </c>
      <c r="D13" s="50">
        <v>25.0</v>
      </c>
      <c r="E13" s="50">
        <v>1.0</v>
      </c>
      <c r="F13" s="116">
        <f>C13*BattCellMaxV</f>
        <v>79.8</v>
      </c>
      <c r="G13" s="11"/>
      <c r="H13" s="116">
        <f>F13*B13*BattCellCapacity*0.0036</f>
        <v>4.826304</v>
      </c>
      <c r="I13" s="11"/>
      <c r="J13" s="7" t="str">
        <f t="shared" ref="J13:J29" si="2">IF(COUNTBLANK(A13:E13)=4,"",IF(COUNTBLANK(A13:E13) &gt; 0, IncompleteText, IF(OR(F13&gt;120, H13&gt;6), ErrorText, OKText)))</f>
        <v>OK</v>
      </c>
      <c r="K13" s="111" t="s">
        <v>213</v>
      </c>
      <c r="N13" s="23"/>
      <c r="O13" s="118">
        <v>2500.0</v>
      </c>
      <c r="P13" s="39" t="s">
        <v>17</v>
      </c>
      <c r="Q13" s="7" t="str">
        <f>IF(ISBLANK(O13), IncompleteText, IF(O13&lt;MAX(F12:G29), ErrorText, OKText))</f>
        <v>OK</v>
      </c>
      <c r="R13" s="1" t="s">
        <v>214</v>
      </c>
      <c r="S13" s="2"/>
      <c r="T13" s="2"/>
      <c r="U13" s="2"/>
      <c r="V13" s="3"/>
      <c r="W13" s="44"/>
      <c r="X13" s="8" t="s">
        <v>205</v>
      </c>
      <c r="AA13" s="23"/>
      <c r="AB13" s="93" t="str">
        <f>VLOOKUP(AB12, InsulationsTable, 6, FALSE)</f>
        <v>#N/A</v>
      </c>
      <c r="AC13" s="108" t="s">
        <v>17</v>
      </c>
      <c r="AD13" s="7" t="str">
        <f>IF(ISERROR(AB13), IncompleteText, IF(AB13 &lt; MaxTSVoltage,  ErrorText, OKText))</f>
        <v>BLANK</v>
      </c>
      <c r="AE13" s="22"/>
      <c r="AK13" s="23"/>
      <c r="AL13" s="4"/>
      <c r="AM13" s="4"/>
      <c r="AN13" s="4"/>
      <c r="AO13" s="4"/>
      <c r="AP13" s="4"/>
      <c r="AQ13" s="4"/>
      <c r="AR13" s="4"/>
      <c r="AS13" s="4"/>
      <c r="AT13" s="4"/>
      <c r="AU13" s="4"/>
      <c r="AV13" s="4"/>
      <c r="AW13" s="4"/>
      <c r="AX13" s="4"/>
      <c r="AY13" s="4"/>
      <c r="AZ13" s="4"/>
      <c r="BA13" s="4"/>
    </row>
    <row r="14" ht="14.25" customHeight="1">
      <c r="A14" s="115">
        <v>3.0</v>
      </c>
      <c r="B14" s="50">
        <v>6.0</v>
      </c>
      <c r="C14" s="50">
        <v>19.0</v>
      </c>
      <c r="D14" s="50">
        <v>25.0</v>
      </c>
      <c r="E14" s="50">
        <v>1.0</v>
      </c>
      <c r="F14" s="116">
        <f>C14*BattCellMaxV</f>
        <v>79.8</v>
      </c>
      <c r="G14" s="11"/>
      <c r="H14" s="116">
        <f>F14*B14*BattCellCapacity*0.0036</f>
        <v>4.826304</v>
      </c>
      <c r="I14" s="11"/>
      <c r="J14" s="87" t="str">
        <f t="shared" si="2"/>
        <v>OK</v>
      </c>
      <c r="K14" s="119" t="s">
        <v>215</v>
      </c>
      <c r="L14" s="120"/>
      <c r="M14" s="120"/>
      <c r="N14" s="121"/>
      <c r="O14" s="122"/>
      <c r="P14" s="121"/>
      <c r="Q14" s="113" t="str">
        <f t="shared" ref="Q14:Q15" si="3">IF($O$10="Team Built", IF(ISBLANK(O14), IncompleteText, OKText), "")</f>
        <v/>
      </c>
      <c r="R14" s="8" t="s">
        <v>216</v>
      </c>
      <c r="T14" s="23"/>
      <c r="U14" s="73" t="s">
        <v>217</v>
      </c>
      <c r="V14" s="11"/>
      <c r="W14" s="7" t="str">
        <f>IF(ISBLANK(U14), IncompleteText, OKText)</f>
        <v>OK</v>
      </c>
      <c r="X14" s="8" t="s">
        <v>209</v>
      </c>
      <c r="AA14" s="23"/>
      <c r="AB14" s="93" t="str">
        <f>VLOOKUP(AB12, InsulationsTable, 7, FALSE)</f>
        <v>#N/A</v>
      </c>
      <c r="AC14" s="108" t="s">
        <v>49</v>
      </c>
      <c r="AD14" s="7" t="str">
        <f>IF(ISERROR(AB14), IncompleteText, IF(AB14 &lt; 90,  ErrorText, OKText))</f>
        <v>BLANK</v>
      </c>
      <c r="AE14" s="22"/>
      <c r="AK14" s="23"/>
      <c r="AL14" s="4"/>
      <c r="AM14" s="4"/>
      <c r="AN14" s="4"/>
      <c r="AO14" s="4"/>
      <c r="AP14" s="4"/>
      <c r="AQ14" s="4"/>
      <c r="AR14" s="4"/>
      <c r="AS14" s="4"/>
      <c r="AT14" s="4"/>
      <c r="AU14" s="4"/>
      <c r="AV14" s="4"/>
      <c r="AW14" s="4"/>
      <c r="AX14" s="4"/>
      <c r="AY14" s="4"/>
      <c r="AZ14" s="4"/>
      <c r="BA14" s="4"/>
    </row>
    <row r="15" ht="14.25" customHeight="1">
      <c r="A15" s="115">
        <v>4.0</v>
      </c>
      <c r="B15" s="50">
        <v>6.0</v>
      </c>
      <c r="C15" s="50">
        <v>19.0</v>
      </c>
      <c r="D15" s="50">
        <v>25.0</v>
      </c>
      <c r="E15" s="50">
        <v>1.0</v>
      </c>
      <c r="F15" s="116">
        <f>C15*BattCellMaxV</f>
        <v>79.8</v>
      </c>
      <c r="G15" s="11"/>
      <c r="H15" s="116">
        <f>F15*B15*BattCellCapacity*0.0036</f>
        <v>4.826304</v>
      </c>
      <c r="I15" s="11"/>
      <c r="J15" s="87" t="str">
        <f t="shared" si="2"/>
        <v>OK</v>
      </c>
      <c r="K15" s="119" t="s">
        <v>218</v>
      </c>
      <c r="L15" s="120"/>
      <c r="M15" s="120"/>
      <c r="N15" s="121"/>
      <c r="O15" s="122"/>
      <c r="P15" s="121"/>
      <c r="Q15" s="113" t="str">
        <f t="shared" si="3"/>
        <v/>
      </c>
      <c r="R15" s="8" t="s">
        <v>219</v>
      </c>
      <c r="T15" s="23"/>
      <c r="U15" s="93">
        <f>VLOOKUP(U14, ContactorsTable, 4, FALSE)</f>
        <v>900</v>
      </c>
      <c r="V15" s="44" t="s">
        <v>17</v>
      </c>
      <c r="W15" s="7" t="str">
        <f>IF(ISERROR(U15), IncompleteText, IF(U15 &lt; MaxTSVoltage,  ErrorText, OKText))</f>
        <v>OK</v>
      </c>
      <c r="X15" s="8" t="s">
        <v>220</v>
      </c>
      <c r="AA15" s="23"/>
      <c r="AB15" s="41"/>
      <c r="AC15" s="11"/>
      <c r="AD15" s="7" t="str">
        <f>IF(ISBLANK(AB15), IncompleteText, OKText)</f>
        <v>BLANK</v>
      </c>
      <c r="AE15" s="22"/>
      <c r="AK15" s="23"/>
      <c r="AL15" s="4"/>
      <c r="AM15" s="4"/>
      <c r="AN15" s="4"/>
      <c r="AO15" s="4"/>
      <c r="AP15" s="4"/>
      <c r="AQ15" s="4"/>
      <c r="AR15" s="4"/>
      <c r="AS15" s="4"/>
      <c r="AT15" s="4"/>
      <c r="AU15" s="4"/>
      <c r="AV15" s="4"/>
      <c r="AW15" s="4"/>
      <c r="AX15" s="4"/>
      <c r="AY15" s="4"/>
      <c r="AZ15" s="4"/>
      <c r="BA15" s="4"/>
    </row>
    <row r="16" ht="14.25" customHeight="1">
      <c r="A16" s="115">
        <v>5.0</v>
      </c>
      <c r="B16" s="50">
        <v>6.0</v>
      </c>
      <c r="C16" s="50">
        <v>19.0</v>
      </c>
      <c r="D16" s="50">
        <v>25.0</v>
      </c>
      <c r="E16" s="50">
        <v>1.0</v>
      </c>
      <c r="F16" s="116">
        <f>C16*BattCellMaxV</f>
        <v>79.8</v>
      </c>
      <c r="G16" s="11"/>
      <c r="H16" s="116">
        <f>F16*B16*BattCellCapacity*0.0036</f>
        <v>4.826304</v>
      </c>
      <c r="I16" s="11"/>
      <c r="J16" s="7" t="str">
        <f t="shared" si="2"/>
        <v>OK</v>
      </c>
      <c r="K16" s="123" t="s">
        <v>221</v>
      </c>
      <c r="Q16" s="44"/>
      <c r="R16" s="8" t="s">
        <v>222</v>
      </c>
      <c r="T16" s="23"/>
      <c r="U16" s="93">
        <f>VLOOKUP(U14, ContactorsTable, 6, FALSE)</f>
        <v>2000</v>
      </c>
      <c r="V16" s="44" t="s">
        <v>19</v>
      </c>
      <c r="W16" s="44"/>
      <c r="X16" s="8" t="s">
        <v>205</v>
      </c>
      <c r="AA16" s="23"/>
      <c r="AB16" s="93" t="str">
        <f>VLOOKUP(AB15, InsulationsTable, 6, FALSE)</f>
        <v>#N/A</v>
      </c>
      <c r="AC16" s="108" t="s">
        <v>17</v>
      </c>
      <c r="AD16" s="7" t="str">
        <f>IF(ISERROR(AB16), IncompleteText, IF(AB16 &lt; MaxTSVoltage,  ErrorText, OKText))</f>
        <v>BLANK</v>
      </c>
      <c r="AE16" s="22"/>
      <c r="AK16" s="23"/>
      <c r="AL16" s="4"/>
      <c r="AM16" s="4"/>
      <c r="AN16" s="4"/>
      <c r="AO16" s="4"/>
      <c r="AP16" s="4"/>
      <c r="AQ16" s="4"/>
      <c r="AR16" s="4"/>
      <c r="AS16" s="4"/>
      <c r="AT16" s="4"/>
      <c r="AU16" s="4"/>
      <c r="AV16" s="4"/>
      <c r="AW16" s="4"/>
      <c r="AX16" s="4"/>
      <c r="AY16" s="4"/>
      <c r="AZ16" s="4"/>
      <c r="BA16" s="4"/>
    </row>
    <row r="17" ht="14.25" customHeight="1">
      <c r="A17" s="115">
        <v>6.0</v>
      </c>
      <c r="B17" s="57"/>
      <c r="C17" s="57"/>
      <c r="D17" s="57"/>
      <c r="E17" s="57"/>
      <c r="F17" s="116">
        <f>C17*BattCellMaxV</f>
        <v>0</v>
      </c>
      <c r="G17" s="11"/>
      <c r="H17" s="116">
        <f>F17*B17*BattCellCapacity*0.0036</f>
        <v>0</v>
      </c>
      <c r="I17" s="11"/>
      <c r="J17" s="7" t="str">
        <f t="shared" si="2"/>
        <v/>
      </c>
      <c r="K17" s="111" t="s">
        <v>223</v>
      </c>
      <c r="N17" s="23"/>
      <c r="O17" s="62">
        <v>90.0</v>
      </c>
      <c r="P17" s="39" t="s">
        <v>224</v>
      </c>
      <c r="Q17" s="7" t="str">
        <f t="shared" ref="Q17:Q19" si="4">IF(ISBLANK(O17), IncompleteText, OKText)</f>
        <v>OK</v>
      </c>
      <c r="R17" s="8" t="s">
        <v>45</v>
      </c>
      <c r="T17" s="23"/>
      <c r="U17" s="93">
        <f>VLOOKUP(U14, ContactorsTable, 5, FALSE)</f>
        <v>500</v>
      </c>
      <c r="V17" s="44" t="s">
        <v>19</v>
      </c>
      <c r="W17" s="7" t="str">
        <f>IF(ISERROR(U17), IncompleteText, IF(U17&gt;=U20, OKText, ErrorText))</f>
        <v>OK</v>
      </c>
      <c r="X17" s="8" t="s">
        <v>209</v>
      </c>
      <c r="AA17" s="23"/>
      <c r="AB17" s="93" t="str">
        <f>VLOOKUP(AB15, InsulationsTable, 7, FALSE)</f>
        <v>#N/A</v>
      </c>
      <c r="AC17" s="108" t="s">
        <v>49</v>
      </c>
      <c r="AD17" s="7" t="str">
        <f>IF(ISERROR(AB17), IncompleteText, IF(AB17 &lt; 90,  ErrorText, OKText))</f>
        <v>BLANK</v>
      </c>
      <c r="AE17" s="22"/>
      <c r="AK17" s="23"/>
      <c r="AL17" s="4"/>
      <c r="AM17" s="4"/>
      <c r="AN17" s="4"/>
      <c r="AO17" s="4"/>
      <c r="AP17" s="4"/>
      <c r="AQ17" s="4"/>
      <c r="AR17" s="4"/>
      <c r="AS17" s="4"/>
      <c r="AT17" s="4"/>
      <c r="AU17" s="4"/>
      <c r="AV17" s="4"/>
      <c r="AW17" s="4"/>
      <c r="AX17" s="4"/>
      <c r="AY17" s="4"/>
      <c r="AZ17" s="4"/>
      <c r="BA17" s="4"/>
    </row>
    <row r="18" ht="14.25" customHeight="1">
      <c r="A18" s="115">
        <v>7.0</v>
      </c>
      <c r="B18" s="57"/>
      <c r="C18" s="57"/>
      <c r="D18" s="57"/>
      <c r="E18" s="57"/>
      <c r="F18" s="116">
        <f>C18*BattCellMaxV</f>
        <v>0</v>
      </c>
      <c r="G18" s="11"/>
      <c r="H18" s="116">
        <f>F18*B18*BattCellCapacity*0.0036</f>
        <v>0</v>
      </c>
      <c r="I18" s="11"/>
      <c r="J18" s="7" t="str">
        <f t="shared" si="2"/>
        <v/>
      </c>
      <c r="K18" s="124" t="s">
        <v>225</v>
      </c>
      <c r="N18" s="23"/>
      <c r="O18" s="112" t="s">
        <v>226</v>
      </c>
      <c r="P18" s="11"/>
      <c r="Q18" s="113" t="str">
        <f t="shared" si="4"/>
        <v>OK</v>
      </c>
      <c r="R18" s="1" t="s">
        <v>90</v>
      </c>
      <c r="S18" s="2"/>
      <c r="T18" s="2"/>
      <c r="U18" s="2"/>
      <c r="V18" s="3"/>
      <c r="W18" s="44"/>
      <c r="X18" s="4"/>
      <c r="Y18" s="4"/>
      <c r="Z18" s="4"/>
      <c r="AA18" s="4"/>
      <c r="AB18" s="4"/>
      <c r="AC18" s="4"/>
      <c r="AD18" s="4"/>
      <c r="AE18" s="22"/>
      <c r="AK18" s="23"/>
      <c r="AL18" s="4"/>
      <c r="AM18" s="4"/>
      <c r="AN18" s="4"/>
      <c r="AO18" s="4"/>
      <c r="AP18" s="4"/>
      <c r="AQ18" s="4"/>
      <c r="AR18" s="4"/>
      <c r="AS18" s="4"/>
      <c r="AT18" s="4"/>
      <c r="AU18" s="4"/>
      <c r="AV18" s="4"/>
      <c r="AW18" s="4"/>
      <c r="AX18" s="4"/>
      <c r="AY18" s="4"/>
      <c r="AZ18" s="4"/>
      <c r="BA18" s="4"/>
    </row>
    <row r="19" ht="14.25" customHeight="1">
      <c r="A19" s="115">
        <v>8.0</v>
      </c>
      <c r="B19" s="57"/>
      <c r="C19" s="57"/>
      <c r="D19" s="57"/>
      <c r="E19" s="57"/>
      <c r="F19" s="116">
        <f>C19*BattCellMaxV</f>
        <v>0</v>
      </c>
      <c r="G19" s="11"/>
      <c r="H19" s="116">
        <f>F19*B19*BattCellCapacity*0.0036</f>
        <v>0</v>
      </c>
      <c r="I19" s="11"/>
      <c r="J19" s="7" t="str">
        <f t="shared" si="2"/>
        <v/>
      </c>
      <c r="K19" s="111" t="s">
        <v>227</v>
      </c>
      <c r="N19" s="23"/>
      <c r="O19" s="112" t="s">
        <v>228</v>
      </c>
      <c r="P19" s="11"/>
      <c r="Q19" s="113" t="str">
        <f t="shared" si="4"/>
        <v>OK</v>
      </c>
      <c r="R19" s="8" t="s">
        <v>90</v>
      </c>
      <c r="T19" s="23"/>
      <c r="U19" s="73" t="s">
        <v>229</v>
      </c>
      <c r="V19" s="11"/>
      <c r="W19" s="7" t="str">
        <f>IF(ISBLANK(U19), IncompleteText, OKText)</f>
        <v>OK</v>
      </c>
      <c r="X19" s="4"/>
      <c r="Y19" s="4"/>
      <c r="Z19" s="4"/>
      <c r="AA19" s="4"/>
      <c r="AB19" s="4"/>
      <c r="AC19" s="4"/>
      <c r="AD19" s="4"/>
      <c r="AE19" s="22"/>
      <c r="AK19" s="23"/>
      <c r="AL19" s="4"/>
      <c r="AM19" s="4"/>
      <c r="AN19" s="4"/>
      <c r="AO19" s="4"/>
      <c r="AP19" s="4"/>
      <c r="AQ19" s="4"/>
      <c r="AR19" s="4"/>
      <c r="AS19" s="4"/>
      <c r="AT19" s="4"/>
      <c r="AU19" s="4"/>
      <c r="AV19" s="4"/>
      <c r="AW19" s="4"/>
      <c r="AX19" s="4"/>
      <c r="AY19" s="4"/>
      <c r="AZ19" s="4"/>
      <c r="BA19" s="4"/>
    </row>
    <row r="20" ht="14.25" customHeight="1">
      <c r="A20" s="115">
        <v>9.0</v>
      </c>
      <c r="B20" s="57"/>
      <c r="C20" s="57"/>
      <c r="D20" s="57"/>
      <c r="E20" s="57"/>
      <c r="F20" s="116">
        <f>C20*BattCellMaxV</f>
        <v>0</v>
      </c>
      <c r="G20" s="11"/>
      <c r="H20" s="116">
        <f>F20*B20*BattCellCapacity*0.0036</f>
        <v>0</v>
      </c>
      <c r="I20" s="11"/>
      <c r="J20" s="7" t="str">
        <f t="shared" si="2"/>
        <v/>
      </c>
      <c r="K20" s="125" t="s">
        <v>230</v>
      </c>
      <c r="O20" s="74"/>
      <c r="P20" s="10"/>
      <c r="Q20" s="113" t="str">
        <f>IF(O19="Other", IF(ISBLANK(O20), IncompleteText, OKText), "")</f>
        <v/>
      </c>
      <c r="R20" s="8" t="s">
        <v>231</v>
      </c>
      <c r="T20" s="23"/>
      <c r="U20" s="93">
        <f>VLOOKUP(U19, FusesTable, 6, FALSE)</f>
        <v>125</v>
      </c>
      <c r="V20" s="44" t="s">
        <v>19</v>
      </c>
      <c r="W20" s="44"/>
      <c r="X20" s="4"/>
      <c r="Y20" s="4"/>
      <c r="Z20" s="4"/>
      <c r="AA20" s="4"/>
      <c r="AB20" s="4"/>
      <c r="AC20" s="4"/>
      <c r="AD20" s="4"/>
      <c r="AE20" s="22"/>
      <c r="AK20" s="23"/>
      <c r="AL20" s="4"/>
      <c r="AM20" s="4"/>
      <c r="AN20" s="4"/>
      <c r="AO20" s="4"/>
      <c r="AP20" s="4"/>
      <c r="AQ20" s="4"/>
      <c r="AR20" s="4"/>
      <c r="AS20" s="4"/>
      <c r="AT20" s="4"/>
      <c r="AU20" s="4"/>
      <c r="AV20" s="4"/>
      <c r="AW20" s="4"/>
      <c r="AX20" s="4"/>
      <c r="AY20" s="4"/>
      <c r="AZ20" s="4"/>
      <c r="BA20" s="4"/>
    </row>
    <row r="21" ht="14.25" customHeight="1">
      <c r="A21" s="115">
        <v>10.0</v>
      </c>
      <c r="B21" s="57"/>
      <c r="C21" s="57"/>
      <c r="D21" s="57"/>
      <c r="E21" s="57"/>
      <c r="F21" s="116">
        <f>C21*BattCellMaxV</f>
        <v>0</v>
      </c>
      <c r="G21" s="11"/>
      <c r="H21" s="116">
        <f>F21*B21*BattCellCapacity*0.0036</f>
        <v>0</v>
      </c>
      <c r="I21" s="11"/>
      <c r="J21" s="7" t="str">
        <f t="shared" si="2"/>
        <v/>
      </c>
      <c r="K21" s="111" t="s">
        <v>232</v>
      </c>
      <c r="N21" s="23"/>
      <c r="O21" s="126">
        <v>250.0</v>
      </c>
      <c r="P21" s="11"/>
      <c r="Q21" s="113" t="str">
        <f>IF(ISERROR(O21), IncompleteText, IF(AND(O21 &lt; MAX(F12:G29), O9 = "Centralized"),  ErrorText, OKText))</f>
        <v>OK</v>
      </c>
      <c r="R21" s="8" t="s">
        <v>233</v>
      </c>
      <c r="T21" s="23"/>
      <c r="U21" s="93">
        <f>VLOOKUP(U19, FusesTable, 4, FALSE)</f>
        <v>500</v>
      </c>
      <c r="V21" s="44" t="s">
        <v>17</v>
      </c>
      <c r="W21" s="7" t="str">
        <f>IF(U21 &lt; MaxTSVoltage, ErrorText, OKText)</f>
        <v>OK</v>
      </c>
      <c r="X21" s="4"/>
      <c r="Y21" s="4"/>
      <c r="Z21" s="4"/>
      <c r="AA21" s="4"/>
      <c r="AB21" s="4"/>
      <c r="AC21" s="4"/>
      <c r="AD21" s="4"/>
      <c r="AE21" s="22"/>
      <c r="AK21" s="23"/>
      <c r="AL21" s="4"/>
      <c r="AM21" s="4"/>
      <c r="AN21" s="4"/>
      <c r="AO21" s="4"/>
      <c r="AP21" s="4"/>
      <c r="AQ21" s="4"/>
      <c r="AR21" s="4"/>
      <c r="AS21" s="4"/>
      <c r="AT21" s="4"/>
      <c r="AU21" s="4"/>
      <c r="AV21" s="4"/>
      <c r="AW21" s="4"/>
      <c r="AX21" s="4"/>
      <c r="AY21" s="4"/>
      <c r="AZ21" s="4"/>
      <c r="BA21" s="4"/>
    </row>
    <row r="22" ht="14.25" customHeight="1">
      <c r="A22" s="115">
        <v>11.0</v>
      </c>
      <c r="B22" s="57"/>
      <c r="C22" s="57"/>
      <c r="D22" s="57"/>
      <c r="E22" s="57"/>
      <c r="F22" s="116">
        <f>C22*BattCellMaxV</f>
        <v>0</v>
      </c>
      <c r="G22" s="11"/>
      <c r="H22" s="116">
        <f>F22*B22*BattCellCapacity*0.0036</f>
        <v>0</v>
      </c>
      <c r="I22" s="11"/>
      <c r="J22" s="7" t="str">
        <f t="shared" si="2"/>
        <v/>
      </c>
      <c r="K22" s="123" t="s">
        <v>234</v>
      </c>
      <c r="Q22" s="44"/>
      <c r="R22" s="4"/>
      <c r="S22" s="4"/>
      <c r="T22" s="4"/>
      <c r="U22" s="4"/>
      <c r="V22" s="4"/>
      <c r="W22" s="4"/>
      <c r="X22" s="4"/>
      <c r="Y22" s="4"/>
      <c r="Z22" s="4"/>
      <c r="AA22" s="4"/>
      <c r="AB22" s="4"/>
      <c r="AC22" s="4"/>
      <c r="AD22" s="4"/>
      <c r="AE22" s="22"/>
      <c r="AK22" s="23"/>
      <c r="AL22" s="4"/>
      <c r="AM22" s="4"/>
      <c r="AN22" s="4"/>
      <c r="AO22" s="4"/>
      <c r="AP22" s="4"/>
      <c r="AQ22" s="4"/>
      <c r="AR22" s="4"/>
      <c r="AS22" s="4"/>
      <c r="AT22" s="4"/>
      <c r="AU22" s="4"/>
      <c r="AV22" s="4"/>
      <c r="AW22" s="4"/>
      <c r="AX22" s="4"/>
      <c r="AY22" s="4"/>
      <c r="AZ22" s="4"/>
      <c r="BA22" s="4"/>
    </row>
    <row r="23" ht="14.25" customHeight="1">
      <c r="A23" s="115">
        <v>12.0</v>
      </c>
      <c r="B23" s="57"/>
      <c r="C23" s="57"/>
      <c r="D23" s="57"/>
      <c r="E23" s="57"/>
      <c r="F23" s="116">
        <f>C23*BattCellMaxV</f>
        <v>0</v>
      </c>
      <c r="G23" s="11"/>
      <c r="H23" s="116">
        <f>F23*B23*BattCellCapacity*0.0036</f>
        <v>0</v>
      </c>
      <c r="I23" s="11"/>
      <c r="J23" s="7" t="str">
        <f t="shared" si="2"/>
        <v/>
      </c>
      <c r="K23" s="111" t="s">
        <v>235</v>
      </c>
      <c r="N23" s="23"/>
      <c r="O23" s="127" t="s">
        <v>236</v>
      </c>
      <c r="P23" s="11"/>
      <c r="Q23" s="113" t="str">
        <f>IF(ISBLANK(O23), IncompleteText, OKText)</f>
        <v>OK</v>
      </c>
      <c r="R23" s="4"/>
      <c r="S23" s="4"/>
      <c r="T23" s="4"/>
      <c r="U23" s="4"/>
      <c r="V23" s="4"/>
      <c r="W23" s="4"/>
      <c r="X23" s="4"/>
      <c r="Y23" s="4"/>
      <c r="Z23" s="4"/>
      <c r="AA23" s="4"/>
      <c r="AB23" s="4"/>
      <c r="AC23" s="4"/>
      <c r="AD23" s="4"/>
      <c r="AE23" s="22"/>
      <c r="AK23" s="23"/>
      <c r="AL23" s="4"/>
      <c r="AM23" s="4"/>
      <c r="AN23" s="4"/>
      <c r="AO23" s="4"/>
      <c r="AP23" s="4"/>
      <c r="AQ23" s="4"/>
      <c r="AR23" s="4"/>
      <c r="AS23" s="4"/>
      <c r="AT23" s="4"/>
      <c r="AU23" s="4"/>
      <c r="AV23" s="4"/>
      <c r="AW23" s="4"/>
      <c r="AX23" s="4"/>
      <c r="AY23" s="4"/>
      <c r="AZ23" s="4"/>
      <c r="BA23" s="4"/>
    </row>
    <row r="24" ht="14.25" customHeight="1">
      <c r="A24" s="115">
        <v>13.0</v>
      </c>
      <c r="B24" s="57"/>
      <c r="C24" s="57"/>
      <c r="D24" s="57"/>
      <c r="E24" s="57"/>
      <c r="F24" s="116">
        <f>C24*BattCellMaxV</f>
        <v>0</v>
      </c>
      <c r="G24" s="11"/>
      <c r="H24" s="116">
        <f>F24*B24*BattCellCapacity*0.0036</f>
        <v>0</v>
      </c>
      <c r="I24" s="11"/>
      <c r="J24" s="7" t="str">
        <f t="shared" si="2"/>
        <v/>
      </c>
      <c r="K24" s="125" t="s">
        <v>237</v>
      </c>
      <c r="N24" s="23"/>
      <c r="O24" s="128"/>
      <c r="P24" s="129" t="s">
        <v>238</v>
      </c>
      <c r="Q24" s="7" t="str">
        <f>IF(O23="On cell terminal","",IF(ISBLANK(O24),IncompleteText,IF(O24&lt;10,OKText,ErrorText)))</f>
        <v/>
      </c>
      <c r="R24" s="4"/>
      <c r="S24" s="4"/>
      <c r="T24" s="4"/>
      <c r="U24" s="4"/>
      <c r="V24" s="4"/>
      <c r="W24" s="4"/>
      <c r="X24" s="4"/>
      <c r="Y24" s="4"/>
      <c r="Z24" s="4"/>
      <c r="AA24" s="4"/>
      <c r="AB24" s="4"/>
      <c r="AC24" s="4"/>
      <c r="AD24" s="4"/>
      <c r="AE24" s="22"/>
      <c r="AK24" s="23"/>
      <c r="AL24" s="4"/>
      <c r="AM24" s="4"/>
      <c r="AN24" s="4"/>
      <c r="AO24" s="4"/>
      <c r="AP24" s="4"/>
      <c r="AQ24" s="4"/>
      <c r="AR24" s="4"/>
      <c r="AS24" s="4"/>
      <c r="AT24" s="4"/>
      <c r="AU24" s="4"/>
      <c r="AV24" s="4"/>
      <c r="AW24" s="4"/>
      <c r="AX24" s="4"/>
      <c r="AY24" s="4"/>
      <c r="AZ24" s="4"/>
      <c r="BA24" s="4"/>
    </row>
    <row r="25" ht="14.25" customHeight="1">
      <c r="A25" s="115">
        <v>14.0</v>
      </c>
      <c r="B25" s="57"/>
      <c r="C25" s="57"/>
      <c r="D25" s="57"/>
      <c r="E25" s="57"/>
      <c r="F25" s="116">
        <f>C25*BattCellMaxV</f>
        <v>0</v>
      </c>
      <c r="G25" s="11"/>
      <c r="H25" s="116">
        <f>F25*B25*BattCellCapacity*0.0036</f>
        <v>0</v>
      </c>
      <c r="I25" s="11"/>
      <c r="J25" s="7" t="str">
        <f t="shared" si="2"/>
        <v/>
      </c>
      <c r="K25" s="111" t="s">
        <v>239</v>
      </c>
      <c r="N25" s="23"/>
      <c r="O25" s="117">
        <v>1.0</v>
      </c>
      <c r="P25" s="39" t="s">
        <v>240</v>
      </c>
      <c r="Q25" s="7" t="str">
        <f>IF(ISBLANK(O25), IncompleteText, OKText)</f>
        <v>OK</v>
      </c>
      <c r="R25" s="4"/>
      <c r="S25" s="4"/>
      <c r="T25" s="4"/>
      <c r="U25" s="4"/>
      <c r="V25" s="4"/>
      <c r="W25" s="4"/>
      <c r="X25" s="4"/>
      <c r="Y25" s="4"/>
      <c r="Z25" s="4"/>
      <c r="AA25" s="4"/>
      <c r="AB25" s="4"/>
      <c r="AC25" s="4"/>
      <c r="AD25" s="4"/>
      <c r="AE25" s="22"/>
      <c r="AK25" s="23"/>
      <c r="AL25" s="4"/>
      <c r="AM25" s="4"/>
      <c r="AN25" s="4"/>
      <c r="AO25" s="4"/>
      <c r="AP25" s="4"/>
      <c r="AQ25" s="4"/>
      <c r="AR25" s="4"/>
      <c r="AS25" s="4"/>
      <c r="AT25" s="4"/>
      <c r="AU25" s="4"/>
      <c r="AV25" s="4"/>
      <c r="AW25" s="4"/>
      <c r="AX25" s="4"/>
      <c r="AY25" s="4"/>
      <c r="AZ25" s="4"/>
      <c r="BA25" s="4"/>
    </row>
    <row r="26" ht="14.25" customHeight="1">
      <c r="A26" s="115">
        <v>15.0</v>
      </c>
      <c r="B26" s="57"/>
      <c r="C26" s="57"/>
      <c r="D26" s="57"/>
      <c r="E26" s="57"/>
      <c r="F26" s="116">
        <f>C26*BattCellMaxV</f>
        <v>0</v>
      </c>
      <c r="G26" s="11"/>
      <c r="H26" s="116">
        <f>F26*B26*BattCellCapacity*0.0036</f>
        <v>0</v>
      </c>
      <c r="I26" s="11"/>
      <c r="J26" s="7" t="str">
        <f t="shared" si="2"/>
        <v/>
      </c>
      <c r="K26" s="111" t="s">
        <v>241</v>
      </c>
      <c r="N26" s="23"/>
      <c r="O26" s="36">
        <v>6.0</v>
      </c>
      <c r="P26" s="11"/>
      <c r="Q26" s="47"/>
      <c r="R26" s="4"/>
      <c r="S26" s="4"/>
      <c r="T26" s="4"/>
      <c r="U26" s="4"/>
      <c r="V26" s="4"/>
      <c r="W26" s="4"/>
      <c r="X26" s="4"/>
      <c r="Y26" s="4"/>
      <c r="Z26" s="4"/>
      <c r="AA26" s="4"/>
      <c r="AB26" s="4"/>
      <c r="AC26" s="4"/>
      <c r="AD26" s="4"/>
      <c r="AE26" s="22"/>
      <c r="AK26" s="23"/>
      <c r="AL26" s="4"/>
      <c r="AM26" s="4"/>
      <c r="AN26" s="4"/>
      <c r="AO26" s="4"/>
      <c r="AP26" s="4"/>
      <c r="AQ26" s="4"/>
      <c r="AR26" s="4"/>
      <c r="AS26" s="4"/>
      <c r="AT26" s="4"/>
      <c r="AU26" s="4"/>
      <c r="AV26" s="4"/>
      <c r="AW26" s="4"/>
      <c r="AX26" s="4"/>
      <c r="AY26" s="4"/>
      <c r="AZ26" s="4"/>
      <c r="BA26" s="4"/>
    </row>
    <row r="27" ht="14.25" customHeight="1">
      <c r="A27" s="115">
        <v>16.0</v>
      </c>
      <c r="B27" s="57"/>
      <c r="C27" s="57"/>
      <c r="D27" s="57"/>
      <c r="E27" s="57"/>
      <c r="F27" s="116">
        <f>C27*BattCellMaxV</f>
        <v>0</v>
      </c>
      <c r="G27" s="11"/>
      <c r="H27" s="116">
        <f>F27*B27*BattCellCapacity*0.0036</f>
        <v>0</v>
      </c>
      <c r="I27" s="11"/>
      <c r="J27" s="7" t="str">
        <f t="shared" si="2"/>
        <v/>
      </c>
      <c r="K27" s="111" t="s">
        <v>242</v>
      </c>
      <c r="N27" s="23"/>
      <c r="O27" s="40" t="s">
        <v>243</v>
      </c>
      <c r="P27" s="11"/>
      <c r="Q27" s="7" t="str">
        <f t="shared" ref="Q27:Q29" si="5">IF(ISBLANK($O$26), "", IF(ISBLANK(O27), IncompleteText, OKText))</f>
        <v>OK</v>
      </c>
      <c r="R27" s="4"/>
      <c r="S27" s="4"/>
      <c r="T27" s="4"/>
      <c r="U27" s="4"/>
      <c r="V27" s="4"/>
      <c r="W27" s="4"/>
      <c r="X27" s="4"/>
      <c r="Y27" s="4"/>
      <c r="Z27" s="4"/>
      <c r="AA27" s="4"/>
      <c r="AB27" s="4"/>
      <c r="AC27" s="4"/>
      <c r="AD27" s="4"/>
      <c r="AE27" s="22"/>
      <c r="AK27" s="23"/>
      <c r="AL27" s="4"/>
      <c r="AM27" s="4"/>
      <c r="AN27" s="4"/>
      <c r="AO27" s="4"/>
      <c r="AP27" s="4"/>
      <c r="AQ27" s="4"/>
      <c r="AR27" s="4"/>
      <c r="AS27" s="4"/>
      <c r="AT27" s="4"/>
      <c r="AU27" s="4"/>
      <c r="AV27" s="4"/>
      <c r="AW27" s="4"/>
      <c r="AX27" s="4"/>
      <c r="AY27" s="4"/>
      <c r="AZ27" s="4"/>
      <c r="BA27" s="4"/>
    </row>
    <row r="28" ht="14.25" customHeight="1">
      <c r="A28" s="115">
        <v>17.0</v>
      </c>
      <c r="B28" s="57"/>
      <c r="C28" s="57"/>
      <c r="D28" s="57"/>
      <c r="E28" s="57"/>
      <c r="F28" s="116">
        <f>C28*BattCellMaxV</f>
        <v>0</v>
      </c>
      <c r="G28" s="11"/>
      <c r="H28" s="116">
        <f>F28*B28*BattCellCapacity*0.0036</f>
        <v>0</v>
      </c>
      <c r="I28" s="11"/>
      <c r="J28" s="7" t="str">
        <f t="shared" si="2"/>
        <v/>
      </c>
      <c r="K28" s="111" t="s">
        <v>244</v>
      </c>
      <c r="N28" s="23"/>
      <c r="O28" s="117">
        <v>5.0</v>
      </c>
      <c r="P28" s="39" t="s">
        <v>245</v>
      </c>
      <c r="Q28" s="7" t="str">
        <f t="shared" si="5"/>
        <v>OK</v>
      </c>
      <c r="R28" s="4"/>
      <c r="S28" s="4"/>
      <c r="T28" s="4"/>
      <c r="U28" s="4"/>
      <c r="V28" s="4"/>
      <c r="W28" s="4"/>
      <c r="X28" s="4"/>
      <c r="Y28" s="4"/>
      <c r="Z28" s="4"/>
      <c r="AA28" s="4"/>
      <c r="AB28" s="4"/>
      <c r="AC28" s="4"/>
      <c r="AD28" s="4"/>
      <c r="AE28" s="22"/>
      <c r="AK28" s="23"/>
      <c r="AL28" s="4"/>
      <c r="AM28" s="4"/>
      <c r="AN28" s="4"/>
      <c r="AO28" s="4"/>
      <c r="AP28" s="4"/>
      <c r="AQ28" s="4"/>
      <c r="AR28" s="4"/>
      <c r="AS28" s="4"/>
      <c r="AT28" s="4"/>
      <c r="AU28" s="4"/>
      <c r="AV28" s="4"/>
      <c r="AW28" s="4"/>
      <c r="AX28" s="4"/>
      <c r="AY28" s="4"/>
      <c r="AZ28" s="4"/>
      <c r="BA28" s="4"/>
    </row>
    <row r="29" ht="14.25" customHeight="1">
      <c r="A29" s="115">
        <v>18.0</v>
      </c>
      <c r="B29" s="57"/>
      <c r="C29" s="57"/>
      <c r="D29" s="57"/>
      <c r="E29" s="57"/>
      <c r="F29" s="116">
        <f>C29*BattCellMaxV</f>
        <v>0</v>
      </c>
      <c r="G29" s="11"/>
      <c r="H29" s="116">
        <f>F29*B29*BattCellCapacity*0.0036</f>
        <v>0</v>
      </c>
      <c r="I29" s="11"/>
      <c r="J29" s="7" t="str">
        <f t="shared" si="2"/>
        <v/>
      </c>
      <c r="K29" s="111" t="s">
        <v>246</v>
      </c>
      <c r="N29" s="23"/>
      <c r="O29" s="117">
        <v>0.5</v>
      </c>
      <c r="P29" s="39" t="s">
        <v>238</v>
      </c>
      <c r="Q29" s="7" t="str">
        <f t="shared" si="5"/>
        <v>OK</v>
      </c>
      <c r="R29" s="4"/>
      <c r="S29" s="4"/>
      <c r="T29" s="4"/>
      <c r="U29" s="4"/>
      <c r="V29" s="4"/>
      <c r="W29" s="4"/>
      <c r="X29" s="4"/>
      <c r="Y29" s="4"/>
      <c r="Z29" s="4"/>
      <c r="AA29" s="4"/>
      <c r="AB29" s="4"/>
      <c r="AC29" s="4"/>
      <c r="AD29" s="4"/>
      <c r="AE29" s="24"/>
      <c r="AF29" s="25"/>
      <c r="AG29" s="25"/>
      <c r="AH29" s="25"/>
      <c r="AI29" s="25"/>
      <c r="AJ29" s="25"/>
      <c r="AK29" s="26"/>
      <c r="AL29" s="4"/>
      <c r="AM29" s="4"/>
      <c r="AN29" s="4"/>
      <c r="AO29" s="4"/>
      <c r="AP29" s="4"/>
      <c r="AQ29" s="4"/>
      <c r="AR29" s="4"/>
      <c r="AS29" s="4"/>
      <c r="AT29" s="4"/>
      <c r="AU29" s="4"/>
      <c r="AV29" s="4"/>
      <c r="AW29" s="4"/>
      <c r="AX29" s="4"/>
      <c r="AY29" s="4"/>
      <c r="AZ29" s="4"/>
      <c r="BA29" s="4"/>
    </row>
    <row r="30" ht="14.25" customHeight="1">
      <c r="A30" s="4"/>
      <c r="B30" s="4"/>
      <c r="C30" s="4"/>
      <c r="D30" s="4"/>
      <c r="E30" s="4"/>
      <c r="F30" s="4"/>
      <c r="G30" s="4"/>
      <c r="H30" s="4"/>
      <c r="I30" s="4"/>
      <c r="J30" s="4"/>
      <c r="K30" s="111" t="s">
        <v>247</v>
      </c>
      <c r="N30" s="23"/>
      <c r="O30" s="130">
        <v>21.805</v>
      </c>
      <c r="P30" s="39" t="s">
        <v>248</v>
      </c>
      <c r="Q30" s="7" t="str">
        <f>IF(ISERROR(O30),IncompleteText,IF(O30&lt;20,ErrorText,OKText))</f>
        <v>OK</v>
      </c>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row>
    <row r="33" ht="14.25" customHeight="1">
      <c r="A33" s="94" t="s">
        <v>249</v>
      </c>
      <c r="B33" s="20"/>
      <c r="C33" s="20"/>
      <c r="D33" s="20"/>
      <c r="E33" s="20"/>
      <c r="F33" s="20"/>
      <c r="G33" s="20"/>
      <c r="H33" s="21"/>
      <c r="I33" s="4"/>
      <c r="J33" s="131" t="s">
        <v>250</v>
      </c>
      <c r="K33" s="20"/>
      <c r="L33" s="20"/>
      <c r="M33" s="20"/>
      <c r="N33" s="20"/>
      <c r="O33" s="20"/>
      <c r="P33" s="20"/>
      <c r="Q33" s="21"/>
      <c r="R33" s="4"/>
      <c r="S33" s="94" t="s">
        <v>251</v>
      </c>
      <c r="T33" s="20"/>
      <c r="U33" s="20"/>
      <c r="V33" s="20"/>
      <c r="W33" s="20"/>
      <c r="X33" s="20"/>
      <c r="Y33" s="20"/>
      <c r="Z33" s="21"/>
      <c r="AA33" s="4"/>
      <c r="AB33" s="94" t="s">
        <v>252</v>
      </c>
      <c r="AC33" s="20"/>
      <c r="AD33" s="20"/>
      <c r="AE33" s="20"/>
      <c r="AF33" s="20"/>
      <c r="AG33" s="20"/>
      <c r="AH33" s="20"/>
      <c r="AI33" s="21"/>
      <c r="AJ33" s="4"/>
      <c r="AK33" s="131" t="s">
        <v>253</v>
      </c>
      <c r="AL33" s="20"/>
      <c r="AM33" s="20"/>
      <c r="AN33" s="20"/>
      <c r="AO33" s="20"/>
      <c r="AP33" s="20"/>
      <c r="AQ33" s="20"/>
      <c r="AR33" s="21"/>
      <c r="AS33" s="4"/>
      <c r="AT33" s="94" t="s">
        <v>254</v>
      </c>
      <c r="AU33" s="20"/>
      <c r="AV33" s="20"/>
      <c r="AW33" s="20"/>
      <c r="AX33" s="20"/>
      <c r="AY33" s="20"/>
      <c r="AZ33" s="20"/>
      <c r="BA33" s="21"/>
    </row>
    <row r="34" ht="14.25" customHeight="1">
      <c r="A34" s="22"/>
      <c r="H34" s="23"/>
      <c r="I34" s="4"/>
      <c r="J34" s="22"/>
      <c r="Q34" s="23"/>
      <c r="R34" s="4"/>
      <c r="S34" s="22"/>
      <c r="Z34" s="23"/>
      <c r="AA34" s="4"/>
      <c r="AB34" s="22"/>
      <c r="AI34" s="23"/>
      <c r="AJ34" s="4"/>
      <c r="AK34" s="22"/>
      <c r="AR34" s="23"/>
      <c r="AS34" s="4"/>
      <c r="AT34" s="22"/>
      <c r="BA34" s="23"/>
    </row>
    <row r="35" ht="14.25" customHeight="1">
      <c r="A35" s="22"/>
      <c r="H35" s="23"/>
      <c r="I35" s="4"/>
      <c r="J35" s="22"/>
      <c r="Q35" s="23"/>
      <c r="R35" s="4"/>
      <c r="S35" s="22"/>
      <c r="Z35" s="23"/>
      <c r="AA35" s="4"/>
      <c r="AB35" s="22"/>
      <c r="AI35" s="23"/>
      <c r="AJ35" s="4"/>
      <c r="AK35" s="22"/>
      <c r="AR35" s="23"/>
      <c r="AS35" s="4"/>
      <c r="AT35" s="22"/>
      <c r="BA35" s="23"/>
    </row>
    <row r="36" ht="14.25" customHeight="1">
      <c r="A36" s="22"/>
      <c r="H36" s="23"/>
      <c r="I36" s="4"/>
      <c r="J36" s="22"/>
      <c r="Q36" s="23"/>
      <c r="R36" s="4"/>
      <c r="S36" s="22"/>
      <c r="Z36" s="23"/>
      <c r="AA36" s="4"/>
      <c r="AB36" s="22"/>
      <c r="AI36" s="23"/>
      <c r="AJ36" s="4"/>
      <c r="AK36" s="22"/>
      <c r="AR36" s="23"/>
      <c r="AS36" s="4"/>
      <c r="AT36" s="22"/>
      <c r="BA36" s="23"/>
    </row>
    <row r="37" ht="14.25" customHeight="1">
      <c r="A37" s="22"/>
      <c r="H37" s="23"/>
      <c r="I37" s="4"/>
      <c r="J37" s="22"/>
      <c r="Q37" s="23"/>
      <c r="R37" s="4"/>
      <c r="S37" s="22"/>
      <c r="Z37" s="23"/>
      <c r="AA37" s="4"/>
      <c r="AB37" s="22"/>
      <c r="AI37" s="23"/>
      <c r="AJ37" s="4"/>
      <c r="AK37" s="22"/>
      <c r="AR37" s="23"/>
      <c r="AS37" s="4"/>
      <c r="AT37" s="22"/>
      <c r="BA37" s="23"/>
    </row>
    <row r="38" ht="14.25" customHeight="1">
      <c r="A38" s="22"/>
      <c r="H38" s="23"/>
      <c r="I38" s="4"/>
      <c r="J38" s="22"/>
      <c r="Q38" s="23"/>
      <c r="R38" s="4"/>
      <c r="S38" s="22"/>
      <c r="Z38" s="23"/>
      <c r="AA38" s="4"/>
      <c r="AB38" s="22"/>
      <c r="AI38" s="23"/>
      <c r="AJ38" s="4"/>
      <c r="AK38" s="22"/>
      <c r="AR38" s="23"/>
      <c r="AS38" s="4"/>
      <c r="AT38" s="22"/>
      <c r="BA38" s="23"/>
    </row>
    <row r="39" ht="14.25" customHeight="1">
      <c r="A39" s="22"/>
      <c r="H39" s="23"/>
      <c r="I39" s="4"/>
      <c r="J39" s="22"/>
      <c r="Q39" s="23"/>
      <c r="R39" s="4"/>
      <c r="S39" s="22"/>
      <c r="Z39" s="23"/>
      <c r="AA39" s="4"/>
      <c r="AB39" s="22"/>
      <c r="AI39" s="23"/>
      <c r="AJ39" s="4"/>
      <c r="AK39" s="22"/>
      <c r="AR39" s="23"/>
      <c r="AS39" s="4"/>
      <c r="AT39" s="22"/>
      <c r="BA39" s="23"/>
    </row>
    <row r="40" ht="14.25" customHeight="1">
      <c r="A40" s="22"/>
      <c r="H40" s="23"/>
      <c r="I40" s="4"/>
      <c r="J40" s="22"/>
      <c r="Q40" s="23"/>
      <c r="R40" s="4"/>
      <c r="S40" s="22"/>
      <c r="Z40" s="23"/>
      <c r="AA40" s="4"/>
      <c r="AB40" s="22"/>
      <c r="AI40" s="23"/>
      <c r="AJ40" s="4"/>
      <c r="AK40" s="22"/>
      <c r="AR40" s="23"/>
      <c r="AS40" s="4"/>
      <c r="AT40" s="22"/>
      <c r="BA40" s="23"/>
    </row>
    <row r="41" ht="14.25" customHeight="1">
      <c r="A41" s="22"/>
      <c r="H41" s="23"/>
      <c r="I41" s="4"/>
      <c r="J41" s="22"/>
      <c r="Q41" s="23"/>
      <c r="R41" s="4"/>
      <c r="S41" s="22"/>
      <c r="Z41" s="23"/>
      <c r="AA41" s="4"/>
      <c r="AB41" s="22"/>
      <c r="AI41" s="23"/>
      <c r="AJ41" s="4"/>
      <c r="AK41" s="22"/>
      <c r="AR41" s="23"/>
      <c r="AS41" s="4"/>
      <c r="AT41" s="22"/>
      <c r="BA41" s="23"/>
    </row>
    <row r="42" ht="14.25" customHeight="1">
      <c r="A42" s="22"/>
      <c r="H42" s="23"/>
      <c r="I42" s="4"/>
      <c r="J42" s="22"/>
      <c r="Q42" s="23"/>
      <c r="R42" s="4"/>
      <c r="S42" s="22"/>
      <c r="Z42" s="23"/>
      <c r="AA42" s="4"/>
      <c r="AB42" s="22"/>
      <c r="AI42" s="23"/>
      <c r="AJ42" s="4"/>
      <c r="AK42" s="22"/>
      <c r="AR42" s="23"/>
      <c r="AS42" s="4"/>
      <c r="AT42" s="22"/>
      <c r="BA42" s="23"/>
    </row>
    <row r="43" ht="14.25" customHeight="1">
      <c r="A43" s="22"/>
      <c r="H43" s="23"/>
      <c r="I43" s="4"/>
      <c r="J43" s="22"/>
      <c r="Q43" s="23"/>
      <c r="R43" s="4"/>
      <c r="S43" s="22"/>
      <c r="Z43" s="23"/>
      <c r="AA43" s="4"/>
      <c r="AB43" s="22"/>
      <c r="AI43" s="23"/>
      <c r="AJ43" s="4"/>
      <c r="AK43" s="22"/>
      <c r="AR43" s="23"/>
      <c r="AS43" s="4"/>
      <c r="AT43" s="22"/>
      <c r="BA43" s="23"/>
    </row>
    <row r="44" ht="14.25" customHeight="1">
      <c r="A44" s="22"/>
      <c r="H44" s="23"/>
      <c r="I44" s="4"/>
      <c r="J44" s="22"/>
      <c r="Q44" s="23"/>
      <c r="R44" s="4"/>
      <c r="S44" s="22"/>
      <c r="Z44" s="23"/>
      <c r="AA44" s="4"/>
      <c r="AB44" s="22"/>
      <c r="AI44" s="23"/>
      <c r="AJ44" s="4"/>
      <c r="AK44" s="22"/>
      <c r="AR44" s="23"/>
      <c r="AS44" s="4"/>
      <c r="AT44" s="22"/>
      <c r="BA44" s="23"/>
    </row>
    <row r="45" ht="14.25" customHeight="1">
      <c r="A45" s="22"/>
      <c r="H45" s="23"/>
      <c r="I45" s="4"/>
      <c r="J45" s="22"/>
      <c r="Q45" s="23"/>
      <c r="R45" s="4"/>
      <c r="S45" s="22"/>
      <c r="Z45" s="23"/>
      <c r="AA45" s="4"/>
      <c r="AB45" s="22"/>
      <c r="AI45" s="23"/>
      <c r="AJ45" s="4"/>
      <c r="AK45" s="22"/>
      <c r="AR45" s="23"/>
      <c r="AS45" s="4"/>
      <c r="AT45" s="22"/>
      <c r="BA45" s="23"/>
    </row>
    <row r="46" ht="14.25" customHeight="1">
      <c r="A46" s="22"/>
      <c r="H46" s="23"/>
      <c r="I46" s="4"/>
      <c r="J46" s="22"/>
      <c r="Q46" s="23"/>
      <c r="R46" s="4"/>
      <c r="S46" s="22"/>
      <c r="Z46" s="23"/>
      <c r="AA46" s="4"/>
      <c r="AB46" s="22"/>
      <c r="AI46" s="23"/>
      <c r="AJ46" s="4"/>
      <c r="AK46" s="22"/>
      <c r="AR46" s="23"/>
      <c r="AS46" s="4"/>
      <c r="AT46" s="22"/>
      <c r="BA46" s="23"/>
    </row>
    <row r="47" ht="14.25" customHeight="1">
      <c r="A47" s="22"/>
      <c r="H47" s="23"/>
      <c r="I47" s="4"/>
      <c r="J47" s="22"/>
      <c r="Q47" s="23"/>
      <c r="R47" s="4"/>
      <c r="S47" s="22"/>
      <c r="Z47" s="23"/>
      <c r="AA47" s="4"/>
      <c r="AB47" s="22"/>
      <c r="AI47" s="23"/>
      <c r="AJ47" s="4"/>
      <c r="AK47" s="22"/>
      <c r="AR47" s="23"/>
      <c r="AS47" s="4"/>
      <c r="AT47" s="22"/>
      <c r="BA47" s="23"/>
    </row>
    <row r="48" ht="14.25" customHeight="1">
      <c r="A48" s="22"/>
      <c r="H48" s="23"/>
      <c r="I48" s="4"/>
      <c r="J48" s="22"/>
      <c r="Q48" s="23"/>
      <c r="R48" s="4"/>
      <c r="S48" s="22"/>
      <c r="Z48" s="23"/>
      <c r="AA48" s="4"/>
      <c r="AB48" s="22"/>
      <c r="AI48" s="23"/>
      <c r="AJ48" s="4"/>
      <c r="AK48" s="22"/>
      <c r="AR48" s="23"/>
      <c r="AS48" s="4"/>
      <c r="AT48" s="22"/>
      <c r="BA48" s="23"/>
    </row>
    <row r="49" ht="14.25" customHeight="1">
      <c r="A49" s="22"/>
      <c r="H49" s="23"/>
      <c r="I49" s="4"/>
      <c r="J49" s="22"/>
      <c r="Q49" s="23"/>
      <c r="R49" s="4"/>
      <c r="S49" s="22"/>
      <c r="Z49" s="23"/>
      <c r="AA49" s="4"/>
      <c r="AB49" s="22"/>
      <c r="AI49" s="23"/>
      <c r="AJ49" s="4"/>
      <c r="AK49" s="22"/>
      <c r="AR49" s="23"/>
      <c r="AS49" s="4"/>
      <c r="AT49" s="22"/>
      <c r="BA49" s="23"/>
    </row>
    <row r="50" ht="14.25" customHeight="1">
      <c r="A50" s="22"/>
      <c r="H50" s="23"/>
      <c r="I50" s="4"/>
      <c r="J50" s="22"/>
      <c r="Q50" s="23"/>
      <c r="R50" s="4"/>
      <c r="S50" s="22"/>
      <c r="Z50" s="23"/>
      <c r="AA50" s="4"/>
      <c r="AB50" s="22"/>
      <c r="AI50" s="23"/>
      <c r="AJ50" s="4"/>
      <c r="AK50" s="22"/>
      <c r="AR50" s="23"/>
      <c r="AS50" s="4"/>
      <c r="AT50" s="22"/>
      <c r="BA50" s="23"/>
    </row>
    <row r="51" ht="14.25" customHeight="1">
      <c r="A51" s="24"/>
      <c r="B51" s="25"/>
      <c r="C51" s="25"/>
      <c r="D51" s="25"/>
      <c r="E51" s="25"/>
      <c r="F51" s="25"/>
      <c r="G51" s="25"/>
      <c r="H51" s="26"/>
      <c r="I51" s="4"/>
      <c r="J51" s="24"/>
      <c r="K51" s="25"/>
      <c r="L51" s="25"/>
      <c r="M51" s="25"/>
      <c r="N51" s="25"/>
      <c r="O51" s="25"/>
      <c r="P51" s="25"/>
      <c r="Q51" s="26"/>
      <c r="R51" s="4"/>
      <c r="S51" s="24"/>
      <c r="T51" s="25"/>
      <c r="U51" s="25"/>
      <c r="V51" s="25"/>
      <c r="W51" s="25"/>
      <c r="X51" s="25"/>
      <c r="Y51" s="25"/>
      <c r="Z51" s="26"/>
      <c r="AA51" s="4"/>
      <c r="AB51" s="24"/>
      <c r="AC51" s="25"/>
      <c r="AD51" s="25"/>
      <c r="AE51" s="25"/>
      <c r="AF51" s="25"/>
      <c r="AG51" s="25"/>
      <c r="AH51" s="25"/>
      <c r="AI51" s="26"/>
      <c r="AJ51" s="4"/>
      <c r="AK51" s="24"/>
      <c r="AL51" s="25"/>
      <c r="AM51" s="25"/>
      <c r="AN51" s="25"/>
      <c r="AO51" s="25"/>
      <c r="AP51" s="25"/>
      <c r="AQ51" s="25"/>
      <c r="AR51" s="26"/>
      <c r="AS51" s="4"/>
      <c r="AT51" s="24"/>
      <c r="AU51" s="25"/>
      <c r="AV51" s="25"/>
      <c r="AW51" s="25"/>
      <c r="AX51" s="25"/>
      <c r="AY51" s="25"/>
      <c r="AZ51" s="25"/>
      <c r="BA51" s="26"/>
    </row>
    <row r="52" ht="14.25" customHeight="1">
      <c r="A52" s="1" t="s">
        <v>255</v>
      </c>
      <c r="B52" s="2"/>
      <c r="C52" s="2"/>
      <c r="D52" s="2"/>
      <c r="E52" s="2"/>
      <c r="F52" s="2"/>
      <c r="G52" s="3"/>
      <c r="H52" s="7" t="str">
        <f>IF(COUNTIF(H53:H55, "="&amp;IncompleteText), IncompleteText, IF(COUNTIF(H53:H55, "="&amp;ErrorText), ErrorText, OKText))</f>
        <v>BLANK</v>
      </c>
      <c r="I52" s="4"/>
      <c r="J52" s="1" t="s">
        <v>256</v>
      </c>
      <c r="K52" s="2"/>
      <c r="L52" s="2"/>
      <c r="M52" s="2"/>
      <c r="N52" s="2"/>
      <c r="O52" s="2"/>
      <c r="P52" s="3"/>
      <c r="Q52" s="7" t="str">
        <f>IF(COUNTIF(Q53:Q54, "="&amp;IncompleteText), IncompleteText, IF(COUNTIF(Q53:Q54, "="&amp;ErrorText), ErrorText, OKText))</f>
        <v>BLANK</v>
      </c>
      <c r="R52" s="4"/>
      <c r="S52" s="1" t="s">
        <v>257</v>
      </c>
      <c r="T52" s="2"/>
      <c r="U52" s="2"/>
      <c r="V52" s="2"/>
      <c r="W52" s="2"/>
      <c r="X52" s="2"/>
      <c r="Y52" s="3"/>
      <c r="Z52" s="7" t="str">
        <f>IF(COUNTIF(Z53:Z54, "="&amp;IncompleteText), IncompleteText, IF(COUNTIF(Z53:Z54, "="&amp;ErrorText), ErrorText, OKText))</f>
        <v>BLANK</v>
      </c>
      <c r="AA52" s="4"/>
      <c r="AB52" s="1" t="s">
        <v>258</v>
      </c>
      <c r="AC52" s="2"/>
      <c r="AD52" s="2"/>
      <c r="AE52" s="2"/>
      <c r="AF52" s="2"/>
      <c r="AG52" s="2"/>
      <c r="AH52" s="3"/>
      <c r="AI52" s="7" t="str">
        <f>IF(COUNTIF(AI53, "="&amp;IncompleteText), IncompleteText, IF(COUNTIF(AI53, "="&amp;ErrorText), ErrorText, OKText))</f>
        <v>BLANK</v>
      </c>
      <c r="AJ52" s="4"/>
      <c r="AK52" s="1" t="s">
        <v>259</v>
      </c>
      <c r="AL52" s="2"/>
      <c r="AM52" s="2"/>
      <c r="AN52" s="2"/>
      <c r="AO52" s="2"/>
      <c r="AP52" s="2"/>
      <c r="AQ52" s="3"/>
      <c r="AR52" s="7" t="str">
        <f>IF(COUNTIF(AR53, "="&amp;IncompleteText), IncompleteText, IF(COUNTIF(AR53, "="&amp;ErrorText), ErrorText, OKText))</f>
        <v>BLANK</v>
      </c>
      <c r="AS52" s="4"/>
      <c r="AT52" s="1" t="s">
        <v>259</v>
      </c>
      <c r="AU52" s="2"/>
      <c r="AV52" s="2"/>
      <c r="AW52" s="2"/>
      <c r="AX52" s="2"/>
      <c r="AY52" s="2"/>
      <c r="AZ52" s="3"/>
      <c r="BA52" s="7" t="str">
        <f>IF(COUNTIF(BA53, "="&amp;IncompleteText), IncompleteText, IF(COUNTIF(BA53, "="&amp;ErrorText), ErrorText, OKText))</f>
        <v>BLANK</v>
      </c>
    </row>
    <row r="53" ht="14.25" customHeight="1">
      <c r="A53" s="8" t="s">
        <v>260</v>
      </c>
      <c r="G53" s="57"/>
      <c r="H53" s="7" t="str">
        <f t="shared" ref="H53:H55" si="6">IF(ISBLANK(G53),IncompleteText, IF(G53, OKText, ErrorText))</f>
        <v>BLANK</v>
      </c>
      <c r="I53" s="4"/>
      <c r="J53" s="8" t="s">
        <v>261</v>
      </c>
      <c r="O53" s="23"/>
      <c r="P53" s="57"/>
      <c r="Q53" s="7" t="str">
        <f t="shared" ref="Q53:Q54" si="7">IF(ISBLANK(P53),IncompleteText, IF(P53, OKText, ErrorText))</f>
        <v>BLANK</v>
      </c>
      <c r="R53" s="4"/>
      <c r="S53" s="8" t="s">
        <v>262</v>
      </c>
      <c r="X53" s="23"/>
      <c r="Y53" s="57"/>
      <c r="Z53" s="7" t="str">
        <f t="shared" ref="Z53:Z54" si="8">IF(ISBLANK(Y53),IncompleteText, IF(Y53, OKText, ErrorText))</f>
        <v>BLANK</v>
      </c>
      <c r="AA53" s="4"/>
      <c r="AB53" s="8" t="s">
        <v>263</v>
      </c>
      <c r="AG53" s="23"/>
      <c r="AH53" s="57"/>
      <c r="AI53" s="7" t="str">
        <f>IF(ISBLANK(AH53),IncompleteText, IF(AH53, OKText, ErrorText))</f>
        <v>BLANK</v>
      </c>
      <c r="AJ53" s="4"/>
      <c r="AK53" s="8" t="s">
        <v>264</v>
      </c>
      <c r="AP53" s="23"/>
      <c r="AQ53" s="57"/>
      <c r="AR53" s="7" t="str">
        <f>IF(ISBLANK(AQ53),IncompleteText, IF(AQ53, OKText, ErrorText))</f>
        <v>BLANK</v>
      </c>
      <c r="AS53" s="4"/>
      <c r="AT53" s="8" t="s">
        <v>265</v>
      </c>
      <c r="AY53" s="23"/>
      <c r="AZ53" s="57"/>
      <c r="BA53" s="7" t="str">
        <f>IF(ISBLANK(AZ53),IncompleteText, IF(AZ53, OKText, ErrorText))</f>
        <v>BLANK</v>
      </c>
    </row>
    <row r="54" ht="14.25" customHeight="1">
      <c r="A54" s="8" t="s">
        <v>266</v>
      </c>
      <c r="G54" s="57"/>
      <c r="H54" s="7" t="str">
        <f t="shared" si="6"/>
        <v>BLANK</v>
      </c>
      <c r="I54" s="4"/>
      <c r="J54" s="8" t="s">
        <v>267</v>
      </c>
      <c r="O54" s="23"/>
      <c r="P54" s="57"/>
      <c r="Q54" s="7" t="str">
        <f t="shared" si="7"/>
        <v>BLANK</v>
      </c>
      <c r="R54" s="4"/>
      <c r="S54" s="8" t="s">
        <v>268</v>
      </c>
      <c r="X54" s="23"/>
      <c r="Y54" s="57"/>
      <c r="Z54" s="7" t="str">
        <f t="shared" si="8"/>
        <v>BLANK</v>
      </c>
      <c r="AA54" s="4"/>
      <c r="AB54" s="1" t="s">
        <v>20</v>
      </c>
      <c r="AC54" s="2"/>
      <c r="AD54" s="2"/>
      <c r="AE54" s="2"/>
      <c r="AF54" s="2"/>
      <c r="AG54" s="2"/>
      <c r="AH54" s="3"/>
      <c r="AI54" s="132" t="s">
        <v>64</v>
      </c>
      <c r="AJ54" s="4"/>
      <c r="AK54" s="1" t="s">
        <v>20</v>
      </c>
      <c r="AL54" s="2"/>
      <c r="AM54" s="2"/>
      <c r="AN54" s="2"/>
      <c r="AO54" s="2"/>
      <c r="AP54" s="2"/>
      <c r="AQ54" s="3"/>
      <c r="AR54" s="132" t="s">
        <v>64</v>
      </c>
      <c r="AS54" s="4"/>
      <c r="AT54" s="1" t="s">
        <v>20</v>
      </c>
      <c r="AU54" s="2"/>
      <c r="AV54" s="2"/>
      <c r="AW54" s="2"/>
      <c r="AX54" s="2"/>
      <c r="AY54" s="2"/>
      <c r="AZ54" s="3"/>
      <c r="BA54" s="132" t="s">
        <v>64</v>
      </c>
    </row>
    <row r="55" ht="14.25" customHeight="1">
      <c r="A55" s="8" t="s">
        <v>269</v>
      </c>
      <c r="G55" s="57"/>
      <c r="H55" s="7" t="str">
        <f t="shared" si="6"/>
        <v>BLANK</v>
      </c>
      <c r="I55" s="4"/>
      <c r="J55" s="1" t="s">
        <v>20</v>
      </c>
      <c r="K55" s="2"/>
      <c r="L55" s="2"/>
      <c r="M55" s="2"/>
      <c r="N55" s="2"/>
      <c r="O55" s="2"/>
      <c r="P55" s="3"/>
      <c r="Q55" s="132" t="s">
        <v>64</v>
      </c>
      <c r="R55" s="4"/>
      <c r="S55" s="1" t="s">
        <v>20</v>
      </c>
      <c r="T55" s="2"/>
      <c r="U55" s="2"/>
      <c r="V55" s="2"/>
      <c r="W55" s="2"/>
      <c r="X55" s="2"/>
      <c r="Y55" s="3"/>
      <c r="Z55" s="132" t="s">
        <v>64</v>
      </c>
      <c r="AA55" s="4"/>
      <c r="AB55" s="19"/>
      <c r="AC55" s="20"/>
      <c r="AD55" s="20"/>
      <c r="AE55" s="20"/>
      <c r="AF55" s="20"/>
      <c r="AG55" s="20"/>
      <c r="AH55" s="21"/>
      <c r="AI55" s="133" t="s">
        <v>270</v>
      </c>
      <c r="AJ55" s="4"/>
      <c r="AK55" s="19"/>
      <c r="AL55" s="20"/>
      <c r="AM55" s="20"/>
      <c r="AN55" s="20"/>
      <c r="AO55" s="20"/>
      <c r="AP55" s="20"/>
      <c r="AQ55" s="21"/>
      <c r="AR55" s="134" t="s">
        <v>271</v>
      </c>
      <c r="AS55" s="4"/>
      <c r="AT55" s="19"/>
      <c r="AU55" s="20"/>
      <c r="AV55" s="20"/>
      <c r="AW55" s="20"/>
      <c r="AX55" s="20"/>
      <c r="AY55" s="20"/>
      <c r="AZ55" s="21"/>
      <c r="BA55" s="134" t="s">
        <v>271</v>
      </c>
    </row>
    <row r="56" ht="14.25" customHeight="1">
      <c r="A56" s="1" t="s">
        <v>20</v>
      </c>
      <c r="B56" s="2"/>
      <c r="C56" s="2"/>
      <c r="D56" s="2"/>
      <c r="E56" s="2"/>
      <c r="F56" s="2"/>
      <c r="G56" s="3"/>
      <c r="H56" s="132" t="s">
        <v>64</v>
      </c>
      <c r="I56" s="135"/>
      <c r="J56" s="19"/>
      <c r="K56" s="20"/>
      <c r="L56" s="20"/>
      <c r="M56" s="20"/>
      <c r="N56" s="20"/>
      <c r="O56" s="20"/>
      <c r="P56" s="21"/>
      <c r="Q56" s="134" t="s">
        <v>272</v>
      </c>
      <c r="R56" s="135"/>
      <c r="S56" s="19"/>
      <c r="T56" s="20"/>
      <c r="U56" s="20"/>
      <c r="V56" s="20"/>
      <c r="W56" s="20"/>
      <c r="X56" s="20"/>
      <c r="Y56" s="21"/>
      <c r="Z56" s="133" t="s">
        <v>273</v>
      </c>
      <c r="AA56" s="135"/>
      <c r="AB56" s="22"/>
      <c r="AH56" s="23"/>
      <c r="AI56" s="136"/>
      <c r="AJ56" s="135"/>
      <c r="AK56" s="22"/>
      <c r="AQ56" s="23"/>
      <c r="AR56" s="136"/>
      <c r="AS56" s="135"/>
      <c r="AT56" s="22"/>
      <c r="AZ56" s="23"/>
      <c r="BA56" s="136"/>
    </row>
    <row r="57" ht="14.25" customHeight="1">
      <c r="A57" s="137"/>
      <c r="B57" s="107"/>
      <c r="C57" s="107"/>
      <c r="D57" s="107"/>
      <c r="E57" s="107"/>
      <c r="F57" s="107"/>
      <c r="G57" s="138"/>
      <c r="H57" s="133" t="s">
        <v>158</v>
      </c>
      <c r="I57" s="135"/>
      <c r="J57" s="22"/>
      <c r="P57" s="23"/>
      <c r="Q57" s="136"/>
      <c r="R57" s="135"/>
      <c r="S57" s="22"/>
      <c r="Y57" s="23"/>
      <c r="Z57" s="136"/>
      <c r="AA57" s="135"/>
      <c r="AB57" s="22"/>
      <c r="AH57" s="23"/>
      <c r="AI57" s="136"/>
      <c r="AJ57" s="135"/>
      <c r="AK57" s="22"/>
      <c r="AQ57" s="23"/>
      <c r="AR57" s="136"/>
      <c r="AS57" s="135"/>
      <c r="AT57" s="22"/>
      <c r="AZ57" s="23"/>
      <c r="BA57" s="136"/>
    </row>
    <row r="58" ht="14.25" customHeight="1">
      <c r="A58" s="139"/>
      <c r="G58" s="23"/>
      <c r="H58" s="136"/>
      <c r="I58" s="135"/>
      <c r="J58" s="22"/>
      <c r="P58" s="23"/>
      <c r="Q58" s="136"/>
      <c r="R58" s="135"/>
      <c r="S58" s="22"/>
      <c r="Y58" s="23"/>
      <c r="Z58" s="136"/>
      <c r="AA58" s="135"/>
      <c r="AB58" s="24"/>
      <c r="AC58" s="25"/>
      <c r="AD58" s="25"/>
      <c r="AE58" s="25"/>
      <c r="AF58" s="25"/>
      <c r="AG58" s="25"/>
      <c r="AH58" s="26"/>
      <c r="AI58" s="140"/>
      <c r="AJ58" s="135"/>
      <c r="AK58" s="24"/>
      <c r="AL58" s="25"/>
      <c r="AM58" s="25"/>
      <c r="AN58" s="25"/>
      <c r="AO58" s="25"/>
      <c r="AP58" s="25"/>
      <c r="AQ58" s="26"/>
      <c r="AR58" s="140"/>
      <c r="AS58" s="135"/>
      <c r="AT58" s="24"/>
      <c r="AU58" s="25"/>
      <c r="AV58" s="25"/>
      <c r="AW58" s="25"/>
      <c r="AX58" s="25"/>
      <c r="AY58" s="25"/>
      <c r="AZ58" s="26"/>
      <c r="BA58" s="140"/>
    </row>
    <row r="59" ht="14.25" customHeight="1">
      <c r="A59" s="141"/>
      <c r="B59" s="142"/>
      <c r="C59" s="142"/>
      <c r="D59" s="142"/>
      <c r="E59" s="142"/>
      <c r="F59" s="142"/>
      <c r="G59" s="143"/>
      <c r="H59" s="140"/>
      <c r="I59" s="135"/>
      <c r="J59" s="24"/>
      <c r="K59" s="25"/>
      <c r="L59" s="25"/>
      <c r="M59" s="25"/>
      <c r="N59" s="25"/>
      <c r="O59" s="25"/>
      <c r="P59" s="26"/>
      <c r="Q59" s="140"/>
      <c r="R59" s="135"/>
      <c r="S59" s="24"/>
      <c r="T59" s="25"/>
      <c r="U59" s="25"/>
      <c r="V59" s="25"/>
      <c r="W59" s="25"/>
      <c r="X59" s="25"/>
      <c r="Y59" s="26"/>
      <c r="Z59" s="140"/>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row r="61" ht="14.25" customHeight="1">
      <c r="A61" s="1" t="s">
        <v>274</v>
      </c>
      <c r="B61" s="2"/>
      <c r="C61" s="2"/>
      <c r="D61" s="2"/>
      <c r="E61" s="3"/>
      <c r="F61" s="7" t="str">
        <f>IF(AND(B12=1), OKText, IF(COUNTIF(F62:F71, "="&amp;IncompleteText), IncompleteText, IF(COUNTIF(F62:F71, "="&amp;ErrorText), ErrorText, OKText)))</f>
        <v>WARNING</v>
      </c>
      <c r="G61" s="144" t="s">
        <v>275</v>
      </c>
      <c r="H61" s="145"/>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row>
    <row r="62" ht="14.25" customHeight="1">
      <c r="A62" s="8" t="s">
        <v>276</v>
      </c>
      <c r="C62" s="23"/>
      <c r="D62" s="9" t="s">
        <v>277</v>
      </c>
      <c r="E62" s="11"/>
      <c r="F62" s="7" t="str">
        <f>IF(B12 &lt;&gt; 1, IF(ISBLANK(D62),IncompleteText,OKText), "")</f>
        <v>OK</v>
      </c>
      <c r="G62" s="55" t="s">
        <v>278</v>
      </c>
      <c r="H62" s="21"/>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row>
    <row r="63" ht="14.25" customHeight="1">
      <c r="A63" s="8" t="s">
        <v>216</v>
      </c>
      <c r="C63" s="23"/>
      <c r="D63" s="41"/>
      <c r="E63" s="11"/>
      <c r="F63" s="7" t="str">
        <f>IF(D62 = "Purchased", IF(ISBLANK(D63), IncompleteText, OKText), "")</f>
        <v/>
      </c>
      <c r="G63" s="22"/>
      <c r="H63" s="23"/>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row>
    <row r="64" ht="14.25" customHeight="1">
      <c r="A64" s="8" t="s">
        <v>279</v>
      </c>
      <c r="C64" s="23"/>
      <c r="D64" s="93" t="str">
        <f>VLOOKUP(D63, FusesTable, 6, FALSE)</f>
        <v>#N/A</v>
      </c>
      <c r="E64" s="44" t="s">
        <v>19</v>
      </c>
      <c r="F64" s="7" t="str">
        <f>IF(D62="Purchased",  IFNA(IF(D64*B12/3 &gt;= U20, OKText, ErrorText),IncompleteText), "")</f>
        <v/>
      </c>
      <c r="G64" s="22"/>
      <c r="H64" s="23"/>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row>
    <row r="65" ht="14.25" customHeight="1">
      <c r="A65" s="8" t="s">
        <v>279</v>
      </c>
      <c r="C65" s="23"/>
      <c r="D65" s="50">
        <v>67.0</v>
      </c>
      <c r="E65" s="44" t="s">
        <v>19</v>
      </c>
      <c r="F65" s="7" t="str">
        <f>IF(D62="Team Designed", IFNA(IF(D65*B12/3 &gt;= U20, OKText, ErrorText),IncompleteText), "")</f>
        <v>OK</v>
      </c>
      <c r="G65" s="24"/>
      <c r="H65" s="26"/>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row>
    <row r="67" ht="14.25" customHeight="1">
      <c r="A67" s="1" t="s">
        <v>280</v>
      </c>
      <c r="B67" s="2"/>
      <c r="C67" s="2"/>
      <c r="D67" s="2"/>
      <c r="E67" s="3"/>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row>
    <row r="68" ht="14.25" customHeight="1">
      <c r="A68" s="8" t="s">
        <v>281</v>
      </c>
      <c r="C68" s="23"/>
      <c r="D68" s="93">
        <f>COUNTIFS(C75:C90, "&lt;300", C75:C90, "&gt;30")</f>
        <v>0</v>
      </c>
      <c r="E68" s="44"/>
      <c r="F68" s="7" t="str">
        <f t="shared" ref="F68:F71" si="9">IF(D$62 = "Team Designed",IF(D68&gt;=4, OKText, ErrorText), "")</f>
        <v>WARNING</v>
      </c>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row>
    <row r="69" ht="14.25" customHeight="1">
      <c r="A69" s="8" t="s">
        <v>282</v>
      </c>
      <c r="C69" s="23"/>
      <c r="D69" s="93">
        <f>COUNTIFS(C75:C90, "&lt;15", C75:C90, "&gt;5")</f>
        <v>0</v>
      </c>
      <c r="E69" s="44"/>
      <c r="F69" s="7" t="str">
        <f t="shared" si="9"/>
        <v>WARNING</v>
      </c>
      <c r="G69" s="4"/>
      <c r="H69" s="4" t="str">
        <f>10^ROUNDDOWN(LOG10(MIN(C75:C90)), 0)</f>
        <v>#NUM!</v>
      </c>
      <c r="I69" s="4">
        <f>D65</f>
        <v>67</v>
      </c>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row>
    <row r="70" ht="14.25" customHeight="1">
      <c r="A70" s="8" t="s">
        <v>283</v>
      </c>
      <c r="C70" s="23"/>
      <c r="D70" s="93">
        <f>COUNTIFS(C75:C90, "&lt;1", C75:C90, "&gt;0.2")</f>
        <v>0</v>
      </c>
      <c r="E70" s="44"/>
      <c r="F70" s="7" t="str">
        <f t="shared" si="9"/>
        <v>WARNING</v>
      </c>
      <c r="G70" s="4"/>
      <c r="H70" s="4" t="str">
        <f>10^ROUNDUP(LOG10(MAX(C75:C90)), 0)</f>
        <v>#NUM!</v>
      </c>
      <c r="I70" s="4">
        <f>D65</f>
        <v>67</v>
      </c>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row>
    <row r="71" ht="14.25" customHeight="1">
      <c r="A71" s="8" t="s">
        <v>284</v>
      </c>
      <c r="C71" s="23"/>
      <c r="D71" s="93">
        <f>COUNTIFS(C75:C90, "&lt;0.15", C75:C90, "&gt;0.05")</f>
        <v>0</v>
      </c>
      <c r="E71" s="44"/>
      <c r="F71" s="7" t="str">
        <f t="shared" si="9"/>
        <v>WARNING</v>
      </c>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row>
    <row r="72" ht="14.25" customHeight="1">
      <c r="A72" s="4" t="s">
        <v>285</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row>
    <row r="74" ht="14.25" customHeight="1">
      <c r="A74" s="44" t="s">
        <v>286</v>
      </c>
      <c r="B74" s="45" t="s">
        <v>287</v>
      </c>
      <c r="C74" s="45" t="s">
        <v>288</v>
      </c>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row>
    <row r="75" ht="14.25" customHeight="1">
      <c r="A75" s="44" t="s">
        <v>289</v>
      </c>
      <c r="B75" s="57"/>
      <c r="C75" s="57"/>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row>
    <row r="76" ht="14.25" customHeight="1">
      <c r="A76" s="44" t="s">
        <v>290</v>
      </c>
      <c r="B76" s="57"/>
      <c r="C76" s="57"/>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row>
    <row r="77" ht="14.25" customHeight="1">
      <c r="A77" s="44" t="s">
        <v>291</v>
      </c>
      <c r="B77" s="57"/>
      <c r="C77" s="57"/>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row>
    <row r="78" ht="14.25" customHeight="1">
      <c r="A78" s="44" t="s">
        <v>292</v>
      </c>
      <c r="B78" s="57"/>
      <c r="C78" s="57"/>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row>
    <row r="79" ht="14.25" customHeight="1">
      <c r="A79" s="44" t="s">
        <v>293</v>
      </c>
      <c r="B79" s="57"/>
      <c r="C79" s="57"/>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row>
    <row r="80" ht="14.25" customHeight="1">
      <c r="A80" s="44" t="s">
        <v>294</v>
      </c>
      <c r="B80" s="57"/>
      <c r="C80" s="57"/>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row>
    <row r="81" ht="14.25" customHeight="1">
      <c r="A81" s="44" t="s">
        <v>295</v>
      </c>
      <c r="B81" s="57"/>
      <c r="C81" s="57"/>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row>
    <row r="82" ht="14.25" customHeight="1">
      <c r="A82" s="44" t="s">
        <v>296</v>
      </c>
      <c r="B82" s="57"/>
      <c r="C82" s="57"/>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row>
    <row r="83" ht="14.25" customHeight="1">
      <c r="A83" s="44" t="s">
        <v>297</v>
      </c>
      <c r="B83" s="57"/>
      <c r="C83" s="57"/>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row>
    <row r="84" ht="14.25" customHeight="1">
      <c r="A84" s="44" t="s">
        <v>298</v>
      </c>
      <c r="B84" s="57"/>
      <c r="C84" s="57"/>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row>
    <row r="85" ht="14.25" customHeight="1">
      <c r="A85" s="44" t="s">
        <v>299</v>
      </c>
      <c r="B85" s="57"/>
      <c r="C85" s="57"/>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row>
    <row r="86" ht="14.25" customHeight="1">
      <c r="A86" s="44" t="s">
        <v>300</v>
      </c>
      <c r="B86" s="57"/>
      <c r="C86" s="57"/>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row>
    <row r="87" ht="14.25" customHeight="1">
      <c r="A87" s="44" t="s">
        <v>301</v>
      </c>
      <c r="B87" s="57"/>
      <c r="C87" s="57"/>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row>
    <row r="88" ht="14.25" customHeight="1">
      <c r="A88" s="44" t="s">
        <v>302</v>
      </c>
      <c r="B88" s="57"/>
      <c r="C88" s="57"/>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row>
    <row r="89" ht="14.25" customHeight="1">
      <c r="A89" s="44" t="s">
        <v>303</v>
      </c>
      <c r="B89" s="57"/>
      <c r="C89" s="57"/>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row>
    <row r="90" ht="14.25" customHeight="1">
      <c r="A90" s="44" t="s">
        <v>304</v>
      </c>
      <c r="B90" s="57"/>
      <c r="C90" s="57"/>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row>
  </sheetData>
  <mergeCells count="172">
    <mergeCell ref="X13:AA13"/>
    <mergeCell ref="X14:AA14"/>
    <mergeCell ref="X15:AA15"/>
    <mergeCell ref="AB15:AC15"/>
    <mergeCell ref="X16:AA16"/>
    <mergeCell ref="X17:AA17"/>
    <mergeCell ref="X8:AC8"/>
    <mergeCell ref="AE8:AK8"/>
    <mergeCell ref="AE9:AK29"/>
    <mergeCell ref="X10:AA10"/>
    <mergeCell ref="X11:AA11"/>
    <mergeCell ref="X12:AA12"/>
    <mergeCell ref="AB12:AC12"/>
    <mergeCell ref="O14:P14"/>
    <mergeCell ref="R14:T14"/>
    <mergeCell ref="R15:T15"/>
    <mergeCell ref="R16:T16"/>
    <mergeCell ref="F14:G14"/>
    <mergeCell ref="F15:G15"/>
    <mergeCell ref="H15:I15"/>
    <mergeCell ref="K15:N15"/>
    <mergeCell ref="O15:P15"/>
    <mergeCell ref="H16:I16"/>
    <mergeCell ref="K16:P16"/>
    <mergeCell ref="F16:G16"/>
    <mergeCell ref="F17:G17"/>
    <mergeCell ref="H17:I17"/>
    <mergeCell ref="K17:N17"/>
    <mergeCell ref="R17:T17"/>
    <mergeCell ref="F18:G18"/>
    <mergeCell ref="H18:I18"/>
    <mergeCell ref="R18:V18"/>
    <mergeCell ref="K18:N18"/>
    <mergeCell ref="O18:P18"/>
    <mergeCell ref="H19:I19"/>
    <mergeCell ref="K19:N19"/>
    <mergeCell ref="O19:P19"/>
    <mergeCell ref="R19:T19"/>
    <mergeCell ref="U19:V19"/>
    <mergeCell ref="A3:D3"/>
    <mergeCell ref="A4:D4"/>
    <mergeCell ref="A5:D5"/>
    <mergeCell ref="A6:D6"/>
    <mergeCell ref="A8:I8"/>
    <mergeCell ref="K8:P8"/>
    <mergeCell ref="R8:V8"/>
    <mergeCell ref="D9:E9"/>
    <mergeCell ref="K9:N9"/>
    <mergeCell ref="O9:P9"/>
    <mergeCell ref="R9:T9"/>
    <mergeCell ref="U9:V9"/>
    <mergeCell ref="X9:AA9"/>
    <mergeCell ref="AB9:AC9"/>
    <mergeCell ref="H10:I11"/>
    <mergeCell ref="K10:N10"/>
    <mergeCell ref="O10:P10"/>
    <mergeCell ref="R10:T10"/>
    <mergeCell ref="L11:M11"/>
    <mergeCell ref="O11:P11"/>
    <mergeCell ref="R11:T11"/>
    <mergeCell ref="U11:V11"/>
    <mergeCell ref="F12:G12"/>
    <mergeCell ref="H12:I12"/>
    <mergeCell ref="K12:N12"/>
    <mergeCell ref="R12:T12"/>
    <mergeCell ref="A9:C9"/>
    <mergeCell ref="A10:A11"/>
    <mergeCell ref="B10:B11"/>
    <mergeCell ref="C10:C11"/>
    <mergeCell ref="D10:D11"/>
    <mergeCell ref="E10:E11"/>
    <mergeCell ref="F10:G11"/>
    <mergeCell ref="F13:G13"/>
    <mergeCell ref="H13:I13"/>
    <mergeCell ref="K13:N13"/>
    <mergeCell ref="R13:V13"/>
    <mergeCell ref="H14:I14"/>
    <mergeCell ref="K14:N14"/>
    <mergeCell ref="U14:V14"/>
    <mergeCell ref="R20:T20"/>
    <mergeCell ref="R21:T21"/>
    <mergeCell ref="J33:Q51"/>
    <mergeCell ref="J52:P52"/>
    <mergeCell ref="J53:O53"/>
    <mergeCell ref="J54:O54"/>
    <mergeCell ref="J55:P55"/>
    <mergeCell ref="J56:P59"/>
    <mergeCell ref="Q56:Q59"/>
    <mergeCell ref="S53:X53"/>
    <mergeCell ref="S54:X54"/>
    <mergeCell ref="S55:Y55"/>
    <mergeCell ref="S56:Y59"/>
    <mergeCell ref="Z56:Z59"/>
    <mergeCell ref="F29:G29"/>
    <mergeCell ref="H29:I29"/>
    <mergeCell ref="K29:N29"/>
    <mergeCell ref="K30:N30"/>
    <mergeCell ref="A33:H51"/>
    <mergeCell ref="S33:Z51"/>
    <mergeCell ref="S52:Y52"/>
    <mergeCell ref="A52:G52"/>
    <mergeCell ref="A53:F53"/>
    <mergeCell ref="A54:F54"/>
    <mergeCell ref="A55:F55"/>
    <mergeCell ref="A56:G56"/>
    <mergeCell ref="A57:G59"/>
    <mergeCell ref="H57:H59"/>
    <mergeCell ref="A64:C64"/>
    <mergeCell ref="A65:C65"/>
    <mergeCell ref="A67:E67"/>
    <mergeCell ref="A68:C68"/>
    <mergeCell ref="A69:C69"/>
    <mergeCell ref="A70:C70"/>
    <mergeCell ref="A71:C71"/>
    <mergeCell ref="A61:E61"/>
    <mergeCell ref="G61:H61"/>
    <mergeCell ref="A62:C62"/>
    <mergeCell ref="D62:E62"/>
    <mergeCell ref="G62:H65"/>
    <mergeCell ref="A63:C63"/>
    <mergeCell ref="D63:E63"/>
    <mergeCell ref="AK53:AP53"/>
    <mergeCell ref="AK54:AQ54"/>
    <mergeCell ref="AB55:AH58"/>
    <mergeCell ref="AI55:AI58"/>
    <mergeCell ref="AK55:AQ58"/>
    <mergeCell ref="AR55:AR58"/>
    <mergeCell ref="AT55:AZ58"/>
    <mergeCell ref="BA55:BA58"/>
    <mergeCell ref="AB33:AI51"/>
    <mergeCell ref="AK33:AR51"/>
    <mergeCell ref="AT33:BA51"/>
    <mergeCell ref="AB52:AH52"/>
    <mergeCell ref="AK52:AQ52"/>
    <mergeCell ref="AB53:AG53"/>
    <mergeCell ref="AB54:AH54"/>
    <mergeCell ref="AT54:AZ54"/>
    <mergeCell ref="K20:N20"/>
    <mergeCell ref="K21:N21"/>
    <mergeCell ref="F19:G19"/>
    <mergeCell ref="F20:G20"/>
    <mergeCell ref="H20:I20"/>
    <mergeCell ref="O20:P20"/>
    <mergeCell ref="F21:G21"/>
    <mergeCell ref="H21:I21"/>
    <mergeCell ref="O21:P21"/>
    <mergeCell ref="F22:G22"/>
    <mergeCell ref="H22:I22"/>
    <mergeCell ref="K22:P22"/>
    <mergeCell ref="F23:G23"/>
    <mergeCell ref="H23:I23"/>
    <mergeCell ref="K23:N23"/>
    <mergeCell ref="O23:P23"/>
    <mergeCell ref="K25:N25"/>
    <mergeCell ref="K26:N26"/>
    <mergeCell ref="O26:P26"/>
    <mergeCell ref="F24:G24"/>
    <mergeCell ref="H24:I24"/>
    <mergeCell ref="K24:N24"/>
    <mergeCell ref="F25:G25"/>
    <mergeCell ref="H25:I25"/>
    <mergeCell ref="F26:G26"/>
    <mergeCell ref="H26:I26"/>
    <mergeCell ref="F27:G27"/>
    <mergeCell ref="H27:I27"/>
    <mergeCell ref="K27:N27"/>
    <mergeCell ref="O27:P27"/>
    <mergeCell ref="F28:G28"/>
    <mergeCell ref="H28:I28"/>
    <mergeCell ref="K28:N28"/>
    <mergeCell ref="AT52:AZ52"/>
    <mergeCell ref="AT53:AY53"/>
  </mergeCells>
  <conditionalFormatting sqref="K11:L11 N11:O11">
    <cfRule type="expression" dxfId="0" priority="1">
      <formula>$O$10="Team Built"</formula>
    </cfRule>
  </conditionalFormatting>
  <conditionalFormatting sqref="K14:K15 O14:O15">
    <cfRule type="expression" dxfId="0" priority="2">
      <formula>$O$10="Purchased"</formula>
    </cfRule>
  </conditionalFormatting>
  <conditionalFormatting sqref="K20 O20:P20">
    <cfRule type="expression" dxfId="0" priority="3">
      <formula>$O$19&lt;&gt;"Other"</formula>
    </cfRule>
  </conditionalFormatting>
  <conditionalFormatting sqref="A63:A64 D63 D64:E64 F63:F64">
    <cfRule type="expression" dxfId="0" priority="4">
      <formula>$D$62 = "Team Designed"</formula>
    </cfRule>
  </conditionalFormatting>
  <conditionalFormatting sqref="A65 A74:C90 D65:F65">
    <cfRule type="expression" dxfId="0" priority="5">
      <formula>$D$62 = "Purchased"</formula>
    </cfRule>
  </conditionalFormatting>
  <conditionalFormatting sqref="H53:H55">
    <cfRule type="expression" dxfId="0" priority="6">
      <formula>$D$62 = "Team Designed"</formula>
    </cfRule>
  </conditionalFormatting>
  <conditionalFormatting sqref="Q53:Q54">
    <cfRule type="expression" dxfId="0" priority="7">
      <formula>$D$62 = "Team Designed"</formula>
    </cfRule>
  </conditionalFormatting>
  <conditionalFormatting sqref="Z53:Z54">
    <cfRule type="expression" dxfId="0" priority="8">
      <formula>$D$62 = "Team Designed"</formula>
    </cfRule>
  </conditionalFormatting>
  <conditionalFormatting sqref="AI53">
    <cfRule type="expression" dxfId="0" priority="9">
      <formula>$D$62 = "Team Designed"</formula>
    </cfRule>
  </conditionalFormatting>
  <conditionalFormatting sqref="AR53">
    <cfRule type="expression" dxfId="0" priority="10">
      <formula>$D$62 = "Team Designed"</formula>
    </cfRule>
  </conditionalFormatting>
  <conditionalFormatting sqref="BA53">
    <cfRule type="expression" dxfId="0" priority="11">
      <formula>$D$62 = "Team Designed"</formula>
    </cfRule>
  </conditionalFormatting>
  <conditionalFormatting sqref="K24 O24:Q24">
    <cfRule type="expression" dxfId="0" priority="12">
      <formula>$O$23="On cell terminal"</formula>
    </cfRule>
  </conditionalFormatting>
  <conditionalFormatting sqref="V12">
    <cfRule type="expression" dxfId="0" priority="13">
      <formula>$N$23="On cell terminal"</formula>
    </cfRule>
  </conditionalFormatting>
  <conditionalFormatting sqref="R11:W12">
    <cfRule type="expression" dxfId="0" priority="14">
      <formula>$E$3 ="Series"</formula>
    </cfRule>
  </conditionalFormatting>
  <dataValidations>
    <dataValidation type="list" allowBlank="1" showErrorMessage="1" sqref="U9">
      <formula1>ConnectorNames</formula1>
    </dataValidation>
    <dataValidation type="list" allowBlank="1" showErrorMessage="1" sqref="U14">
      <formula1>ContactorNames</formula1>
    </dataValidation>
    <dataValidation type="list" allowBlank="1" showErrorMessage="1" sqref="D62">
      <formula1>"Purchased,Team Designed"</formula1>
    </dataValidation>
    <dataValidation type="list" allowBlank="1" showErrorMessage="1" sqref="O10">
      <formula1>"Purchased,Team Built"</formula1>
    </dataValidation>
    <dataValidation type="list" allowBlank="1" showErrorMessage="1" sqref="O23">
      <formula1>"On cell terminal,On bus bar"</formula1>
    </dataValidation>
    <dataValidation type="list" allowBlank="1" showErrorMessage="1" sqref="E3">
      <formula1>"Parallel,Series"</formula1>
    </dataValidation>
    <dataValidation type="list" allowBlank="1" showErrorMessage="1" sqref="O9">
      <formula1>"Distributed,Centralized"</formula1>
    </dataValidation>
    <dataValidation type="list" allowBlank="1" showErrorMessage="1" sqref="AB9 AB12 AB15">
      <formula1>InsulationNames</formula1>
    </dataValidation>
    <dataValidation type="list" allowBlank="1" showErrorMessage="1" sqref="U11 O18 U19 D63">
      <formula1>FuseNames</formula1>
    </dataValidation>
    <dataValidation type="list" allowBlank="1" showErrorMessage="1" sqref="AH53 AQ53 AZ53 P53:P54 Y53:Y54 G53:G55">
      <formula1>"TRUE,FALSE"</formula1>
    </dataValidation>
    <dataValidation type="list" allowBlank="1" showErrorMessage="1" sqref="D9">
      <formula1>"Parallel then Series,Series then Parallel"</formula1>
    </dataValidation>
    <dataValidation type="list" allowBlank="1" showErrorMessage="1" sqref="O19">
      <formula1>"BMS PCB,Conductor,Other"</formula1>
    </dataValidation>
  </dataValidations>
  <hyperlinks>
    <hyperlink r:id="rId1" ref="O27"/>
  </hyperlinks>
  <printOptions/>
  <pageMargins bottom="0.75" footer="0.0" header="0.0" left="0.7" right="0.7" top="0.75"/>
  <pageSetup orientation="portrait"/>
  <headerFooter>
    <oddFooter>&amp;R#FF0000Public</oddFooter>
  </headerFooter>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 width="8.67"/>
    <col customWidth="1" min="4" max="4" width="8.89"/>
    <col customWidth="1" min="5" max="26" width="8.67"/>
  </cols>
  <sheetData>
    <row r="1" ht="14.25" customHeight="1">
      <c r="A1" s="8" t="s">
        <v>1</v>
      </c>
      <c r="B1" s="7" t="str">
        <f t="array" ref="B1">IF(SUM(COUNTIF(INDIRECT({"PrechargeDischarge!$F$2","PrechargeDischarge!$L$2","PrechargeDischarge!$R$2"}), "="&amp;IncompleteText)), IncompleteText, IF(SUM(COUNTIF(INDIRECT({"PrechargeDischarge!$F$2","PrechargeDischarge!$L$2","PrechargeDischarge!$R$2"}), "="&amp;ErrorText)), ErrorText, OKText))</f>
        <v>BLANK</v>
      </c>
      <c r="C1" s="4"/>
      <c r="D1" s="4"/>
      <c r="E1" s="4"/>
      <c r="F1" s="4"/>
      <c r="G1" s="4"/>
      <c r="H1" s="4"/>
      <c r="I1" s="4"/>
      <c r="J1" s="4"/>
      <c r="K1" s="4"/>
      <c r="L1" s="4"/>
      <c r="M1" s="4"/>
      <c r="N1" s="4"/>
      <c r="O1" s="4"/>
      <c r="P1" s="4"/>
      <c r="Q1" s="4"/>
      <c r="R1" s="4"/>
      <c r="S1" s="4"/>
      <c r="T1" s="4"/>
      <c r="U1" s="4"/>
      <c r="V1" s="4"/>
      <c r="W1" s="4"/>
      <c r="X1" s="4"/>
      <c r="Y1" s="4"/>
      <c r="Z1" s="4"/>
    </row>
    <row r="2" ht="14.25" customHeight="1">
      <c r="A2" s="1" t="s">
        <v>173</v>
      </c>
      <c r="B2" s="2"/>
      <c r="C2" s="2"/>
      <c r="D2" s="2"/>
      <c r="E2" s="3"/>
      <c r="F2" s="7" t="str">
        <f>IF(COUNTIF(F3:F22, "="&amp;IncompleteText), IncompleteText, IF(COUNTIF(F3:F22, "="&amp;ErrorText), ErrorText, OKText))</f>
        <v>BLANK</v>
      </c>
      <c r="G2" s="1" t="s">
        <v>122</v>
      </c>
      <c r="H2" s="2"/>
      <c r="I2" s="2"/>
      <c r="J2" s="2"/>
      <c r="K2" s="3"/>
      <c r="L2" s="7" t="str">
        <f>IF(COUNTIF(L3:L16, "="&amp;IncompleteText), IncompleteText, IF(COUNTIF(L3:L16, "="&amp;ErrorText), ErrorText, OKText))</f>
        <v>OK</v>
      </c>
      <c r="M2" s="1" t="s">
        <v>105</v>
      </c>
      <c r="N2" s="2"/>
      <c r="O2" s="2"/>
      <c r="P2" s="2"/>
      <c r="Q2" s="3"/>
      <c r="R2" s="7" t="str">
        <f>IF(COUNTIF(R3:R8, "="&amp;IncompleteText), IncompleteText, IF(COUNTIF(R3:R8, "="&amp;ErrorText), ErrorText, OKText))</f>
        <v>OK</v>
      </c>
      <c r="S2" s="103" t="s">
        <v>64</v>
      </c>
      <c r="T2" s="146"/>
      <c r="U2" s="4"/>
      <c r="V2" s="4"/>
      <c r="W2" s="4"/>
      <c r="X2" s="4"/>
      <c r="Y2" s="4"/>
      <c r="Z2" s="4"/>
    </row>
    <row r="3" ht="14.25" customHeight="1">
      <c r="A3" s="8" t="s">
        <v>305</v>
      </c>
      <c r="C3" s="23"/>
      <c r="D3" s="9" t="s">
        <v>306</v>
      </c>
      <c r="E3" s="11"/>
      <c r="F3" s="7" t="str">
        <f t="shared" ref="F3:F5" si="1">IF(ISBLANK(D3), IncompleteText, OKText)</f>
        <v>OK</v>
      </c>
      <c r="G3" s="8" t="s">
        <v>305</v>
      </c>
      <c r="I3" s="23"/>
      <c r="J3" s="9" t="s">
        <v>306</v>
      </c>
      <c r="K3" s="11"/>
      <c r="L3" s="7" t="str">
        <f t="shared" ref="L3:L5" si="2">IF(ISBLANK(J3), IncompleteText, OKText)</f>
        <v>OK</v>
      </c>
      <c r="M3" s="8" t="s">
        <v>305</v>
      </c>
      <c r="O3" s="23"/>
      <c r="P3" s="9" t="s">
        <v>307</v>
      </c>
      <c r="Q3" s="11"/>
      <c r="R3" s="7" t="str">
        <f t="shared" ref="R3:R5" si="3">IF(ISBLANK(P3), IncompleteText, OKText)</f>
        <v>OK</v>
      </c>
      <c r="S3" s="147" t="s">
        <v>308</v>
      </c>
      <c r="T3" s="107"/>
      <c r="U3" s="4"/>
      <c r="V3" s="4"/>
      <c r="W3" s="4"/>
      <c r="X3" s="4"/>
      <c r="Y3" s="4"/>
      <c r="Z3" s="4"/>
    </row>
    <row r="4" ht="14.25" customHeight="1">
      <c r="A4" s="8" t="s">
        <v>309</v>
      </c>
      <c r="C4" s="23"/>
      <c r="D4" s="50">
        <v>1.0</v>
      </c>
      <c r="E4" s="44"/>
      <c r="F4" s="7" t="str">
        <f t="shared" si="1"/>
        <v>OK</v>
      </c>
      <c r="G4" s="8" t="s">
        <v>309</v>
      </c>
      <c r="I4" s="23"/>
      <c r="J4" s="50">
        <v>1.0</v>
      </c>
      <c r="K4" s="44"/>
      <c r="L4" s="7" t="str">
        <f t="shared" si="2"/>
        <v>OK</v>
      </c>
      <c r="M4" s="8" t="s">
        <v>309</v>
      </c>
      <c r="O4" s="23"/>
      <c r="P4" s="73">
        <v>1.0</v>
      </c>
      <c r="Q4" s="11"/>
      <c r="R4" s="7" t="str">
        <f t="shared" si="3"/>
        <v>OK</v>
      </c>
      <c r="U4" s="4"/>
      <c r="V4" s="4"/>
      <c r="W4" s="4"/>
      <c r="X4" s="4"/>
      <c r="Y4" s="4"/>
      <c r="Z4" s="4"/>
    </row>
    <row r="5" ht="14.25" customHeight="1">
      <c r="A5" s="8" t="s">
        <v>310</v>
      </c>
      <c r="C5" s="23"/>
      <c r="D5" s="50">
        <v>1.0</v>
      </c>
      <c r="E5" s="44"/>
      <c r="F5" s="7" t="str">
        <f t="shared" si="1"/>
        <v>OK</v>
      </c>
      <c r="G5" s="8" t="s">
        <v>310</v>
      </c>
      <c r="I5" s="23"/>
      <c r="J5" s="50">
        <v>1.0</v>
      </c>
      <c r="K5" s="44"/>
      <c r="L5" s="7" t="str">
        <f t="shared" si="2"/>
        <v>OK</v>
      </c>
      <c r="M5" s="8" t="s">
        <v>310</v>
      </c>
      <c r="O5" s="23"/>
      <c r="P5" s="73">
        <v>1.0</v>
      </c>
      <c r="Q5" s="11"/>
      <c r="R5" s="7" t="str">
        <f t="shared" si="3"/>
        <v>OK</v>
      </c>
      <c r="U5" s="4"/>
      <c r="V5" s="4"/>
      <c r="W5" s="4"/>
      <c r="X5" s="4"/>
      <c r="Y5" s="4"/>
      <c r="Z5" s="4"/>
    </row>
    <row r="6" ht="14.25" customHeight="1">
      <c r="A6" s="8" t="s">
        <v>311</v>
      </c>
      <c r="C6" s="23"/>
      <c r="D6" s="93">
        <f>VLOOKUP(D3, ResistorsTable, 5, )*D5/D4</f>
        <v>750</v>
      </c>
      <c r="E6" s="44" t="s">
        <v>312</v>
      </c>
      <c r="F6" s="4"/>
      <c r="G6" s="8" t="s">
        <v>311</v>
      </c>
      <c r="I6" s="23"/>
      <c r="J6" s="93">
        <f>VLOOKUP(J3, ResistorsTable, 5, )*J5/J4</f>
        <v>750</v>
      </c>
      <c r="K6" s="44" t="s">
        <v>312</v>
      </c>
      <c r="L6" s="4"/>
      <c r="M6" s="8" t="s">
        <v>311</v>
      </c>
      <c r="O6" s="23"/>
      <c r="P6" s="93">
        <f>VLOOKUP(P3, ResistorsTable, 5, )*P5/P4</f>
        <v>10000</v>
      </c>
      <c r="Q6" s="44" t="s">
        <v>312</v>
      </c>
      <c r="R6" s="7" t="str">
        <f>IF(MaxTSVoltage&lt;=200,IF(P6=5000, OKText, ErrorText),IF(MaxTSVoltage &gt; 400, IF(P6=15000, OKText, ErrorText), IF(P6=10000, OKText, ErrorText)))</f>
        <v>OK</v>
      </c>
      <c r="U6" s="4"/>
      <c r="V6" s="4"/>
      <c r="W6" s="4"/>
      <c r="X6" s="4"/>
      <c r="Y6" s="4"/>
      <c r="Z6" s="4"/>
    </row>
    <row r="7" ht="14.25" customHeight="1">
      <c r="A7" s="8" t="s">
        <v>313</v>
      </c>
      <c r="C7" s="23"/>
      <c r="D7" s="93">
        <f>VLOOKUP(D3, ResistorsTable, 6, FALSE)*D4*D5</f>
        <v>50</v>
      </c>
      <c r="E7" s="44" t="s">
        <v>314</v>
      </c>
      <c r="F7" s="4"/>
      <c r="G7" s="8" t="s">
        <v>313</v>
      </c>
      <c r="I7" s="23"/>
      <c r="J7" s="93">
        <f>VLOOKUP(J3, ResistorsTable, 6, FALSE)*J4*J5</f>
        <v>50</v>
      </c>
      <c r="K7" s="44" t="s">
        <v>314</v>
      </c>
      <c r="L7" s="4"/>
      <c r="M7" s="8" t="s">
        <v>313</v>
      </c>
      <c r="O7" s="23"/>
      <c r="P7" s="93">
        <f>VLOOKUP(P3, ResistorsTable, 6, FALSE)*P5*P4</f>
        <v>25</v>
      </c>
      <c r="Q7" s="44" t="s">
        <v>314</v>
      </c>
      <c r="R7" s="7" t="str">
        <f>IF(P7&lt;MaxTSVoltage^2/P6, ErrorText, OKText)</f>
        <v>OK</v>
      </c>
      <c r="U7" s="4"/>
      <c r="V7" s="4"/>
      <c r="W7" s="4"/>
      <c r="X7" s="4"/>
      <c r="Y7" s="4"/>
      <c r="Z7" s="4"/>
    </row>
    <row r="8" ht="14.25" customHeight="1">
      <c r="A8" s="8" t="s">
        <v>315</v>
      </c>
      <c r="C8" s="23"/>
      <c r="D8" s="93" t="str">
        <f>VLOOKUP(D3, ResistorsTable, 7, FALSE)*D4*D5</f>
        <v>#VALUE!</v>
      </c>
      <c r="E8" s="44" t="s">
        <v>314</v>
      </c>
      <c r="F8" s="4"/>
      <c r="G8" s="8" t="s">
        <v>315</v>
      </c>
      <c r="I8" s="23"/>
      <c r="J8" s="93" t="str">
        <f>VLOOKUP(J3, ResistorsTable, 7, FALSE)*J4*J5</f>
        <v>#VALUE!</v>
      </c>
      <c r="K8" s="44" t="s">
        <v>314</v>
      </c>
      <c r="L8" s="7" t="str">
        <f>IF(J8&lt;MaxTSVoltage^2/DischargeRes, ErrorText, OKText)</f>
        <v>#VALUE!</v>
      </c>
      <c r="M8" s="8" t="s">
        <v>316</v>
      </c>
      <c r="O8" s="23"/>
      <c r="P8" s="93">
        <f>VLOOKUP(P3, ResistorsTable, 4, FALSE)*P5</f>
        <v>500</v>
      </c>
      <c r="Q8" s="44" t="s">
        <v>17</v>
      </c>
      <c r="R8" s="7" t="str">
        <f>IF(P8&lt;MaxTSVoltage, ErrorText, OKText)</f>
        <v>OK</v>
      </c>
      <c r="U8" s="4"/>
      <c r="V8" s="4"/>
      <c r="W8" s="4"/>
      <c r="X8" s="4"/>
      <c r="Y8" s="4"/>
      <c r="Z8" s="4"/>
    </row>
    <row r="9" ht="14.25" customHeight="1">
      <c r="A9" s="8" t="s">
        <v>316</v>
      </c>
      <c r="C9" s="23"/>
      <c r="D9" s="93">
        <f>VLOOKUP(D3, ResistorsTable, 4, FALSE)*D5</f>
        <v>1250</v>
      </c>
      <c r="E9" s="44" t="s">
        <v>17</v>
      </c>
      <c r="F9" s="7" t="str">
        <f>IF(D9&lt;MaxTSVoltage, ErrorText, OKText)</f>
        <v>OK</v>
      </c>
      <c r="G9" s="8" t="s">
        <v>316</v>
      </c>
      <c r="I9" s="23"/>
      <c r="J9" s="93">
        <f>VLOOKUP(J3, ResistorsTable, 4, FALSE)*J5</f>
        <v>1250</v>
      </c>
      <c r="K9" s="44" t="s">
        <v>17</v>
      </c>
      <c r="L9" s="7" t="str">
        <f>IF(J9&lt;MaxTSVoltage, ErrorText, OKText)</f>
        <v>OK</v>
      </c>
      <c r="M9" s="4"/>
      <c r="N9" s="4"/>
      <c r="O9" s="4"/>
      <c r="P9" s="4"/>
      <c r="Q9" s="4"/>
      <c r="R9" s="4"/>
      <c r="S9" s="4"/>
      <c r="T9" s="4"/>
      <c r="U9" s="4"/>
      <c r="V9" s="4"/>
      <c r="W9" s="4"/>
      <c r="X9" s="4"/>
      <c r="Y9" s="4"/>
      <c r="Z9" s="4"/>
    </row>
    <row r="10" ht="14.25" customHeight="1">
      <c r="A10" s="8" t="s">
        <v>317</v>
      </c>
      <c r="C10" s="23"/>
      <c r="D10" s="148">
        <v>0.44</v>
      </c>
      <c r="E10" s="44" t="s">
        <v>318</v>
      </c>
      <c r="F10" s="7" t="str">
        <f>IF(ISBLANK(BusCap), IncompleteText, OKText)</f>
        <v>OK</v>
      </c>
      <c r="G10" s="8" t="s">
        <v>319</v>
      </c>
      <c r="I10" s="23"/>
      <c r="J10" s="93">
        <f>MaxTSVoltage^2/DischargeRes</f>
        <v>212.268</v>
      </c>
      <c r="K10" s="44" t="s">
        <v>314</v>
      </c>
      <c r="L10" s="4"/>
      <c r="M10" s="4"/>
      <c r="N10" s="4"/>
      <c r="O10" s="4"/>
      <c r="P10" s="4"/>
      <c r="Q10" s="4"/>
      <c r="R10" s="4"/>
      <c r="S10" s="4"/>
      <c r="T10" s="4"/>
      <c r="U10" s="4"/>
      <c r="V10" s="4"/>
      <c r="W10" s="4"/>
      <c r="X10" s="4"/>
      <c r="Y10" s="4"/>
      <c r="Z10" s="4"/>
    </row>
    <row r="11" ht="14.25" customHeight="1">
      <c r="A11" s="8" t="s">
        <v>320</v>
      </c>
      <c r="C11" s="23"/>
      <c r="D11" s="9" t="s">
        <v>321</v>
      </c>
      <c r="E11" s="11"/>
      <c r="F11" s="7" t="str">
        <f>IF(ISBLANK(D11), IncompleteText, OKText)</f>
        <v>OK</v>
      </c>
      <c r="G11" s="8" t="s">
        <v>322</v>
      </c>
      <c r="I11" s="23"/>
      <c r="J11" s="149">
        <f>MaxTSVoltage/DischargeRes</f>
        <v>0.532</v>
      </c>
      <c r="K11" s="44" t="s">
        <v>19</v>
      </c>
      <c r="L11" s="4"/>
      <c r="M11" s="4"/>
      <c r="N11" s="4"/>
      <c r="O11" s="4"/>
      <c r="P11" s="4"/>
      <c r="Q11" s="4"/>
      <c r="R11" s="4"/>
      <c r="S11" s="4"/>
      <c r="T11" s="4"/>
      <c r="U11" s="4"/>
      <c r="V11" s="4"/>
      <c r="W11" s="4"/>
      <c r="X11" s="4"/>
      <c r="Y11" s="4"/>
      <c r="Z11" s="4"/>
    </row>
    <row r="12" ht="14.25" customHeight="1">
      <c r="A12" s="8" t="s">
        <v>323</v>
      </c>
      <c r="C12" s="23"/>
      <c r="D12" s="50">
        <v>3.0</v>
      </c>
      <c r="E12" s="44" t="s">
        <v>324</v>
      </c>
      <c r="F12" s="7" t="str">
        <f>IF(D11&lt;&gt;"Time", "", IF(ISBLANK(D12), IncompleteText, IF(D12 &lt; MAX(D17*2, D17+0.5), ErrorText, OKText)))</f>
        <v>OK</v>
      </c>
      <c r="G12" s="8" t="s">
        <v>325</v>
      </c>
      <c r="J12" s="93">
        <f>-LN(60/MaxTSVoltage)*DischargeRes*(BusCap/1000)</f>
        <v>0.625223562</v>
      </c>
      <c r="K12" s="44" t="s">
        <v>326</v>
      </c>
      <c r="L12" s="4"/>
      <c r="M12" s="4"/>
      <c r="N12" s="4"/>
      <c r="O12" s="4"/>
      <c r="P12" s="4"/>
      <c r="Q12" s="4"/>
      <c r="R12" s="4"/>
      <c r="S12" s="4"/>
      <c r="T12" s="4"/>
      <c r="U12" s="4"/>
      <c r="V12" s="4"/>
      <c r="W12" s="4"/>
      <c r="X12" s="4"/>
      <c r="Y12" s="4"/>
      <c r="Z12" s="4"/>
    </row>
    <row r="13" ht="14.25" customHeight="1">
      <c r="A13" s="8" t="s">
        <v>327</v>
      </c>
      <c r="C13" s="23"/>
      <c r="D13" s="57"/>
      <c r="E13" s="44" t="s">
        <v>17</v>
      </c>
      <c r="F13" s="7" t="str">
        <f>IF(D11&lt;&gt;"Delta Voltage", "", IF(ISBLANK(D13), IncompleteText, IF(D13 &gt; MaxTSVoltage*0.1, ErrorText, OKText)))</f>
        <v/>
      </c>
      <c r="G13" s="8" t="s">
        <v>328</v>
      </c>
      <c r="I13" s="23"/>
      <c r="J13" s="9" t="s">
        <v>329</v>
      </c>
      <c r="K13" s="11"/>
      <c r="L13" s="7" t="str">
        <f>IF(ISBLANK(J13), IncompleteText, OKText)</f>
        <v>OK</v>
      </c>
      <c r="M13" s="4"/>
      <c r="N13" s="4"/>
      <c r="O13" s="4"/>
      <c r="P13" s="4"/>
      <c r="Q13" s="4"/>
      <c r="R13" s="4"/>
      <c r="S13" s="4"/>
      <c r="T13" s="4"/>
      <c r="U13" s="4"/>
      <c r="V13" s="4"/>
      <c r="W13" s="4"/>
      <c r="X13" s="4"/>
      <c r="Y13" s="4"/>
      <c r="Z13" s="4"/>
    </row>
    <row r="14" ht="14.25" customHeight="1">
      <c r="A14" s="8" t="s">
        <v>330</v>
      </c>
      <c r="C14" s="23"/>
      <c r="D14" s="57"/>
      <c r="E14" s="44" t="s">
        <v>248</v>
      </c>
      <c r="F14" s="7" t="str">
        <f>IF(D11&lt;&gt;"Ratio", "", IF(ISBLANK(D14), IncompleteText, IF(D14 &lt; 90, ErrorText, OKText)))</f>
        <v/>
      </c>
      <c r="G14" s="8" t="s">
        <v>331</v>
      </c>
      <c r="I14" s="23"/>
      <c r="J14" s="93">
        <f>VLOOKUP(J13, ContactorsTable, 4, FALSE)</f>
        <v>400</v>
      </c>
      <c r="K14" s="44" t="s">
        <v>17</v>
      </c>
      <c r="L14" s="7" t="str">
        <f>IF(J14&lt;MaxTSVoltage, ErrorText, OKText)</f>
        <v>OK</v>
      </c>
      <c r="M14" s="4"/>
      <c r="N14" s="4"/>
      <c r="O14" s="4"/>
      <c r="P14" s="4"/>
      <c r="Q14" s="4"/>
      <c r="R14" s="4"/>
      <c r="S14" s="4"/>
      <c r="T14" s="4"/>
      <c r="U14" s="4"/>
      <c r="V14" s="4"/>
      <c r="W14" s="4"/>
      <c r="X14" s="4"/>
      <c r="Y14" s="4"/>
      <c r="Z14" s="4"/>
    </row>
    <row r="15" ht="14.25" customHeight="1">
      <c r="A15" s="8" t="s">
        <v>319</v>
      </c>
      <c r="C15" s="23"/>
      <c r="D15" s="93">
        <f>MaxTSVoltage^2/PrechargeRes</f>
        <v>212.268</v>
      </c>
      <c r="E15" s="44" t="s">
        <v>314</v>
      </c>
      <c r="F15" s="4"/>
      <c r="G15" s="8" t="s">
        <v>332</v>
      </c>
      <c r="I15" s="23"/>
      <c r="J15" s="93">
        <f>VLOOKUP(J13, ContactorsTable, 5, FALSE)</f>
        <v>20</v>
      </c>
      <c r="K15" s="44" t="s">
        <v>19</v>
      </c>
      <c r="L15" s="7" t="str">
        <f>IF(J15&lt;J11, ErrorText, OKText)</f>
        <v>OK</v>
      </c>
      <c r="M15" s="4"/>
      <c r="N15" s="4"/>
      <c r="O15" s="4"/>
      <c r="P15" s="4"/>
      <c r="Q15" s="4"/>
      <c r="R15" s="4"/>
      <c r="S15" s="4"/>
      <c r="T15" s="4"/>
      <c r="U15" s="4"/>
      <c r="V15" s="4"/>
      <c r="W15" s="4"/>
      <c r="X15" s="4"/>
      <c r="Y15" s="4"/>
      <c r="Z15" s="4"/>
    </row>
    <row r="16" ht="14.25" customHeight="1">
      <c r="A16" s="8" t="s">
        <v>322</v>
      </c>
      <c r="C16" s="23"/>
      <c r="D16" s="149">
        <f>MaxTSVoltage/PrechargeRes</f>
        <v>0.532</v>
      </c>
      <c r="E16" s="44" t="s">
        <v>19</v>
      </c>
      <c r="F16" s="4"/>
      <c r="G16" s="8" t="s">
        <v>113</v>
      </c>
      <c r="I16" s="23"/>
      <c r="J16" s="93" t="str">
        <f>VLOOKUP(J13, ContactorsTable, 7, FALSE)</f>
        <v>NC</v>
      </c>
      <c r="K16" s="44"/>
      <c r="L16" s="7" t="str">
        <f>IF(J16&lt;&gt; "NC", ErrorText, OKText)</f>
        <v>OK</v>
      </c>
      <c r="M16" s="4"/>
      <c r="N16" s="4"/>
      <c r="O16" s="4"/>
      <c r="P16" s="4"/>
      <c r="Q16" s="4"/>
      <c r="R16" s="4"/>
      <c r="S16" s="4"/>
      <c r="T16" s="4"/>
      <c r="U16" s="4"/>
      <c r="V16" s="4"/>
      <c r="W16" s="4"/>
      <c r="X16" s="4"/>
      <c r="Y16" s="4"/>
      <c r="Z16" s="4"/>
    </row>
    <row r="17" ht="14.25" customHeight="1">
      <c r="A17" s="8" t="s">
        <v>333</v>
      </c>
      <c r="C17" s="23"/>
      <c r="D17" s="149">
        <f>-LN(0.1)*(BusCap/1000)*PrechargeRes</f>
        <v>0.7598530807</v>
      </c>
      <c r="E17" s="44" t="s">
        <v>324</v>
      </c>
      <c r="F17" s="4"/>
      <c r="G17" s="103" t="s">
        <v>64</v>
      </c>
      <c r="H17" s="146"/>
      <c r="I17" s="4"/>
      <c r="J17" s="4"/>
      <c r="K17" s="4"/>
      <c r="L17" s="4"/>
      <c r="M17" s="4"/>
      <c r="N17" s="4"/>
      <c r="O17" s="4"/>
      <c r="P17" s="4"/>
      <c r="Q17" s="4"/>
      <c r="R17" s="4"/>
      <c r="S17" s="4"/>
      <c r="T17" s="4"/>
      <c r="U17" s="4"/>
      <c r="V17" s="4"/>
      <c r="W17" s="4"/>
      <c r="X17" s="4"/>
      <c r="Y17" s="4"/>
      <c r="Z17" s="4"/>
    </row>
    <row r="18" ht="14.25" customHeight="1">
      <c r="A18" s="47" t="s">
        <v>334</v>
      </c>
      <c r="C18" s="23"/>
      <c r="D18" s="149">
        <f>MaxTSVoltage^2*(BusCap/1000)/2*(1-EXP(-D17*2/(PrechargeRes*(BusCap/1000))))</f>
        <v>34.6739778</v>
      </c>
      <c r="E18" s="44" t="s">
        <v>335</v>
      </c>
      <c r="F18" s="4"/>
      <c r="G18" s="106" t="s">
        <v>172</v>
      </c>
      <c r="H18" s="106"/>
      <c r="I18" s="4"/>
      <c r="J18" s="4"/>
      <c r="K18" s="4"/>
      <c r="L18" s="4"/>
      <c r="M18" s="4"/>
      <c r="N18" s="4"/>
      <c r="O18" s="4"/>
      <c r="P18" s="4"/>
      <c r="Q18" s="4"/>
      <c r="R18" s="4"/>
      <c r="S18" s="4"/>
      <c r="T18" s="4"/>
      <c r="U18" s="4"/>
      <c r="V18" s="4"/>
      <c r="W18" s="4"/>
      <c r="X18" s="4"/>
      <c r="Y18" s="4"/>
      <c r="Z18" s="4"/>
    </row>
    <row r="19" ht="14.25" customHeight="1">
      <c r="A19" s="8" t="s">
        <v>336</v>
      </c>
      <c r="C19" s="23"/>
      <c r="D19" s="150">
        <f>D18/D17</f>
        <v>45.63247644</v>
      </c>
      <c r="E19" s="44" t="s">
        <v>314</v>
      </c>
      <c r="F19" s="4"/>
      <c r="G19" s="4"/>
      <c r="H19" s="4"/>
      <c r="I19" s="4"/>
      <c r="J19" s="4"/>
      <c r="K19" s="4"/>
      <c r="L19" s="4"/>
      <c r="M19" s="4"/>
      <c r="N19" s="4"/>
      <c r="O19" s="4"/>
      <c r="P19" s="4"/>
      <c r="Q19" s="4"/>
      <c r="R19" s="4"/>
      <c r="S19" s="4"/>
      <c r="T19" s="4"/>
      <c r="U19" s="4"/>
      <c r="V19" s="4"/>
      <c r="W19" s="4"/>
      <c r="X19" s="4"/>
      <c r="Y19" s="4"/>
      <c r="Z19" s="4"/>
    </row>
    <row r="20" ht="14.25" customHeight="1">
      <c r="A20" s="8" t="s">
        <v>328</v>
      </c>
      <c r="C20" s="23"/>
      <c r="D20" s="9"/>
      <c r="E20" s="11"/>
      <c r="F20" s="7" t="str">
        <f>IF(ISBLANK(D20), IncompleteText, OKText)</f>
        <v>BLANK</v>
      </c>
      <c r="G20" s="4"/>
      <c r="H20" s="4"/>
      <c r="I20" s="4"/>
      <c r="J20" s="4"/>
      <c r="K20" s="4"/>
      <c r="L20" s="4"/>
      <c r="M20" s="4"/>
      <c r="N20" s="4"/>
      <c r="O20" s="4"/>
      <c r="P20" s="4"/>
      <c r="Q20" s="4"/>
      <c r="R20" s="4"/>
      <c r="S20" s="4"/>
      <c r="T20" s="4"/>
      <c r="U20" s="4"/>
      <c r="V20" s="4"/>
      <c r="W20" s="4"/>
      <c r="X20" s="4"/>
      <c r="Y20" s="4"/>
      <c r="Z20" s="4"/>
    </row>
    <row r="21" ht="14.25" customHeight="1">
      <c r="A21" s="8" t="s">
        <v>331</v>
      </c>
      <c r="C21" s="23"/>
      <c r="D21" s="93" t="str">
        <f>VLOOKUP(D20, ContactorsTable, 4, FALSE)</f>
        <v>#N/A</v>
      </c>
      <c r="E21" s="44" t="s">
        <v>17</v>
      </c>
      <c r="F21" s="7" t="str">
        <f>IF(D21&lt;MaxTSVoltage, ErrorText, OKText)</f>
        <v>#N/A</v>
      </c>
      <c r="G21" s="4"/>
      <c r="H21" s="4"/>
      <c r="I21" s="4"/>
      <c r="J21" s="4"/>
      <c r="K21" s="4"/>
      <c r="L21" s="4"/>
      <c r="M21" s="4"/>
      <c r="N21" s="4"/>
      <c r="O21" s="4"/>
      <c r="P21" s="4"/>
      <c r="Q21" s="4"/>
      <c r="R21" s="4"/>
      <c r="S21" s="4"/>
      <c r="T21" s="4"/>
      <c r="U21" s="4"/>
      <c r="V21" s="4"/>
      <c r="W21" s="4"/>
      <c r="X21" s="4"/>
      <c r="Y21" s="4"/>
      <c r="Z21" s="4"/>
    </row>
    <row r="22" ht="14.25" customHeight="1">
      <c r="A22" s="8" t="s">
        <v>332</v>
      </c>
      <c r="C22" s="23"/>
      <c r="D22" s="93" t="str">
        <f>VLOOKUP(D20, ContactorsTable, 5, FALSE)</f>
        <v>#N/A</v>
      </c>
      <c r="E22" s="44" t="s">
        <v>19</v>
      </c>
      <c r="F22" s="7" t="str">
        <f>IF(D22&lt;D16, ErrorText, OKText)</f>
        <v>#N/A</v>
      </c>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16" t="s">
        <v>20</v>
      </c>
      <c r="B24" s="17"/>
      <c r="C24" s="17"/>
      <c r="D24" s="17"/>
      <c r="E24" s="17"/>
      <c r="F24" s="17"/>
      <c r="G24" s="18"/>
      <c r="H24" s="4"/>
      <c r="I24" s="4"/>
      <c r="J24" s="4"/>
      <c r="K24" s="4"/>
      <c r="L24" s="4"/>
      <c r="M24" s="4"/>
      <c r="N24" s="4"/>
      <c r="O24" s="4"/>
      <c r="P24" s="4"/>
      <c r="Q24" s="4"/>
      <c r="R24" s="4"/>
      <c r="S24" s="4"/>
      <c r="T24" s="4"/>
      <c r="U24" s="4"/>
      <c r="V24" s="4"/>
      <c r="W24" s="4"/>
      <c r="X24" s="4"/>
      <c r="Y24" s="4"/>
      <c r="Z24" s="4"/>
    </row>
    <row r="25" ht="14.25" customHeight="1">
      <c r="A25" s="19"/>
      <c r="B25" s="20"/>
      <c r="C25" s="20"/>
      <c r="D25" s="20"/>
      <c r="E25" s="20"/>
      <c r="F25" s="20"/>
      <c r="G25" s="21"/>
      <c r="H25" s="4"/>
      <c r="I25" s="4"/>
      <c r="J25" s="4"/>
      <c r="K25" s="4"/>
      <c r="L25" s="4"/>
      <c r="M25" s="4"/>
      <c r="N25" s="4"/>
      <c r="O25" s="4"/>
      <c r="P25" s="4"/>
      <c r="Q25" s="4"/>
      <c r="R25" s="4"/>
      <c r="S25" s="4"/>
      <c r="T25" s="4"/>
      <c r="U25" s="4"/>
      <c r="V25" s="4"/>
      <c r="W25" s="4"/>
      <c r="X25" s="4"/>
      <c r="Y25" s="4"/>
      <c r="Z25" s="4"/>
    </row>
    <row r="26" ht="14.25" customHeight="1">
      <c r="A26" s="22"/>
      <c r="G26" s="23"/>
      <c r="H26" s="4"/>
      <c r="I26" s="4"/>
      <c r="J26" s="4"/>
      <c r="K26" s="4"/>
      <c r="L26" s="4"/>
      <c r="M26" s="4"/>
      <c r="N26" s="4"/>
      <c r="O26" s="4"/>
      <c r="P26" s="4"/>
      <c r="Q26" s="4"/>
      <c r="R26" s="4"/>
      <c r="S26" s="4"/>
      <c r="T26" s="4"/>
      <c r="U26" s="4"/>
      <c r="V26" s="4"/>
      <c r="W26" s="4"/>
      <c r="X26" s="4"/>
      <c r="Y26" s="4"/>
      <c r="Z26" s="4"/>
    </row>
    <row r="27" ht="14.25" customHeight="1">
      <c r="A27" s="22"/>
      <c r="G27" s="23"/>
      <c r="H27" s="4"/>
      <c r="I27" s="4"/>
      <c r="J27" s="4"/>
      <c r="K27" s="4"/>
      <c r="L27" s="4"/>
      <c r="M27" s="4"/>
      <c r="N27" s="4"/>
      <c r="O27" s="4"/>
      <c r="P27" s="4"/>
      <c r="Q27" s="4"/>
      <c r="R27" s="4"/>
      <c r="S27" s="4"/>
      <c r="T27" s="4"/>
      <c r="U27" s="4"/>
      <c r="V27" s="4"/>
      <c r="W27" s="4"/>
      <c r="X27" s="4"/>
      <c r="Y27" s="4"/>
      <c r="Z27" s="4"/>
    </row>
    <row r="28" ht="14.25" customHeight="1">
      <c r="A28" s="22"/>
      <c r="G28" s="23"/>
      <c r="H28" s="4"/>
      <c r="I28" s="4"/>
      <c r="J28" s="4"/>
      <c r="K28" s="4"/>
      <c r="L28" s="4"/>
      <c r="M28" s="4"/>
      <c r="N28" s="4"/>
      <c r="O28" s="4"/>
      <c r="P28" s="4"/>
      <c r="Q28" s="4"/>
      <c r="R28" s="4"/>
      <c r="S28" s="4"/>
      <c r="T28" s="4"/>
      <c r="U28" s="4"/>
      <c r="V28" s="4"/>
      <c r="W28" s="4"/>
      <c r="X28" s="4"/>
      <c r="Y28" s="4"/>
      <c r="Z28" s="4"/>
    </row>
    <row r="29" ht="14.25" customHeight="1">
      <c r="A29" s="22"/>
      <c r="G29" s="23"/>
      <c r="H29" s="4"/>
      <c r="I29" s="4"/>
      <c r="J29" s="4"/>
      <c r="K29" s="4"/>
      <c r="L29" s="4"/>
      <c r="M29" s="4"/>
      <c r="N29" s="4"/>
      <c r="O29" s="4"/>
      <c r="P29" s="4"/>
      <c r="Q29" s="4"/>
      <c r="R29" s="4"/>
      <c r="S29" s="4"/>
      <c r="T29" s="4"/>
      <c r="U29" s="4"/>
      <c r="V29" s="4"/>
      <c r="W29" s="4"/>
      <c r="X29" s="4"/>
      <c r="Y29" s="4"/>
      <c r="Z29" s="4"/>
    </row>
    <row r="30" ht="14.25" customHeight="1">
      <c r="A30" s="22"/>
      <c r="G30" s="23"/>
      <c r="H30" s="4"/>
      <c r="I30" s="4"/>
      <c r="J30" s="4"/>
      <c r="K30" s="4"/>
      <c r="L30" s="4"/>
      <c r="M30" s="4"/>
      <c r="N30" s="4"/>
      <c r="O30" s="4"/>
      <c r="P30" s="4"/>
      <c r="Q30" s="4"/>
      <c r="R30" s="4"/>
      <c r="S30" s="4"/>
      <c r="T30" s="4"/>
      <c r="U30" s="4"/>
      <c r="V30" s="4"/>
      <c r="W30" s="4"/>
      <c r="X30" s="4"/>
      <c r="Y30" s="4"/>
      <c r="Z30" s="4"/>
    </row>
    <row r="31" ht="14.25" customHeight="1">
      <c r="A31" s="22"/>
      <c r="G31" s="23"/>
      <c r="H31" s="4"/>
      <c r="I31" s="4"/>
      <c r="J31" s="4"/>
      <c r="K31" s="4"/>
      <c r="L31" s="4"/>
      <c r="M31" s="4"/>
      <c r="N31" s="4"/>
      <c r="O31" s="4"/>
      <c r="P31" s="4"/>
      <c r="Q31" s="4"/>
      <c r="R31" s="4"/>
      <c r="S31" s="4"/>
      <c r="T31" s="4"/>
      <c r="U31" s="4"/>
      <c r="V31" s="4"/>
      <c r="W31" s="4"/>
      <c r="X31" s="4"/>
      <c r="Y31" s="4"/>
      <c r="Z31" s="4"/>
    </row>
    <row r="32" ht="14.25" customHeight="1">
      <c r="A32" s="22"/>
      <c r="G32" s="23"/>
      <c r="H32" s="4"/>
      <c r="I32" s="4"/>
      <c r="J32" s="4"/>
      <c r="K32" s="4"/>
      <c r="L32" s="4"/>
      <c r="M32" s="4"/>
      <c r="N32" s="4"/>
      <c r="O32" s="4"/>
      <c r="P32" s="4"/>
      <c r="Q32" s="4"/>
      <c r="R32" s="4"/>
      <c r="S32" s="4"/>
      <c r="T32" s="4"/>
      <c r="U32" s="4"/>
      <c r="V32" s="4"/>
      <c r="W32" s="4"/>
      <c r="X32" s="4"/>
      <c r="Y32" s="4"/>
      <c r="Z32" s="4"/>
    </row>
    <row r="33" ht="14.25" customHeight="1">
      <c r="A33" s="22"/>
      <c r="G33" s="23"/>
      <c r="H33" s="4"/>
      <c r="I33" s="4"/>
      <c r="J33" s="4"/>
      <c r="K33" s="4"/>
      <c r="L33" s="4"/>
      <c r="M33" s="4"/>
      <c r="N33" s="4"/>
      <c r="O33" s="4"/>
      <c r="P33" s="4"/>
      <c r="Q33" s="4"/>
      <c r="R33" s="4"/>
      <c r="S33" s="4"/>
      <c r="T33" s="4"/>
      <c r="U33" s="4"/>
      <c r="V33" s="4"/>
      <c r="W33" s="4"/>
      <c r="X33" s="4"/>
      <c r="Y33" s="4"/>
      <c r="Z33" s="4"/>
    </row>
    <row r="34" ht="14.25" customHeight="1">
      <c r="A34" s="22"/>
      <c r="G34" s="23"/>
      <c r="H34" s="4"/>
      <c r="I34" s="4"/>
      <c r="J34" s="4"/>
      <c r="K34" s="4"/>
      <c r="L34" s="4"/>
      <c r="M34" s="4"/>
      <c r="N34" s="4"/>
      <c r="O34" s="4"/>
      <c r="P34" s="4"/>
      <c r="Q34" s="4"/>
      <c r="R34" s="4"/>
      <c r="S34" s="4"/>
      <c r="T34" s="4"/>
      <c r="U34" s="4"/>
      <c r="V34" s="4"/>
      <c r="W34" s="4"/>
      <c r="X34" s="4"/>
      <c r="Y34" s="4"/>
      <c r="Z34" s="4"/>
    </row>
    <row r="35" ht="14.25" customHeight="1">
      <c r="A35" s="22"/>
      <c r="G35" s="23"/>
      <c r="H35" s="4"/>
      <c r="I35" s="4"/>
      <c r="J35" s="4"/>
      <c r="K35" s="4"/>
      <c r="L35" s="4"/>
      <c r="M35" s="4"/>
      <c r="N35" s="4"/>
      <c r="O35" s="4"/>
      <c r="P35" s="4"/>
      <c r="Q35" s="4"/>
      <c r="R35" s="4"/>
      <c r="S35" s="4"/>
      <c r="T35" s="4"/>
      <c r="U35" s="4"/>
      <c r="V35" s="4"/>
      <c r="W35" s="4"/>
      <c r="X35" s="4"/>
      <c r="Y35" s="4"/>
      <c r="Z35" s="4"/>
    </row>
    <row r="36" ht="14.25" customHeight="1">
      <c r="A36" s="22"/>
      <c r="G36" s="23"/>
      <c r="H36" s="4"/>
      <c r="I36" s="4"/>
      <c r="J36" s="4"/>
      <c r="K36" s="4"/>
      <c r="L36" s="4"/>
      <c r="M36" s="4"/>
      <c r="N36" s="4"/>
      <c r="O36" s="4"/>
      <c r="P36" s="4"/>
      <c r="Q36" s="4"/>
      <c r="R36" s="4"/>
      <c r="S36" s="4"/>
      <c r="T36" s="4"/>
      <c r="U36" s="4"/>
      <c r="V36" s="4"/>
      <c r="W36" s="4"/>
      <c r="X36" s="4"/>
      <c r="Y36" s="4"/>
      <c r="Z36" s="4"/>
    </row>
    <row r="37" ht="14.25" customHeight="1">
      <c r="A37" s="22"/>
      <c r="G37" s="23"/>
      <c r="H37" s="4"/>
      <c r="I37" s="4"/>
      <c r="J37" s="4"/>
      <c r="K37" s="4"/>
      <c r="L37" s="4"/>
      <c r="M37" s="4"/>
      <c r="N37" s="4"/>
      <c r="O37" s="4"/>
      <c r="P37" s="4"/>
      <c r="Q37" s="4"/>
      <c r="R37" s="4"/>
      <c r="S37" s="4"/>
      <c r="T37" s="4"/>
      <c r="U37" s="4"/>
      <c r="V37" s="4"/>
      <c r="W37" s="4"/>
      <c r="X37" s="4"/>
      <c r="Y37" s="4"/>
      <c r="Z37" s="4"/>
    </row>
    <row r="38" ht="14.25" customHeight="1">
      <c r="A38" s="22"/>
      <c r="G38" s="23"/>
      <c r="H38" s="4"/>
      <c r="I38" s="4"/>
      <c r="J38" s="4"/>
      <c r="K38" s="4"/>
      <c r="L38" s="4"/>
      <c r="M38" s="4"/>
      <c r="N38" s="4"/>
      <c r="O38" s="4"/>
      <c r="P38" s="4"/>
      <c r="Q38" s="4"/>
      <c r="R38" s="4"/>
      <c r="S38" s="4"/>
      <c r="T38" s="4"/>
      <c r="U38" s="4"/>
      <c r="V38" s="4"/>
      <c r="W38" s="4"/>
      <c r="X38" s="4"/>
      <c r="Y38" s="4"/>
      <c r="Z38" s="4"/>
    </row>
    <row r="39" ht="14.25" customHeight="1">
      <c r="A39" s="22"/>
      <c r="G39" s="23"/>
      <c r="H39" s="4"/>
      <c r="I39" s="4"/>
      <c r="J39" s="4"/>
      <c r="K39" s="4"/>
      <c r="L39" s="4"/>
      <c r="M39" s="4"/>
      <c r="N39" s="4"/>
      <c r="O39" s="4"/>
      <c r="P39" s="4"/>
      <c r="Q39" s="4"/>
      <c r="R39" s="4"/>
      <c r="S39" s="4"/>
      <c r="T39" s="4"/>
      <c r="U39" s="4"/>
      <c r="V39" s="4"/>
      <c r="W39" s="4"/>
      <c r="X39" s="4"/>
      <c r="Y39" s="4"/>
      <c r="Z39" s="4"/>
    </row>
    <row r="40" ht="14.25" customHeight="1">
      <c r="A40" s="24"/>
      <c r="B40" s="25"/>
      <c r="C40" s="25"/>
      <c r="D40" s="25"/>
      <c r="E40" s="25"/>
      <c r="F40" s="25"/>
      <c r="G40" s="26"/>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56">
    <mergeCell ref="G14:I14"/>
    <mergeCell ref="G15:I15"/>
    <mergeCell ref="A12:C12"/>
    <mergeCell ref="G12:I12"/>
    <mergeCell ref="A13:C13"/>
    <mergeCell ref="G13:I13"/>
    <mergeCell ref="J13:K13"/>
    <mergeCell ref="A14:C14"/>
    <mergeCell ref="A15:C15"/>
    <mergeCell ref="A20:C20"/>
    <mergeCell ref="A21:C21"/>
    <mergeCell ref="A22:C22"/>
    <mergeCell ref="A24:G24"/>
    <mergeCell ref="A25:G40"/>
    <mergeCell ref="A16:C16"/>
    <mergeCell ref="G16:I16"/>
    <mergeCell ref="A17:C17"/>
    <mergeCell ref="G17:H17"/>
    <mergeCell ref="A18:C18"/>
    <mergeCell ref="A19:C19"/>
    <mergeCell ref="D20:E20"/>
    <mergeCell ref="A2:E2"/>
    <mergeCell ref="G2:K2"/>
    <mergeCell ref="M2:Q2"/>
    <mergeCell ref="S2:T2"/>
    <mergeCell ref="D3:E3"/>
    <mergeCell ref="G3:I3"/>
    <mergeCell ref="P3:Q3"/>
    <mergeCell ref="G6:I6"/>
    <mergeCell ref="G7:I7"/>
    <mergeCell ref="M6:O6"/>
    <mergeCell ref="M7:O7"/>
    <mergeCell ref="J3:K3"/>
    <mergeCell ref="M3:O3"/>
    <mergeCell ref="S3:T8"/>
    <mergeCell ref="M4:O4"/>
    <mergeCell ref="P4:Q4"/>
    <mergeCell ref="M5:O5"/>
    <mergeCell ref="P5:Q5"/>
    <mergeCell ref="M8:O8"/>
    <mergeCell ref="A3:C3"/>
    <mergeCell ref="A4:C4"/>
    <mergeCell ref="G4:I4"/>
    <mergeCell ref="A5:C5"/>
    <mergeCell ref="G5:I5"/>
    <mergeCell ref="A6:C6"/>
    <mergeCell ref="A7:C7"/>
    <mergeCell ref="G10:I10"/>
    <mergeCell ref="G11:I11"/>
    <mergeCell ref="A8:C8"/>
    <mergeCell ref="G8:I8"/>
    <mergeCell ref="A9:C9"/>
    <mergeCell ref="G9:I9"/>
    <mergeCell ref="A10:C10"/>
    <mergeCell ref="A11:C11"/>
    <mergeCell ref="D11:E11"/>
  </mergeCells>
  <conditionalFormatting sqref="A12 D12:F12">
    <cfRule type="expression" dxfId="0" priority="1">
      <formula>$D$11 &lt;&gt; "Time"</formula>
    </cfRule>
  </conditionalFormatting>
  <conditionalFormatting sqref="A13 D13:F13">
    <cfRule type="expression" dxfId="0" priority="2">
      <formula>$D$11 &lt;&gt; "Delta Voltage"</formula>
    </cfRule>
  </conditionalFormatting>
  <conditionalFormatting sqref="A14:F14">
    <cfRule type="expression" dxfId="0" priority="3">
      <formula>$D$11&lt;&gt;"Ratio"</formula>
    </cfRule>
  </conditionalFormatting>
  <dataValidations>
    <dataValidation type="list" allowBlank="1" showErrorMessage="1" sqref="J13 D20">
      <formula1>ContactorNames</formula1>
    </dataValidation>
    <dataValidation type="list" allowBlank="1" showErrorMessage="1" sqref="D3 J3 P3">
      <formula1>ResistorsNames</formula1>
    </dataValidation>
    <dataValidation type="list" allowBlank="1" showErrorMessage="1" sqref="D11">
      <formula1>"Time,Delta Voltage,Ratio"</formula1>
    </dataValidation>
    <dataValidation type="decimal" allowBlank="1" showErrorMessage="1" sqref="D4:D5 J4:J5">
      <formula1>1.0</formula1>
      <formula2>1000.0</formula2>
    </dataValidation>
  </dataValidations>
  <printOptions/>
  <pageMargins bottom="0.75" footer="0.0" header="0.0" left="0.7" right="0.7" top="0.75"/>
  <pageSetup orientation="portrait"/>
  <headerFooter>
    <oddFooter>&amp;R#FF0000Public</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26" width="8.67"/>
  </cols>
  <sheetData>
    <row r="1" ht="14.25" customHeight="1">
      <c r="A1" s="8" t="s">
        <v>1</v>
      </c>
      <c r="B1" s="7" t="str">
        <f t="array" ref="B1">IF(SUM(COUNTIF(INDIRECT({"Charging!$F$2","Charging!$H$32","Charging!$Q$32"}), "="&amp;IncompleteText)), IncompleteText, IF(SUM(COUNTIF(INDIRECT({"Charging!$F$2","Charging!$H$32","Charging!$Q$32"}), "="&amp;ErrorText)), ErrorText, OKText))</f>
        <v>OK</v>
      </c>
      <c r="C1" s="4"/>
      <c r="D1" s="4"/>
      <c r="E1" s="4"/>
      <c r="F1" s="4"/>
      <c r="G1" s="4"/>
      <c r="H1" s="4"/>
      <c r="I1" s="4"/>
      <c r="J1" s="4"/>
      <c r="K1" s="4"/>
      <c r="L1" s="4"/>
      <c r="M1" s="4"/>
      <c r="N1" s="4"/>
      <c r="O1" s="4"/>
      <c r="P1" s="4"/>
      <c r="Q1" s="4"/>
      <c r="R1" s="4"/>
      <c r="S1" s="4"/>
      <c r="T1" s="4"/>
      <c r="U1" s="4"/>
      <c r="V1" s="4"/>
      <c r="W1" s="4"/>
      <c r="X1" s="4"/>
      <c r="Y1" s="4"/>
      <c r="Z1" s="4"/>
    </row>
    <row r="2" ht="14.25" customHeight="1">
      <c r="A2" s="1" t="s">
        <v>337</v>
      </c>
      <c r="B2" s="2"/>
      <c r="C2" s="2"/>
      <c r="D2" s="2"/>
      <c r="E2" s="3"/>
      <c r="F2" s="7" t="str">
        <f>IF(COUNTIF(F3:F11, "="&amp;IncompleteText), IncompleteText, IF(COUNTIF(F3:F11, "="&amp;ErrorText), ErrorText, OKText))</f>
        <v>OK</v>
      </c>
      <c r="G2" s="4"/>
      <c r="H2" s="1" t="s">
        <v>20</v>
      </c>
      <c r="I2" s="2"/>
      <c r="J2" s="2"/>
      <c r="K2" s="2"/>
      <c r="L2" s="2"/>
      <c r="M2" s="2"/>
      <c r="N2" s="3"/>
      <c r="O2" s="4"/>
      <c r="P2" s="4"/>
      <c r="Q2" s="4"/>
      <c r="R2" s="4"/>
      <c r="S2" s="4"/>
      <c r="T2" s="4"/>
      <c r="U2" s="4"/>
      <c r="V2" s="4"/>
      <c r="W2" s="4"/>
      <c r="X2" s="4"/>
      <c r="Y2" s="4"/>
      <c r="Z2" s="4"/>
    </row>
    <row r="3" ht="14.25" customHeight="1">
      <c r="A3" s="8" t="s">
        <v>30</v>
      </c>
      <c r="C3" s="23"/>
      <c r="D3" s="36" t="s">
        <v>338</v>
      </c>
      <c r="E3" s="11"/>
      <c r="F3" s="113" t="str">
        <f t="shared" ref="F3:F11" si="1">IF(ISBLANK(D3), IncompleteText, OKText)</f>
        <v>OK</v>
      </c>
      <c r="G3" s="4"/>
      <c r="H3" s="95"/>
      <c r="I3" s="20"/>
      <c r="J3" s="20"/>
      <c r="K3" s="20"/>
      <c r="L3" s="20"/>
      <c r="M3" s="20"/>
      <c r="N3" s="96"/>
      <c r="O3" s="4"/>
      <c r="P3" s="4"/>
      <c r="Q3" s="4"/>
      <c r="R3" s="4"/>
      <c r="S3" s="4"/>
      <c r="T3" s="4"/>
      <c r="U3" s="4"/>
      <c r="V3" s="4"/>
      <c r="W3" s="4"/>
      <c r="X3" s="4"/>
      <c r="Y3" s="4"/>
      <c r="Z3" s="4"/>
    </row>
    <row r="4" ht="14.25" customHeight="1">
      <c r="A4" s="8" t="s">
        <v>32</v>
      </c>
      <c r="D4" s="36" t="s">
        <v>339</v>
      </c>
      <c r="E4" s="11"/>
      <c r="F4" s="113" t="str">
        <f t="shared" si="1"/>
        <v>OK</v>
      </c>
      <c r="G4" s="4"/>
      <c r="H4" s="97"/>
      <c r="N4" s="98"/>
      <c r="O4" s="4"/>
      <c r="P4" s="4"/>
      <c r="Q4" s="4"/>
      <c r="R4" s="4"/>
      <c r="S4" s="4"/>
      <c r="T4" s="4"/>
      <c r="U4" s="4"/>
      <c r="V4" s="4"/>
      <c r="W4" s="4"/>
      <c r="X4" s="4"/>
      <c r="Y4" s="4"/>
      <c r="Z4" s="4"/>
    </row>
    <row r="5" ht="14.25" customHeight="1">
      <c r="A5" s="8" t="s">
        <v>52</v>
      </c>
      <c r="C5" s="23"/>
      <c r="D5" s="40" t="s">
        <v>340</v>
      </c>
      <c r="E5" s="11"/>
      <c r="F5" s="113" t="str">
        <f t="shared" si="1"/>
        <v>OK</v>
      </c>
      <c r="G5" s="4"/>
      <c r="H5" s="97"/>
      <c r="N5" s="98"/>
      <c r="O5" s="4"/>
      <c r="P5" s="4"/>
      <c r="Q5" s="4"/>
      <c r="R5" s="4"/>
      <c r="S5" s="4"/>
      <c r="T5" s="4"/>
      <c r="U5" s="4"/>
      <c r="V5" s="4"/>
      <c r="W5" s="4"/>
      <c r="X5" s="4"/>
      <c r="Y5" s="4"/>
      <c r="Z5" s="4"/>
    </row>
    <row r="6" ht="14.25" customHeight="1">
      <c r="A6" s="8" t="s">
        <v>341</v>
      </c>
      <c r="C6" s="23"/>
      <c r="D6" s="151" t="s">
        <v>342</v>
      </c>
      <c r="E6" s="152" t="s">
        <v>17</v>
      </c>
      <c r="F6" s="7" t="str">
        <f t="shared" si="1"/>
        <v>OK</v>
      </c>
      <c r="G6" s="4"/>
      <c r="H6" s="97"/>
      <c r="N6" s="98"/>
      <c r="O6" s="4"/>
      <c r="P6" s="4"/>
      <c r="Q6" s="4"/>
      <c r="R6" s="4"/>
      <c r="S6" s="4"/>
      <c r="T6" s="4"/>
      <c r="U6" s="4"/>
      <c r="V6" s="4"/>
      <c r="W6" s="4"/>
      <c r="X6" s="4"/>
      <c r="Y6" s="4"/>
      <c r="Z6" s="4"/>
    </row>
    <row r="7" ht="14.25" customHeight="1">
      <c r="A7" s="8" t="s">
        <v>343</v>
      </c>
      <c r="C7" s="23"/>
      <c r="D7" s="151">
        <v>32.0</v>
      </c>
      <c r="E7" s="152" t="s">
        <v>19</v>
      </c>
      <c r="F7" s="7" t="str">
        <f t="shared" si="1"/>
        <v>OK</v>
      </c>
      <c r="G7" s="4"/>
      <c r="H7" s="97"/>
      <c r="N7" s="98"/>
      <c r="O7" s="4"/>
      <c r="P7" s="4"/>
      <c r="Q7" s="4"/>
      <c r="R7" s="4"/>
      <c r="S7" s="4"/>
      <c r="T7" s="4"/>
      <c r="U7" s="4"/>
      <c r="V7" s="4"/>
      <c r="W7" s="4"/>
      <c r="X7" s="4"/>
      <c r="Y7" s="4"/>
      <c r="Z7" s="4"/>
    </row>
    <row r="8" ht="14.25" customHeight="1">
      <c r="A8" s="8" t="s">
        <v>344</v>
      </c>
      <c r="C8" s="23"/>
      <c r="D8" s="151" t="s">
        <v>345</v>
      </c>
      <c r="E8" s="152" t="s">
        <v>17</v>
      </c>
      <c r="F8" s="7" t="str">
        <f t="shared" si="1"/>
        <v>OK</v>
      </c>
      <c r="G8" s="4"/>
      <c r="H8" s="97"/>
      <c r="N8" s="98"/>
      <c r="O8" s="4"/>
      <c r="P8" s="4"/>
      <c r="Q8" s="4"/>
      <c r="R8" s="4"/>
      <c r="S8" s="4"/>
      <c r="T8" s="4"/>
      <c r="U8" s="4"/>
      <c r="V8" s="4"/>
      <c r="W8" s="4"/>
      <c r="X8" s="4"/>
      <c r="Y8" s="4"/>
      <c r="Z8" s="4"/>
    </row>
    <row r="9" ht="14.25" customHeight="1">
      <c r="A9" s="8" t="s">
        <v>346</v>
      </c>
      <c r="C9" s="23"/>
      <c r="D9" s="151">
        <v>12.0</v>
      </c>
      <c r="E9" s="152" t="s">
        <v>19</v>
      </c>
      <c r="F9" s="7" t="str">
        <f t="shared" si="1"/>
        <v>OK</v>
      </c>
      <c r="G9" s="4"/>
      <c r="H9" s="97"/>
      <c r="N9" s="98"/>
      <c r="O9" s="4"/>
      <c r="P9" s="4"/>
      <c r="Q9" s="4"/>
      <c r="R9" s="4"/>
      <c r="S9" s="4"/>
      <c r="T9" s="4"/>
      <c r="U9" s="4"/>
      <c r="V9" s="4"/>
      <c r="W9" s="4"/>
      <c r="X9" s="4"/>
      <c r="Y9" s="4"/>
      <c r="Z9" s="4"/>
    </row>
    <row r="10" ht="14.25" customHeight="1">
      <c r="A10" s="8" t="s">
        <v>347</v>
      </c>
      <c r="C10" s="23"/>
      <c r="D10" s="151">
        <v>6.6</v>
      </c>
      <c r="E10" s="152" t="s">
        <v>348</v>
      </c>
      <c r="F10" s="7" t="str">
        <f t="shared" si="1"/>
        <v>OK</v>
      </c>
      <c r="G10" s="4"/>
      <c r="H10" s="99"/>
      <c r="I10" s="100"/>
      <c r="J10" s="100"/>
      <c r="K10" s="100"/>
      <c r="L10" s="100"/>
      <c r="M10" s="100"/>
      <c r="N10" s="101"/>
      <c r="O10" s="4"/>
      <c r="P10" s="4"/>
      <c r="Q10" s="4"/>
      <c r="R10" s="4"/>
      <c r="S10" s="4"/>
      <c r="T10" s="4"/>
      <c r="U10" s="4"/>
      <c r="V10" s="4"/>
      <c r="W10" s="4"/>
      <c r="X10" s="4"/>
      <c r="Y10" s="4"/>
      <c r="Z10" s="4"/>
    </row>
    <row r="11" ht="14.25" customHeight="1">
      <c r="A11" s="8" t="s">
        <v>349</v>
      </c>
      <c r="C11" s="23"/>
      <c r="D11" s="36" t="s">
        <v>350</v>
      </c>
      <c r="E11" s="11"/>
      <c r="F11" s="113" t="str">
        <f t="shared" si="1"/>
        <v>OK</v>
      </c>
      <c r="G11" s="4"/>
      <c r="H11" s="4"/>
      <c r="I11" s="4"/>
      <c r="J11" s="4"/>
      <c r="K11" s="4"/>
      <c r="L11" s="4"/>
      <c r="M11" s="4"/>
      <c r="N11" s="4"/>
      <c r="O11" s="4"/>
      <c r="P11" s="4"/>
      <c r="Q11" s="4"/>
      <c r="R11" s="4"/>
      <c r="S11" s="4"/>
      <c r="T11" s="4"/>
      <c r="U11" s="4"/>
      <c r="V11" s="4"/>
      <c r="W11" s="4"/>
      <c r="X11" s="4"/>
      <c r="Y11" s="4"/>
      <c r="Z11" s="4"/>
    </row>
    <row r="12" ht="14.25" customHeight="1">
      <c r="A12" s="4"/>
      <c r="B12" s="4"/>
      <c r="C12" s="4"/>
      <c r="D12" s="153"/>
      <c r="E12" s="153"/>
      <c r="F12" s="4"/>
      <c r="G12" s="4"/>
      <c r="H12" s="4"/>
      <c r="I12" s="4"/>
      <c r="J12" s="4"/>
      <c r="K12" s="4"/>
      <c r="L12" s="4"/>
      <c r="M12" s="4"/>
      <c r="N12" s="4"/>
      <c r="O12" s="4"/>
      <c r="P12" s="4"/>
      <c r="Q12" s="4"/>
      <c r="R12" s="4"/>
      <c r="S12" s="4"/>
      <c r="T12" s="4"/>
      <c r="U12" s="4"/>
      <c r="V12" s="4"/>
      <c r="W12" s="4"/>
      <c r="X12" s="4"/>
      <c r="Y12" s="4"/>
      <c r="Z12" s="4"/>
    </row>
    <row r="13" ht="14.25" customHeight="1">
      <c r="A13" s="94" t="s">
        <v>351</v>
      </c>
      <c r="B13" s="20"/>
      <c r="C13" s="20"/>
      <c r="D13" s="20"/>
      <c r="E13" s="20"/>
      <c r="F13" s="20"/>
      <c r="G13" s="20"/>
      <c r="H13" s="21"/>
      <c r="I13" s="4"/>
      <c r="J13" s="94" t="s">
        <v>352</v>
      </c>
      <c r="K13" s="20"/>
      <c r="L13" s="20"/>
      <c r="M13" s="20"/>
      <c r="N13" s="20"/>
      <c r="O13" s="20"/>
      <c r="P13" s="20"/>
      <c r="Q13" s="21"/>
      <c r="R13" s="4"/>
      <c r="S13" s="4"/>
      <c r="T13" s="4"/>
      <c r="U13" s="4"/>
      <c r="V13" s="4"/>
      <c r="W13" s="4"/>
      <c r="X13" s="4"/>
      <c r="Y13" s="4"/>
      <c r="Z13" s="4"/>
    </row>
    <row r="14" ht="14.25" customHeight="1">
      <c r="A14" s="22"/>
      <c r="H14" s="23"/>
      <c r="I14" s="4"/>
      <c r="J14" s="22"/>
      <c r="Q14" s="23"/>
      <c r="R14" s="4"/>
      <c r="S14" s="4"/>
      <c r="T14" s="4"/>
      <c r="U14" s="4"/>
      <c r="V14" s="4"/>
      <c r="W14" s="4"/>
      <c r="X14" s="4"/>
      <c r="Y14" s="4"/>
      <c r="Z14" s="4"/>
    </row>
    <row r="15" ht="14.25" customHeight="1">
      <c r="A15" s="22"/>
      <c r="H15" s="23"/>
      <c r="I15" s="4"/>
      <c r="J15" s="22"/>
      <c r="Q15" s="23"/>
      <c r="R15" s="4"/>
      <c r="S15" s="4"/>
      <c r="T15" s="4"/>
      <c r="U15" s="4"/>
      <c r="V15" s="4"/>
      <c r="W15" s="4"/>
      <c r="X15" s="4"/>
      <c r="Y15" s="4"/>
      <c r="Z15" s="4"/>
    </row>
    <row r="16" ht="14.25" customHeight="1">
      <c r="A16" s="22"/>
      <c r="H16" s="23"/>
      <c r="I16" s="4"/>
      <c r="J16" s="22"/>
      <c r="Q16" s="23"/>
      <c r="R16" s="4"/>
      <c r="S16" s="4"/>
      <c r="T16" s="4"/>
      <c r="U16" s="4"/>
      <c r="V16" s="4"/>
      <c r="W16" s="4"/>
      <c r="X16" s="4"/>
      <c r="Y16" s="4"/>
      <c r="Z16" s="4"/>
    </row>
    <row r="17" ht="14.25" customHeight="1">
      <c r="A17" s="22"/>
      <c r="H17" s="23"/>
      <c r="I17" s="4"/>
      <c r="J17" s="22"/>
      <c r="Q17" s="23"/>
      <c r="R17" s="4"/>
      <c r="S17" s="4"/>
      <c r="T17" s="4"/>
      <c r="U17" s="4"/>
      <c r="V17" s="4"/>
      <c r="W17" s="4"/>
      <c r="X17" s="4"/>
      <c r="Y17" s="4"/>
      <c r="Z17" s="4"/>
    </row>
    <row r="18" ht="14.25" customHeight="1">
      <c r="A18" s="22"/>
      <c r="H18" s="23"/>
      <c r="I18" s="4"/>
      <c r="J18" s="22"/>
      <c r="Q18" s="23"/>
      <c r="R18" s="4"/>
      <c r="S18" s="4"/>
      <c r="T18" s="4"/>
      <c r="U18" s="4"/>
      <c r="V18" s="4"/>
      <c r="W18" s="4"/>
      <c r="X18" s="4"/>
      <c r="Y18" s="4"/>
      <c r="Z18" s="4"/>
    </row>
    <row r="19" ht="14.25" customHeight="1">
      <c r="A19" s="22"/>
      <c r="H19" s="23"/>
      <c r="I19" s="4"/>
      <c r="J19" s="22"/>
      <c r="Q19" s="23"/>
      <c r="R19" s="4"/>
      <c r="S19" s="4"/>
      <c r="T19" s="4"/>
      <c r="U19" s="4"/>
      <c r="V19" s="4"/>
      <c r="W19" s="4"/>
      <c r="X19" s="4"/>
      <c r="Y19" s="4"/>
      <c r="Z19" s="4"/>
    </row>
    <row r="20" ht="14.25" customHeight="1">
      <c r="A20" s="22"/>
      <c r="H20" s="23"/>
      <c r="I20" s="4"/>
      <c r="J20" s="22"/>
      <c r="Q20" s="23"/>
      <c r="R20" s="4"/>
      <c r="S20" s="4"/>
      <c r="T20" s="4"/>
      <c r="U20" s="4"/>
      <c r="V20" s="4"/>
      <c r="W20" s="4"/>
      <c r="X20" s="4"/>
      <c r="Y20" s="4"/>
      <c r="Z20" s="4"/>
    </row>
    <row r="21" ht="14.25" customHeight="1">
      <c r="A21" s="22"/>
      <c r="H21" s="23"/>
      <c r="I21" s="4"/>
      <c r="J21" s="22"/>
      <c r="Q21" s="23"/>
      <c r="R21" s="4"/>
      <c r="S21" s="4"/>
      <c r="T21" s="4"/>
      <c r="U21" s="4"/>
      <c r="V21" s="4"/>
      <c r="W21" s="4"/>
      <c r="X21" s="4"/>
      <c r="Y21" s="4"/>
      <c r="Z21" s="4"/>
    </row>
    <row r="22" ht="14.25" customHeight="1">
      <c r="A22" s="22"/>
      <c r="H22" s="23"/>
      <c r="I22" s="4"/>
      <c r="J22" s="22"/>
      <c r="Q22" s="23"/>
      <c r="R22" s="4"/>
      <c r="S22" s="4"/>
      <c r="T22" s="4"/>
      <c r="U22" s="4"/>
      <c r="V22" s="4"/>
      <c r="W22" s="4"/>
      <c r="X22" s="4"/>
      <c r="Y22" s="4"/>
      <c r="Z22" s="4"/>
    </row>
    <row r="23" ht="14.25" customHeight="1">
      <c r="A23" s="22"/>
      <c r="H23" s="23"/>
      <c r="I23" s="4"/>
      <c r="J23" s="22"/>
      <c r="Q23" s="23"/>
      <c r="R23" s="4"/>
      <c r="S23" s="4"/>
      <c r="T23" s="4"/>
      <c r="U23" s="4"/>
      <c r="V23" s="4"/>
      <c r="W23" s="4"/>
      <c r="X23" s="4"/>
      <c r="Y23" s="4"/>
      <c r="Z23" s="4"/>
    </row>
    <row r="24" ht="14.25" customHeight="1">
      <c r="A24" s="22"/>
      <c r="H24" s="23"/>
      <c r="I24" s="4"/>
      <c r="J24" s="22"/>
      <c r="Q24" s="23"/>
      <c r="R24" s="4"/>
      <c r="S24" s="4"/>
      <c r="T24" s="4"/>
      <c r="U24" s="4"/>
      <c r="V24" s="4"/>
      <c r="W24" s="4"/>
      <c r="X24" s="4"/>
      <c r="Y24" s="4"/>
      <c r="Z24" s="4"/>
    </row>
    <row r="25" ht="14.25" customHeight="1">
      <c r="A25" s="22"/>
      <c r="H25" s="23"/>
      <c r="I25" s="4"/>
      <c r="J25" s="22"/>
      <c r="Q25" s="23"/>
      <c r="R25" s="4"/>
      <c r="S25" s="4"/>
      <c r="T25" s="4"/>
      <c r="U25" s="4"/>
      <c r="V25" s="4"/>
      <c r="W25" s="4"/>
      <c r="X25" s="4"/>
      <c r="Y25" s="4"/>
      <c r="Z25" s="4"/>
    </row>
    <row r="26" ht="14.25" customHeight="1">
      <c r="A26" s="22"/>
      <c r="H26" s="23"/>
      <c r="I26" s="4"/>
      <c r="J26" s="22"/>
      <c r="Q26" s="23"/>
      <c r="R26" s="4"/>
      <c r="S26" s="4"/>
      <c r="T26" s="4"/>
      <c r="U26" s="4"/>
      <c r="V26" s="4"/>
      <c r="W26" s="4"/>
      <c r="X26" s="4"/>
      <c r="Y26" s="4"/>
      <c r="Z26" s="4"/>
    </row>
    <row r="27" ht="14.25" customHeight="1">
      <c r="A27" s="22"/>
      <c r="H27" s="23"/>
      <c r="I27" s="4"/>
      <c r="J27" s="22"/>
      <c r="Q27" s="23"/>
      <c r="R27" s="4"/>
      <c r="S27" s="4"/>
      <c r="T27" s="4"/>
      <c r="U27" s="4"/>
      <c r="V27" s="4"/>
      <c r="W27" s="4"/>
      <c r="X27" s="4"/>
      <c r="Y27" s="4"/>
      <c r="Z27" s="4"/>
    </row>
    <row r="28" ht="14.25" customHeight="1">
      <c r="A28" s="22"/>
      <c r="H28" s="23"/>
      <c r="I28" s="4"/>
      <c r="J28" s="22"/>
      <c r="Q28" s="23"/>
      <c r="R28" s="4"/>
      <c r="S28" s="4"/>
      <c r="T28" s="4"/>
      <c r="U28" s="4"/>
      <c r="V28" s="4"/>
      <c r="W28" s="4"/>
      <c r="X28" s="4"/>
      <c r="Y28" s="4"/>
      <c r="Z28" s="4"/>
    </row>
    <row r="29" ht="14.25" customHeight="1">
      <c r="A29" s="22"/>
      <c r="H29" s="23"/>
      <c r="I29" s="4"/>
      <c r="J29" s="22"/>
      <c r="Q29" s="23"/>
      <c r="R29" s="4"/>
      <c r="S29" s="4"/>
      <c r="T29" s="4"/>
      <c r="U29" s="4"/>
      <c r="V29" s="4"/>
      <c r="W29" s="4"/>
      <c r="X29" s="4"/>
      <c r="Y29" s="4"/>
      <c r="Z29" s="4"/>
    </row>
    <row r="30" ht="14.25" customHeight="1">
      <c r="A30" s="22"/>
      <c r="H30" s="23"/>
      <c r="I30" s="4"/>
      <c r="J30" s="22"/>
      <c r="Q30" s="23"/>
      <c r="R30" s="4"/>
      <c r="S30" s="4"/>
      <c r="T30" s="4"/>
      <c r="U30" s="4"/>
      <c r="V30" s="4"/>
      <c r="W30" s="4"/>
      <c r="X30" s="4"/>
      <c r="Y30" s="4"/>
      <c r="Z30" s="4"/>
    </row>
    <row r="31" ht="14.25" customHeight="1">
      <c r="A31" s="24"/>
      <c r="B31" s="25"/>
      <c r="C31" s="25"/>
      <c r="D31" s="25"/>
      <c r="E31" s="25"/>
      <c r="F31" s="25"/>
      <c r="G31" s="25"/>
      <c r="H31" s="26"/>
      <c r="I31" s="4"/>
      <c r="J31" s="24"/>
      <c r="K31" s="25"/>
      <c r="L31" s="25"/>
      <c r="M31" s="25"/>
      <c r="N31" s="25"/>
      <c r="O31" s="25"/>
      <c r="P31" s="25"/>
      <c r="Q31" s="26"/>
      <c r="R31" s="4"/>
      <c r="S31" s="4"/>
      <c r="T31" s="4"/>
      <c r="U31" s="4"/>
      <c r="V31" s="4"/>
      <c r="W31" s="4"/>
      <c r="X31" s="4"/>
      <c r="Y31" s="4"/>
      <c r="Z31" s="4"/>
    </row>
    <row r="32" ht="14.25" customHeight="1">
      <c r="A32" s="1" t="s">
        <v>353</v>
      </c>
      <c r="B32" s="2"/>
      <c r="C32" s="2"/>
      <c r="D32" s="2"/>
      <c r="E32" s="2"/>
      <c r="F32" s="2"/>
      <c r="G32" s="3"/>
      <c r="H32" s="102" t="str">
        <f>IF(COUNTIF(H34:H39, "="&amp;IncompleteText), IncompleteText, IF(COUNTIF(H34:H39, "="&amp;ErrorText), ErrorText, OKText))</f>
        <v>BLANK</v>
      </c>
      <c r="I32" s="4"/>
      <c r="J32" s="154" t="s">
        <v>354</v>
      </c>
      <c r="K32" s="2"/>
      <c r="L32" s="2"/>
      <c r="M32" s="2"/>
      <c r="N32" s="2"/>
      <c r="O32" s="2"/>
      <c r="P32" s="3"/>
      <c r="Q32" s="102" t="str">
        <f>IF(COUNTIF(Q34:Q39, "="&amp;IncompleteText), IncompleteText, IF(COUNTIF(Q34:Q39, "="&amp;ErrorText), ErrorText, OKText))</f>
        <v>BLANK</v>
      </c>
      <c r="R32" s="4"/>
      <c r="S32" s="4"/>
      <c r="T32" s="4"/>
      <c r="U32" s="4"/>
      <c r="V32" s="4"/>
      <c r="W32" s="4"/>
      <c r="X32" s="4"/>
      <c r="Y32" s="4"/>
      <c r="Z32" s="4"/>
    </row>
    <row r="33" ht="14.25" customHeight="1">
      <c r="A33" s="103" t="s">
        <v>64</v>
      </c>
      <c r="B33" s="146"/>
      <c r="C33" s="43"/>
      <c r="D33" s="43"/>
      <c r="E33" s="43"/>
      <c r="F33" s="43"/>
      <c r="G33" s="43"/>
      <c r="H33" s="105"/>
      <c r="I33" s="4"/>
      <c r="J33" s="103" t="s">
        <v>64</v>
      </c>
      <c r="K33" s="146"/>
      <c r="L33" s="43"/>
      <c r="M33" s="43"/>
      <c r="N33" s="43"/>
      <c r="O33" s="43"/>
      <c r="P33" s="43"/>
      <c r="Q33" s="105"/>
      <c r="R33" s="4"/>
      <c r="S33" s="4"/>
      <c r="T33" s="4"/>
      <c r="U33" s="4"/>
      <c r="V33" s="4"/>
      <c r="W33" s="4"/>
      <c r="X33" s="4"/>
      <c r="Y33" s="4"/>
      <c r="Z33" s="4"/>
    </row>
    <row r="34" ht="14.25" customHeight="1">
      <c r="A34" s="108"/>
      <c r="C34" s="8" t="s">
        <v>355</v>
      </c>
      <c r="F34" s="23"/>
      <c r="G34" s="50"/>
      <c r="H34" s="7" t="str">
        <f t="shared" ref="H34:H39" si="2">IF(ISBLANK(G34),IncompleteText, IF(G34, OKText, ErrorText))</f>
        <v>BLANK</v>
      </c>
      <c r="I34" s="4"/>
      <c r="J34" s="108" t="s">
        <v>356</v>
      </c>
      <c r="L34" s="8" t="s">
        <v>357</v>
      </c>
      <c r="O34" s="23"/>
      <c r="P34" s="57"/>
      <c r="Q34" s="7" t="str">
        <f t="shared" ref="Q34:Q39" si="3">IF(ISBLANK(P34),IncompleteText, IF(P34, OKText, ErrorText))</f>
        <v>BLANK</v>
      </c>
      <c r="R34" s="4"/>
      <c r="S34" s="4"/>
      <c r="T34" s="4"/>
      <c r="U34" s="4"/>
      <c r="V34" s="4"/>
      <c r="W34" s="4"/>
      <c r="X34" s="4"/>
      <c r="Y34" s="4"/>
      <c r="Z34" s="4"/>
    </row>
    <row r="35" ht="14.25" customHeight="1">
      <c r="A35" s="108"/>
      <c r="C35" s="8" t="s">
        <v>123</v>
      </c>
      <c r="F35" s="23"/>
      <c r="G35" s="50"/>
      <c r="H35" s="7" t="str">
        <f t="shared" si="2"/>
        <v>BLANK</v>
      </c>
      <c r="I35" s="4"/>
      <c r="J35" s="108" t="s">
        <v>356</v>
      </c>
      <c r="L35" s="8" t="s">
        <v>358</v>
      </c>
      <c r="O35" s="23"/>
      <c r="P35" s="57"/>
      <c r="Q35" s="7" t="str">
        <f t="shared" si="3"/>
        <v>BLANK</v>
      </c>
      <c r="R35" s="4"/>
      <c r="S35" s="4"/>
      <c r="T35" s="4"/>
      <c r="U35" s="4"/>
      <c r="V35" s="4"/>
      <c r="W35" s="4"/>
      <c r="X35" s="4"/>
      <c r="Y35" s="4"/>
      <c r="Z35" s="4"/>
    </row>
    <row r="36" ht="14.25" customHeight="1">
      <c r="A36" s="108"/>
      <c r="C36" s="8" t="s">
        <v>359</v>
      </c>
      <c r="F36" s="23"/>
      <c r="G36" s="50"/>
      <c r="H36" s="7" t="str">
        <f t="shared" si="2"/>
        <v>BLANK</v>
      </c>
      <c r="I36" s="4"/>
      <c r="J36" s="108" t="s">
        <v>360</v>
      </c>
      <c r="L36" s="8" t="s">
        <v>361</v>
      </c>
      <c r="O36" s="23"/>
      <c r="P36" s="50" t="b">
        <v>1</v>
      </c>
      <c r="Q36" s="7" t="str">
        <f t="shared" si="3"/>
        <v>OK</v>
      </c>
      <c r="R36" s="4"/>
      <c r="S36" s="4"/>
      <c r="T36" s="4"/>
      <c r="U36" s="4"/>
      <c r="V36" s="4"/>
      <c r="W36" s="4"/>
      <c r="X36" s="4"/>
      <c r="Y36" s="4"/>
      <c r="Z36" s="4"/>
    </row>
    <row r="37" ht="14.25" customHeight="1">
      <c r="A37" s="108" t="s">
        <v>362</v>
      </c>
      <c r="C37" s="8" t="s">
        <v>170</v>
      </c>
      <c r="F37" s="23"/>
      <c r="G37" s="50"/>
      <c r="H37" s="7" t="str">
        <f t="shared" si="2"/>
        <v>BLANK</v>
      </c>
      <c r="I37" s="4"/>
      <c r="J37" s="108" t="s">
        <v>362</v>
      </c>
      <c r="L37" s="8" t="s">
        <v>157</v>
      </c>
      <c r="O37" s="23"/>
      <c r="P37" s="57"/>
      <c r="Q37" s="7" t="str">
        <f t="shared" si="3"/>
        <v>BLANK</v>
      </c>
      <c r="R37" s="4"/>
      <c r="S37" s="4"/>
      <c r="T37" s="4"/>
      <c r="U37" s="4"/>
      <c r="V37" s="4"/>
      <c r="W37" s="4"/>
      <c r="X37" s="4"/>
      <c r="Y37" s="4"/>
      <c r="Z37" s="4"/>
    </row>
    <row r="38" ht="14.25" customHeight="1">
      <c r="A38" s="108" t="s">
        <v>363</v>
      </c>
      <c r="C38" s="8" t="s">
        <v>157</v>
      </c>
      <c r="F38" s="23"/>
      <c r="G38" s="50"/>
      <c r="H38" s="7" t="str">
        <f t="shared" si="2"/>
        <v>BLANK</v>
      </c>
      <c r="I38" s="4"/>
      <c r="J38" s="8"/>
      <c r="L38" s="8" t="s">
        <v>364</v>
      </c>
      <c r="O38" s="23"/>
      <c r="P38" s="57"/>
      <c r="Q38" s="7" t="str">
        <f t="shared" si="3"/>
        <v>BLANK</v>
      </c>
      <c r="R38" s="4"/>
      <c r="S38" s="4"/>
      <c r="T38" s="4"/>
      <c r="U38" s="4"/>
      <c r="V38" s="4"/>
      <c r="W38" s="4"/>
      <c r="X38" s="4"/>
      <c r="Y38" s="4"/>
      <c r="Z38" s="4"/>
    </row>
    <row r="39" ht="14.25" customHeight="1">
      <c r="A39" s="108" t="s">
        <v>365</v>
      </c>
      <c r="C39" s="8" t="s">
        <v>161</v>
      </c>
      <c r="F39" s="23"/>
      <c r="G39" s="50"/>
      <c r="H39" s="7" t="str">
        <f t="shared" si="2"/>
        <v>BLANK</v>
      </c>
      <c r="I39" s="4"/>
      <c r="J39" s="8"/>
      <c r="L39" s="8" t="s">
        <v>366</v>
      </c>
      <c r="O39" s="23"/>
      <c r="P39" s="57"/>
      <c r="Q39" s="7" t="str">
        <f t="shared" si="3"/>
        <v>BLANK</v>
      </c>
      <c r="R39" s="4"/>
      <c r="S39" s="4"/>
      <c r="T39" s="4"/>
      <c r="U39" s="4"/>
      <c r="V39" s="4"/>
      <c r="W39" s="4"/>
      <c r="X39" s="4"/>
      <c r="Y39" s="4"/>
      <c r="Z39" s="4"/>
    </row>
    <row r="40" ht="14.25" customHeight="1">
      <c r="A40" s="1" t="s">
        <v>20</v>
      </c>
      <c r="B40" s="2"/>
      <c r="C40" s="2"/>
      <c r="D40" s="2"/>
      <c r="E40" s="2"/>
      <c r="F40" s="2"/>
      <c r="G40" s="3"/>
      <c r="H40" s="4"/>
      <c r="I40" s="4"/>
      <c r="J40" s="1" t="s">
        <v>20</v>
      </c>
      <c r="K40" s="2"/>
      <c r="L40" s="2"/>
      <c r="M40" s="2"/>
      <c r="N40" s="2"/>
      <c r="O40" s="2"/>
      <c r="P40" s="3"/>
      <c r="Q40" s="4"/>
      <c r="R40" s="4"/>
      <c r="S40" s="4"/>
      <c r="T40" s="4"/>
      <c r="U40" s="4"/>
      <c r="V40" s="4"/>
      <c r="W40" s="4"/>
      <c r="X40" s="4"/>
      <c r="Y40" s="4"/>
      <c r="Z40" s="4"/>
    </row>
    <row r="41" ht="14.25" customHeight="1">
      <c r="A41" s="19"/>
      <c r="B41" s="20"/>
      <c r="C41" s="20"/>
      <c r="D41" s="20"/>
      <c r="E41" s="20"/>
      <c r="F41" s="20"/>
      <c r="G41" s="21"/>
      <c r="H41" s="4"/>
      <c r="I41" s="4"/>
      <c r="J41" s="19"/>
      <c r="K41" s="20"/>
      <c r="L41" s="20"/>
      <c r="M41" s="20"/>
      <c r="N41" s="20"/>
      <c r="O41" s="20"/>
      <c r="P41" s="21"/>
      <c r="Q41" s="4"/>
      <c r="R41" s="4"/>
      <c r="S41" s="4"/>
      <c r="T41" s="4"/>
      <c r="U41" s="4"/>
      <c r="V41" s="4"/>
      <c r="W41" s="4"/>
      <c r="X41" s="4"/>
      <c r="Y41" s="4"/>
      <c r="Z41" s="4"/>
    </row>
    <row r="42" ht="14.25" customHeight="1">
      <c r="A42" s="22"/>
      <c r="G42" s="23"/>
      <c r="H42" s="4"/>
      <c r="I42" s="4"/>
      <c r="J42" s="22"/>
      <c r="P42" s="23"/>
      <c r="Q42" s="4"/>
      <c r="R42" s="4"/>
      <c r="S42" s="4"/>
      <c r="T42" s="4"/>
      <c r="U42" s="4"/>
      <c r="V42" s="4"/>
      <c r="W42" s="4"/>
      <c r="X42" s="4"/>
      <c r="Y42" s="4"/>
      <c r="Z42" s="4"/>
    </row>
    <row r="43" ht="14.25" customHeight="1">
      <c r="A43" s="22"/>
      <c r="G43" s="23"/>
      <c r="H43" s="4"/>
      <c r="I43" s="4"/>
      <c r="J43" s="22"/>
      <c r="P43" s="23"/>
      <c r="Q43" s="4"/>
      <c r="R43" s="4"/>
      <c r="S43" s="4"/>
      <c r="T43" s="4"/>
      <c r="U43" s="4"/>
      <c r="V43" s="4"/>
      <c r="W43" s="4"/>
      <c r="X43" s="4"/>
      <c r="Y43" s="4"/>
      <c r="Z43" s="4"/>
    </row>
    <row r="44" ht="14.25" customHeight="1">
      <c r="A44" s="24"/>
      <c r="B44" s="25"/>
      <c r="C44" s="25"/>
      <c r="D44" s="25"/>
      <c r="E44" s="25"/>
      <c r="F44" s="25"/>
      <c r="G44" s="26"/>
      <c r="H44" s="4"/>
      <c r="I44" s="4"/>
      <c r="J44" s="24"/>
      <c r="K44" s="25"/>
      <c r="L44" s="25"/>
      <c r="M44" s="25"/>
      <c r="N44" s="25"/>
      <c r="O44" s="25"/>
      <c r="P44" s="26"/>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52">
    <mergeCell ref="L36:O36"/>
    <mergeCell ref="L37:O37"/>
    <mergeCell ref="L38:O38"/>
    <mergeCell ref="L39:O39"/>
    <mergeCell ref="J40:P40"/>
    <mergeCell ref="J41:P44"/>
    <mergeCell ref="J13:Q31"/>
    <mergeCell ref="J32:P32"/>
    <mergeCell ref="Q32:Q33"/>
    <mergeCell ref="J33:K33"/>
    <mergeCell ref="J34:K34"/>
    <mergeCell ref="L34:O34"/>
    <mergeCell ref="L35:O35"/>
    <mergeCell ref="A5:C5"/>
    <mergeCell ref="D5:E5"/>
    <mergeCell ref="A6:C6"/>
    <mergeCell ref="A7:C7"/>
    <mergeCell ref="A2:E2"/>
    <mergeCell ref="H2:N2"/>
    <mergeCell ref="A3:C3"/>
    <mergeCell ref="D3:E3"/>
    <mergeCell ref="H3:N10"/>
    <mergeCell ref="A4:C4"/>
    <mergeCell ref="D4:E4"/>
    <mergeCell ref="A10:C10"/>
    <mergeCell ref="A33:B33"/>
    <mergeCell ref="A34:B34"/>
    <mergeCell ref="A35:B35"/>
    <mergeCell ref="A36:B36"/>
    <mergeCell ref="A37:B37"/>
    <mergeCell ref="A38:B38"/>
    <mergeCell ref="A39:B39"/>
    <mergeCell ref="C34:F34"/>
    <mergeCell ref="C35:F35"/>
    <mergeCell ref="C36:F36"/>
    <mergeCell ref="C37:F37"/>
    <mergeCell ref="C38:F38"/>
    <mergeCell ref="C39:F39"/>
    <mergeCell ref="A40:G40"/>
    <mergeCell ref="A41:G44"/>
    <mergeCell ref="A8:C8"/>
    <mergeCell ref="A9:C9"/>
    <mergeCell ref="A11:C11"/>
    <mergeCell ref="D11:E11"/>
    <mergeCell ref="A13:H31"/>
    <mergeCell ref="A32:G32"/>
    <mergeCell ref="H32:H33"/>
    <mergeCell ref="J35:K35"/>
    <mergeCell ref="J36:K36"/>
    <mergeCell ref="J37:K37"/>
    <mergeCell ref="J38:K38"/>
    <mergeCell ref="J39:K39"/>
  </mergeCells>
  <conditionalFormatting sqref="Q34:Q39">
    <cfRule type="expression" dxfId="0" priority="1">
      <formula>$D$65 = "Team Designed"</formula>
    </cfRule>
  </conditionalFormatting>
  <conditionalFormatting sqref="H38:H39">
    <cfRule type="expression" dxfId="0" priority="2">
      <formula>$D$65 = "Team Designed"</formula>
    </cfRule>
  </conditionalFormatting>
  <dataValidations>
    <dataValidation type="list" allowBlank="1" showErrorMessage="1" sqref="G34:G39 P34:P39">
      <formula1>"TRUE,FALSE"</formula1>
    </dataValidation>
  </dataValidations>
  <hyperlinks>
    <hyperlink r:id="rId1" ref="D5"/>
  </hyperlinks>
  <printOptions/>
  <pageMargins bottom="0.75" footer="0.0" header="0.0" left="0.7" right="0.7" top="0.75"/>
  <pageSetup orientation="portrait"/>
  <headerFooter>
    <oddFooter>&amp;R#FF0000Public</oddFooter>
  </headerFooter>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26" width="8.67"/>
  </cols>
  <sheetData>
    <row r="1" ht="14.25" customHeight="1">
      <c r="A1" s="8" t="s">
        <v>1</v>
      </c>
      <c r="B1" s="7" t="str">
        <f t="array" ref="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OK</v>
      </c>
      <c r="C1" s="4"/>
      <c r="D1" s="4"/>
      <c r="E1" s="4"/>
      <c r="F1" s="4"/>
      <c r="G1" s="4"/>
      <c r="H1" s="4"/>
      <c r="I1" s="4"/>
      <c r="J1" s="4"/>
      <c r="K1" s="4"/>
      <c r="L1" s="4"/>
      <c r="M1" s="4"/>
      <c r="N1" s="4"/>
      <c r="O1" s="4"/>
      <c r="P1" s="4"/>
      <c r="Q1" s="4"/>
      <c r="R1" s="4"/>
      <c r="S1" s="4"/>
      <c r="T1" s="4"/>
      <c r="U1" s="4"/>
      <c r="V1" s="4"/>
      <c r="W1" s="4"/>
      <c r="X1" s="4"/>
      <c r="Y1" s="4"/>
      <c r="Z1" s="4"/>
    </row>
    <row r="2" ht="14.25" customHeight="1">
      <c r="A2" s="1" t="s">
        <v>170</v>
      </c>
      <c r="B2" s="2"/>
      <c r="C2" s="2"/>
      <c r="D2" s="2"/>
      <c r="E2" s="3"/>
      <c r="F2" s="109" t="str">
        <f>IF(COUNTIF(F4:F5, "="&amp;IncompleteText), IncompleteText, IF(COUNTIF(F4:F5, "="&amp;ErrorText), ErrorText, OKText))</f>
        <v>OK</v>
      </c>
      <c r="G2" s="4"/>
      <c r="H2" s="1" t="s">
        <v>367</v>
      </c>
      <c r="I2" s="2"/>
      <c r="J2" s="2"/>
      <c r="K2" s="2"/>
      <c r="L2" s="3"/>
      <c r="M2" s="109" t="str">
        <f>IF(COUNTIF(M4:M8, "="&amp;IncompleteText), IncompleteText, IF(COUNTIF(M4:M8, "="&amp;ErrorText), ErrorText, OKText))</f>
        <v>OK</v>
      </c>
      <c r="N2" s="4"/>
      <c r="O2" s="4"/>
      <c r="P2" s="4"/>
      <c r="Q2" s="4"/>
      <c r="R2" s="4"/>
      <c r="S2" s="4"/>
      <c r="T2" s="4"/>
      <c r="U2" s="4"/>
      <c r="V2" s="4"/>
      <c r="W2" s="4"/>
      <c r="X2" s="4"/>
      <c r="Y2" s="4"/>
      <c r="Z2" s="4"/>
    </row>
    <row r="3" ht="14.25" customHeight="1">
      <c r="A3" s="155" t="s">
        <v>368</v>
      </c>
      <c r="B3" s="156"/>
      <c r="C3" s="104"/>
      <c r="D3" s="157" t="s">
        <v>169</v>
      </c>
      <c r="E3" s="146"/>
      <c r="F3" s="105"/>
      <c r="G3" s="4"/>
      <c r="H3" s="155" t="s">
        <v>368</v>
      </c>
      <c r="I3" s="156"/>
      <c r="J3" s="146"/>
      <c r="K3" s="158" t="s">
        <v>369</v>
      </c>
      <c r="L3" s="159"/>
      <c r="M3" s="105"/>
      <c r="N3" s="4"/>
      <c r="O3" s="4"/>
      <c r="P3" s="4"/>
      <c r="Q3" s="4"/>
      <c r="R3" s="4"/>
      <c r="S3" s="4"/>
      <c r="T3" s="4"/>
      <c r="U3" s="4"/>
      <c r="V3" s="4"/>
      <c r="W3" s="4"/>
      <c r="X3" s="4"/>
      <c r="Y3" s="4"/>
      <c r="Z3" s="4"/>
    </row>
    <row r="4" ht="14.25" customHeight="1">
      <c r="A4" s="8" t="s">
        <v>216</v>
      </c>
      <c r="D4" s="160" t="s">
        <v>370</v>
      </c>
      <c r="E4" s="161"/>
      <c r="F4" s="7" t="str">
        <f>IF(ISBLANK(D4), IncompleteText, OKText)</f>
        <v>OK</v>
      </c>
      <c r="G4" s="4"/>
      <c r="H4" s="111" t="s">
        <v>371</v>
      </c>
      <c r="K4" s="162" t="s">
        <v>372</v>
      </c>
      <c r="L4" s="11"/>
      <c r="M4" s="113" t="str">
        <f t="shared" ref="M4:M5" si="1">IF(ISBLANK(K4), IncompleteText, OKText)</f>
        <v>OK</v>
      </c>
      <c r="N4" s="4"/>
      <c r="O4" s="4"/>
      <c r="P4" s="4"/>
      <c r="Q4" s="4"/>
      <c r="R4" s="4"/>
      <c r="S4" s="4"/>
      <c r="T4" s="4"/>
      <c r="U4" s="4"/>
      <c r="V4" s="4"/>
      <c r="W4" s="4"/>
      <c r="X4" s="4"/>
      <c r="Y4" s="4"/>
      <c r="Z4" s="4"/>
    </row>
    <row r="5" ht="14.25" customHeight="1">
      <c r="A5" s="8" t="s">
        <v>373</v>
      </c>
      <c r="D5" s="50">
        <v>500.0</v>
      </c>
      <c r="E5" s="44" t="s">
        <v>374</v>
      </c>
      <c r="F5" s="7" t="str">
        <f>IF(ISBLANK(D5), IncompleteText, IF(D5&lt;(MaxTSVoltage*0.5), ErrorText, OKText))</f>
        <v>OK</v>
      </c>
      <c r="G5" s="4"/>
      <c r="H5" s="111" t="s">
        <v>375</v>
      </c>
      <c r="K5" s="163" t="s">
        <v>376</v>
      </c>
      <c r="L5" s="11"/>
      <c r="M5" s="113" t="str">
        <f t="shared" si="1"/>
        <v>OK</v>
      </c>
      <c r="N5" s="4"/>
      <c r="O5" s="4"/>
      <c r="P5" s="4"/>
      <c r="Q5" s="4"/>
      <c r="R5" s="4"/>
      <c r="S5" s="4"/>
      <c r="T5" s="4"/>
      <c r="U5" s="4"/>
      <c r="V5" s="4"/>
      <c r="W5" s="4"/>
      <c r="X5" s="4"/>
      <c r="Y5" s="4"/>
      <c r="Z5" s="4"/>
    </row>
    <row r="6" ht="14.25" customHeight="1">
      <c r="A6" s="4"/>
      <c r="B6" s="4"/>
      <c r="C6" s="4"/>
      <c r="D6" s="4"/>
      <c r="E6" s="4"/>
      <c r="F6" s="4"/>
      <c r="G6" s="4"/>
      <c r="H6" s="111" t="s">
        <v>377</v>
      </c>
      <c r="K6" s="164">
        <v>14.6</v>
      </c>
      <c r="L6" s="39" t="s">
        <v>19</v>
      </c>
      <c r="M6" s="7" t="str">
        <f>IF(ISBLANK(K6),IncompleteText,IF(K6&gt;(5000/NominalTSVoltage),ErrorText,OKText))</f>
        <v>OK</v>
      </c>
      <c r="N6" s="4"/>
      <c r="O6" s="4"/>
      <c r="P6" s="4"/>
      <c r="Q6" s="4"/>
      <c r="R6" s="4"/>
      <c r="S6" s="4"/>
      <c r="T6" s="4"/>
      <c r="U6" s="4"/>
      <c r="V6" s="4"/>
      <c r="W6" s="4"/>
      <c r="X6" s="4"/>
      <c r="Y6" s="4"/>
      <c r="Z6" s="4"/>
    </row>
    <row r="7" ht="14.25" customHeight="1">
      <c r="A7" s="4"/>
      <c r="B7" s="4"/>
      <c r="C7" s="4"/>
      <c r="D7" s="4"/>
      <c r="E7" s="4"/>
      <c r="F7" s="4"/>
      <c r="G7" s="4"/>
      <c r="H7" s="111" t="s">
        <v>378</v>
      </c>
      <c r="K7" s="165">
        <v>2.99</v>
      </c>
      <c r="L7" s="39" t="s">
        <v>17</v>
      </c>
      <c r="M7" s="7" t="str">
        <f t="shared" ref="M7:M8" si="2">IF(ISBLANK(K7), IncompleteText, OKText)</f>
        <v>OK</v>
      </c>
      <c r="N7" s="4"/>
      <c r="O7" s="4"/>
      <c r="P7" s="4"/>
      <c r="Q7" s="4"/>
      <c r="R7" s="4"/>
      <c r="S7" s="4"/>
      <c r="T7" s="4"/>
      <c r="U7" s="4"/>
      <c r="V7" s="4"/>
      <c r="W7" s="4"/>
      <c r="X7" s="4"/>
      <c r="Y7" s="4"/>
      <c r="Z7" s="4"/>
    </row>
    <row r="8" ht="14.25" customHeight="1">
      <c r="A8" s="4"/>
      <c r="B8" s="4"/>
      <c r="C8" s="4"/>
      <c r="D8" s="4"/>
      <c r="E8" s="4"/>
      <c r="F8" s="4"/>
      <c r="G8" s="4"/>
      <c r="H8" s="111" t="s">
        <v>379</v>
      </c>
      <c r="K8" s="165">
        <v>0.4</v>
      </c>
      <c r="L8" s="39" t="s">
        <v>19</v>
      </c>
      <c r="M8" s="7" t="str">
        <f t="shared" si="2"/>
        <v>OK</v>
      </c>
      <c r="N8" s="4"/>
      <c r="O8" s="4"/>
      <c r="P8" s="4"/>
      <c r="Q8" s="4"/>
      <c r="R8" s="4"/>
      <c r="S8" s="4"/>
      <c r="T8" s="4"/>
      <c r="U8" s="4"/>
      <c r="V8" s="4"/>
      <c r="W8" s="4"/>
      <c r="X8" s="4"/>
      <c r="Y8" s="4"/>
      <c r="Z8" s="4"/>
    </row>
    <row r="9" ht="14.25" customHeight="1">
      <c r="A9" s="4"/>
      <c r="B9" s="4"/>
      <c r="C9" s="4"/>
      <c r="D9" s="4"/>
      <c r="E9" s="4"/>
      <c r="F9" s="4"/>
      <c r="G9" s="4"/>
      <c r="H9" s="4"/>
      <c r="I9" s="4"/>
      <c r="J9" s="4"/>
      <c r="K9" s="4"/>
      <c r="L9" s="4"/>
      <c r="M9" s="4"/>
      <c r="N9" s="4"/>
      <c r="O9" s="4"/>
      <c r="P9" s="4"/>
      <c r="Q9" s="4"/>
      <c r="R9" s="4"/>
      <c r="S9" s="4"/>
      <c r="T9" s="4"/>
      <c r="U9" s="4"/>
      <c r="V9" s="4"/>
      <c r="W9" s="4"/>
      <c r="X9" s="4"/>
      <c r="Y9" s="4"/>
      <c r="Z9" s="4"/>
    </row>
    <row r="10" ht="14.25" customHeight="1">
      <c r="A10" s="94" t="s">
        <v>380</v>
      </c>
      <c r="B10" s="20"/>
      <c r="C10" s="20"/>
      <c r="D10" s="20"/>
      <c r="E10" s="20"/>
      <c r="F10" s="20"/>
      <c r="G10" s="20"/>
      <c r="H10" s="20"/>
      <c r="I10" s="20"/>
      <c r="J10" s="20"/>
      <c r="K10" s="21"/>
      <c r="L10" s="4"/>
      <c r="M10" s="166"/>
      <c r="N10" s="20"/>
      <c r="O10" s="20"/>
      <c r="P10" s="20"/>
      <c r="Q10" s="20"/>
      <c r="R10" s="20"/>
      <c r="S10" s="20"/>
      <c r="T10" s="20"/>
      <c r="U10" s="20"/>
      <c r="V10" s="20"/>
      <c r="W10" s="21"/>
      <c r="X10" s="4"/>
      <c r="Y10" s="4"/>
      <c r="Z10" s="4"/>
    </row>
    <row r="11" ht="14.25" customHeight="1">
      <c r="A11" s="22"/>
      <c r="K11" s="23"/>
      <c r="L11" s="4"/>
      <c r="M11" s="22"/>
      <c r="W11" s="23"/>
      <c r="X11" s="4"/>
      <c r="Y11" s="4"/>
      <c r="Z11" s="4"/>
    </row>
    <row r="12" ht="14.25" customHeight="1">
      <c r="A12" s="22"/>
      <c r="K12" s="23"/>
      <c r="L12" s="4"/>
      <c r="M12" s="22"/>
      <c r="W12" s="23"/>
      <c r="X12" s="4"/>
      <c r="Y12" s="4"/>
      <c r="Z12" s="4"/>
    </row>
    <row r="13" ht="14.25" customHeight="1">
      <c r="A13" s="22"/>
      <c r="K13" s="23"/>
      <c r="L13" s="4"/>
      <c r="M13" s="22"/>
      <c r="W13" s="23"/>
      <c r="X13" s="4"/>
      <c r="Y13" s="4"/>
      <c r="Z13" s="4"/>
    </row>
    <row r="14" ht="14.25" customHeight="1">
      <c r="A14" s="22"/>
      <c r="K14" s="23"/>
      <c r="L14" s="4"/>
      <c r="M14" s="22"/>
      <c r="W14" s="23"/>
      <c r="X14" s="4"/>
      <c r="Y14" s="4"/>
      <c r="Z14" s="4"/>
    </row>
    <row r="15" ht="14.25" customHeight="1">
      <c r="A15" s="22"/>
      <c r="K15" s="23"/>
      <c r="L15" s="4"/>
      <c r="M15" s="22"/>
      <c r="W15" s="23"/>
      <c r="X15" s="4"/>
      <c r="Y15" s="4"/>
      <c r="Z15" s="4"/>
    </row>
    <row r="16" ht="14.25" customHeight="1">
      <c r="A16" s="22"/>
      <c r="K16" s="23"/>
      <c r="L16" s="4"/>
      <c r="M16" s="22"/>
      <c r="W16" s="23"/>
      <c r="X16" s="4"/>
      <c r="Y16" s="4"/>
      <c r="Z16" s="4"/>
    </row>
    <row r="17" ht="14.25" customHeight="1">
      <c r="A17" s="22"/>
      <c r="K17" s="23"/>
      <c r="L17" s="4"/>
      <c r="M17" s="22"/>
      <c r="W17" s="23"/>
      <c r="X17" s="4"/>
      <c r="Y17" s="4"/>
      <c r="Z17" s="4"/>
    </row>
    <row r="18" ht="14.25" customHeight="1">
      <c r="A18" s="22"/>
      <c r="K18" s="23"/>
      <c r="L18" s="4"/>
      <c r="M18" s="22"/>
      <c r="W18" s="23"/>
      <c r="X18" s="4"/>
      <c r="Y18" s="4"/>
      <c r="Z18" s="4"/>
    </row>
    <row r="19" ht="14.25" customHeight="1">
      <c r="A19" s="22"/>
      <c r="K19" s="23"/>
      <c r="L19" s="4"/>
      <c r="M19" s="22"/>
      <c r="W19" s="23"/>
      <c r="X19" s="4"/>
      <c r="Y19" s="4"/>
      <c r="Z19" s="4"/>
    </row>
    <row r="20" ht="14.25" customHeight="1">
      <c r="A20" s="22"/>
      <c r="K20" s="23"/>
      <c r="L20" s="4"/>
      <c r="M20" s="22"/>
      <c r="W20" s="23"/>
      <c r="X20" s="4"/>
      <c r="Y20" s="4"/>
      <c r="Z20" s="4"/>
    </row>
    <row r="21" ht="14.25" customHeight="1">
      <c r="A21" s="22"/>
      <c r="K21" s="23"/>
      <c r="L21" s="4"/>
      <c r="M21" s="22"/>
      <c r="W21" s="23"/>
      <c r="X21" s="4"/>
      <c r="Y21" s="4"/>
      <c r="Z21" s="4"/>
    </row>
    <row r="22" ht="14.25" customHeight="1">
      <c r="A22" s="22"/>
      <c r="K22" s="23"/>
      <c r="L22" s="4"/>
      <c r="M22" s="22"/>
      <c r="W22" s="23"/>
      <c r="X22" s="4"/>
      <c r="Y22" s="4"/>
      <c r="Z22" s="4"/>
    </row>
    <row r="23" ht="14.25" customHeight="1">
      <c r="A23" s="22"/>
      <c r="K23" s="23"/>
      <c r="L23" s="4"/>
      <c r="M23" s="22"/>
      <c r="W23" s="23"/>
      <c r="X23" s="4"/>
      <c r="Y23" s="4"/>
      <c r="Z23" s="4"/>
    </row>
    <row r="24" ht="14.25" customHeight="1">
      <c r="A24" s="22"/>
      <c r="K24" s="23"/>
      <c r="L24" s="4"/>
      <c r="M24" s="22"/>
      <c r="W24" s="23"/>
      <c r="X24" s="4"/>
      <c r="Y24" s="4"/>
      <c r="Z24" s="4"/>
    </row>
    <row r="25" ht="14.25" customHeight="1">
      <c r="A25" s="22"/>
      <c r="K25" s="23"/>
      <c r="L25" s="4"/>
      <c r="M25" s="22"/>
      <c r="W25" s="23"/>
      <c r="X25" s="4"/>
      <c r="Y25" s="4"/>
      <c r="Z25" s="4"/>
    </row>
    <row r="26" ht="14.25" customHeight="1">
      <c r="A26" s="22"/>
      <c r="K26" s="23"/>
      <c r="L26" s="4"/>
      <c r="M26" s="22"/>
      <c r="W26" s="23"/>
      <c r="X26" s="4"/>
      <c r="Y26" s="4"/>
      <c r="Z26" s="4"/>
    </row>
    <row r="27" ht="14.25" customHeight="1">
      <c r="A27" s="22"/>
      <c r="K27" s="23"/>
      <c r="L27" s="4"/>
      <c r="M27" s="22"/>
      <c r="W27" s="23"/>
      <c r="X27" s="4"/>
      <c r="Y27" s="4"/>
      <c r="Z27" s="4"/>
    </row>
    <row r="28" ht="14.25" customHeight="1">
      <c r="A28" s="22"/>
      <c r="K28" s="23"/>
      <c r="L28" s="4"/>
      <c r="M28" s="22"/>
      <c r="W28" s="23"/>
      <c r="X28" s="4"/>
      <c r="Y28" s="4"/>
      <c r="Z28" s="4"/>
    </row>
    <row r="29" ht="14.25" customHeight="1">
      <c r="A29" s="22"/>
      <c r="K29" s="23"/>
      <c r="L29" s="4"/>
      <c r="M29" s="22"/>
      <c r="W29" s="23"/>
      <c r="X29" s="4"/>
      <c r="Y29" s="4"/>
      <c r="Z29" s="4"/>
    </row>
    <row r="30" ht="14.25" customHeight="1">
      <c r="A30" s="22"/>
      <c r="K30" s="23"/>
      <c r="L30" s="4"/>
      <c r="M30" s="22"/>
      <c r="W30" s="23"/>
      <c r="X30" s="4"/>
      <c r="Y30" s="4"/>
      <c r="Z30" s="4"/>
    </row>
    <row r="31" ht="14.25" customHeight="1">
      <c r="A31" s="22"/>
      <c r="K31" s="23"/>
      <c r="L31" s="4"/>
      <c r="M31" s="22"/>
      <c r="W31" s="23"/>
      <c r="X31" s="4"/>
      <c r="Y31" s="4"/>
      <c r="Z31" s="4"/>
    </row>
    <row r="32" ht="14.25" customHeight="1">
      <c r="A32" s="22"/>
      <c r="K32" s="23"/>
      <c r="L32" s="4"/>
      <c r="M32" s="22"/>
      <c r="W32" s="23"/>
      <c r="X32" s="4"/>
      <c r="Y32" s="4"/>
      <c r="Z32" s="4"/>
    </row>
    <row r="33" ht="14.25" customHeight="1">
      <c r="A33" s="22"/>
      <c r="K33" s="23"/>
      <c r="L33" s="4"/>
      <c r="M33" s="22"/>
      <c r="W33" s="23"/>
      <c r="X33" s="4"/>
      <c r="Y33" s="4"/>
      <c r="Z33" s="4"/>
    </row>
    <row r="34" ht="14.25" customHeight="1">
      <c r="A34" s="22"/>
      <c r="K34" s="23"/>
      <c r="L34" s="4"/>
      <c r="M34" s="22"/>
      <c r="W34" s="23"/>
      <c r="X34" s="4"/>
      <c r="Y34" s="4"/>
      <c r="Z34" s="4"/>
    </row>
    <row r="35" ht="14.25" customHeight="1">
      <c r="A35" s="24"/>
      <c r="B35" s="25"/>
      <c r="C35" s="25"/>
      <c r="D35" s="25"/>
      <c r="E35" s="25"/>
      <c r="F35" s="25"/>
      <c r="G35" s="25"/>
      <c r="H35" s="25"/>
      <c r="I35" s="25"/>
      <c r="J35" s="25"/>
      <c r="K35" s="26"/>
      <c r="L35" s="4"/>
      <c r="M35" s="24"/>
      <c r="N35" s="25"/>
      <c r="O35" s="25"/>
      <c r="P35" s="25"/>
      <c r="Q35" s="25"/>
      <c r="R35" s="25"/>
      <c r="S35" s="25"/>
      <c r="T35" s="25"/>
      <c r="U35" s="25"/>
      <c r="V35" s="25"/>
      <c r="W35" s="26"/>
      <c r="X35" s="4"/>
      <c r="Y35" s="4"/>
      <c r="Z35" s="4"/>
    </row>
    <row r="36" ht="14.25" customHeight="1">
      <c r="A36" s="1" t="s">
        <v>381</v>
      </c>
      <c r="B36" s="2"/>
      <c r="C36" s="2"/>
      <c r="D36" s="2"/>
      <c r="E36" s="2"/>
      <c r="F36" s="2"/>
      <c r="G36" s="2"/>
      <c r="H36" s="2"/>
      <c r="I36" s="2"/>
      <c r="J36" s="3"/>
      <c r="K36" s="102" t="str">
        <f>IF(COUNTIF(K38:K61, "="&amp;IncompleteText), IncompleteText, IF(COUNTIF(K38:K61, "="&amp;ErrorText), ErrorText, OKText))</f>
        <v>BLANK</v>
      </c>
      <c r="L36" s="4"/>
      <c r="M36" s="1" t="s">
        <v>382</v>
      </c>
      <c r="N36" s="2"/>
      <c r="O36" s="2"/>
      <c r="P36" s="2"/>
      <c r="Q36" s="2"/>
      <c r="R36" s="2"/>
      <c r="S36" s="2"/>
      <c r="T36" s="2"/>
      <c r="U36" s="2"/>
      <c r="V36" s="3"/>
      <c r="W36" s="102" t="str">
        <f>IF(COUNTIF(W38:W40, "="&amp;IncompleteText), IncompleteText, IF(COUNTIF(W38:W40, "="&amp;ErrorText), ErrorText, OKText))</f>
        <v>OK</v>
      </c>
      <c r="X36" s="4"/>
      <c r="Y36" s="4"/>
      <c r="Z36" s="4"/>
    </row>
    <row r="37" ht="14.25" customHeight="1">
      <c r="A37" s="103" t="s">
        <v>64</v>
      </c>
      <c r="B37" s="146"/>
      <c r="C37" s="43"/>
      <c r="D37" s="43"/>
      <c r="E37" s="43"/>
      <c r="F37" s="43"/>
      <c r="G37" s="43"/>
      <c r="H37" s="43"/>
      <c r="I37" s="43"/>
      <c r="J37" s="43"/>
      <c r="K37" s="105"/>
      <c r="L37" s="4"/>
      <c r="M37" s="43"/>
      <c r="N37" s="43"/>
      <c r="O37" s="43"/>
      <c r="P37" s="43"/>
      <c r="Q37" s="43"/>
      <c r="R37" s="43"/>
      <c r="S37" s="43"/>
      <c r="T37" s="43"/>
      <c r="U37" s="43"/>
      <c r="V37" s="43"/>
      <c r="W37" s="105"/>
      <c r="X37" s="4"/>
      <c r="Y37" s="4"/>
      <c r="Z37" s="4"/>
    </row>
    <row r="38" ht="14.25" customHeight="1">
      <c r="A38" s="108" t="s">
        <v>383</v>
      </c>
      <c r="C38" s="8" t="s">
        <v>384</v>
      </c>
      <c r="I38" s="23"/>
      <c r="J38" s="50" t="b">
        <v>1</v>
      </c>
      <c r="K38" s="7" t="str">
        <f t="shared" ref="K38:K61" si="3">IF(ISBLANK(J38),IncompleteText, IF(J38, OKText, ErrorText))</f>
        <v>OK</v>
      </c>
      <c r="L38" s="4"/>
      <c r="M38" s="8" t="s">
        <v>385</v>
      </c>
      <c r="U38" s="23"/>
      <c r="V38" s="50" t="b">
        <v>1</v>
      </c>
      <c r="W38" s="7" t="str">
        <f t="shared" ref="W38:W40" si="4">IF(ISBLANK(V38),IncompleteText, IF(V38, OKText, ErrorText))</f>
        <v>OK</v>
      </c>
      <c r="X38" s="4"/>
      <c r="Y38" s="4"/>
      <c r="Z38" s="4"/>
    </row>
    <row r="39" ht="14.25" customHeight="1">
      <c r="A39" s="108" t="s">
        <v>383</v>
      </c>
      <c r="C39" s="8" t="s">
        <v>386</v>
      </c>
      <c r="I39" s="23"/>
      <c r="J39" s="50" t="b">
        <v>1</v>
      </c>
      <c r="K39" s="7" t="str">
        <f t="shared" si="3"/>
        <v>OK</v>
      </c>
      <c r="L39" s="4"/>
      <c r="M39" s="8" t="s">
        <v>387</v>
      </c>
      <c r="U39" s="23"/>
      <c r="V39" s="50" t="b">
        <v>1</v>
      </c>
      <c r="W39" s="7" t="str">
        <f t="shared" si="4"/>
        <v>OK</v>
      </c>
      <c r="X39" s="4"/>
      <c r="Y39" s="4"/>
      <c r="Z39" s="4"/>
    </row>
    <row r="40" ht="14.25" customHeight="1">
      <c r="A40" s="108" t="s">
        <v>388</v>
      </c>
      <c r="C40" s="8" t="s">
        <v>389</v>
      </c>
      <c r="I40" s="23"/>
      <c r="J40" s="50" t="b">
        <v>1</v>
      </c>
      <c r="K40" s="7" t="str">
        <f t="shared" si="3"/>
        <v>OK</v>
      </c>
      <c r="L40" s="4"/>
      <c r="M40" s="8" t="s">
        <v>390</v>
      </c>
      <c r="U40" s="23"/>
      <c r="V40" s="50" t="b">
        <v>1</v>
      </c>
      <c r="W40" s="7" t="str">
        <f t="shared" si="4"/>
        <v>OK</v>
      </c>
      <c r="X40" s="4"/>
      <c r="Y40" s="4"/>
      <c r="Z40" s="4"/>
    </row>
    <row r="41" ht="14.25" customHeight="1">
      <c r="A41" s="108" t="s">
        <v>388</v>
      </c>
      <c r="C41" s="8" t="s">
        <v>391</v>
      </c>
      <c r="I41" s="23"/>
      <c r="J41" s="50" t="b">
        <v>1</v>
      </c>
      <c r="K41" s="7" t="str">
        <f t="shared" si="3"/>
        <v>OK</v>
      </c>
      <c r="L41" s="4"/>
      <c r="M41" s="1" t="s">
        <v>20</v>
      </c>
      <c r="N41" s="2"/>
      <c r="O41" s="2"/>
      <c r="P41" s="2"/>
      <c r="Q41" s="2"/>
      <c r="R41" s="2"/>
      <c r="S41" s="2"/>
      <c r="T41" s="2"/>
      <c r="U41" s="3"/>
      <c r="V41" s="144" t="s">
        <v>64</v>
      </c>
      <c r="W41" s="145"/>
      <c r="X41" s="4"/>
      <c r="Y41" s="4"/>
      <c r="Z41" s="4"/>
    </row>
    <row r="42" ht="14.25" customHeight="1">
      <c r="A42" s="108" t="s">
        <v>392</v>
      </c>
      <c r="C42" s="8" t="s">
        <v>393</v>
      </c>
      <c r="I42" s="23"/>
      <c r="J42" s="50" t="b">
        <v>1</v>
      </c>
      <c r="K42" s="7" t="str">
        <f t="shared" si="3"/>
        <v>OK</v>
      </c>
      <c r="L42" s="4"/>
      <c r="M42" s="167"/>
      <c r="N42" s="168"/>
      <c r="O42" s="168"/>
      <c r="P42" s="168"/>
      <c r="Q42" s="168"/>
      <c r="R42" s="168"/>
      <c r="S42" s="168"/>
      <c r="T42" s="168"/>
      <c r="U42" s="169"/>
      <c r="V42" s="55" t="s">
        <v>369</v>
      </c>
      <c r="W42" s="21"/>
      <c r="X42" s="4"/>
      <c r="Y42" s="4"/>
      <c r="Z42" s="4"/>
    </row>
    <row r="43" ht="14.25" customHeight="1">
      <c r="A43" s="108" t="s">
        <v>394</v>
      </c>
      <c r="C43" s="8" t="s">
        <v>395</v>
      </c>
      <c r="I43" s="23"/>
      <c r="J43" s="50" t="b">
        <v>1</v>
      </c>
      <c r="K43" s="7" t="str">
        <f t="shared" si="3"/>
        <v>OK</v>
      </c>
      <c r="L43" s="4"/>
      <c r="M43" s="22"/>
      <c r="U43" s="98"/>
      <c r="V43" s="22"/>
      <c r="W43" s="23"/>
      <c r="X43" s="4"/>
      <c r="Y43" s="4"/>
      <c r="Z43" s="4"/>
    </row>
    <row r="44" ht="14.25" customHeight="1">
      <c r="A44" s="108" t="s">
        <v>396</v>
      </c>
      <c r="C44" s="8" t="s">
        <v>358</v>
      </c>
      <c r="I44" s="23"/>
      <c r="J44" s="50" t="b">
        <v>1</v>
      </c>
      <c r="K44" s="7" t="str">
        <f t="shared" si="3"/>
        <v>OK</v>
      </c>
      <c r="L44" s="4"/>
      <c r="M44" s="22"/>
      <c r="U44" s="98"/>
      <c r="V44" s="22"/>
      <c r="W44" s="23"/>
      <c r="X44" s="4"/>
      <c r="Y44" s="4"/>
      <c r="Z44" s="4"/>
    </row>
    <row r="45" ht="14.25" customHeight="1">
      <c r="A45" s="108" t="s">
        <v>169</v>
      </c>
      <c r="C45" s="8" t="s">
        <v>170</v>
      </c>
      <c r="I45" s="23"/>
      <c r="J45" s="50" t="b">
        <v>1</v>
      </c>
      <c r="K45" s="7" t="str">
        <f t="shared" si="3"/>
        <v>OK</v>
      </c>
      <c r="L45" s="4"/>
      <c r="M45" s="170"/>
      <c r="N45" s="100"/>
      <c r="O45" s="100"/>
      <c r="P45" s="100"/>
      <c r="Q45" s="100"/>
      <c r="R45" s="100"/>
      <c r="S45" s="100"/>
      <c r="T45" s="100"/>
      <c r="U45" s="101"/>
      <c r="V45" s="24"/>
      <c r="W45" s="26"/>
      <c r="X45" s="4"/>
      <c r="Y45" s="4"/>
      <c r="Z45" s="4"/>
    </row>
    <row r="46" ht="14.25" customHeight="1">
      <c r="A46" s="108" t="s">
        <v>369</v>
      </c>
      <c r="C46" s="8" t="s">
        <v>367</v>
      </c>
      <c r="I46" s="23"/>
      <c r="J46" s="50" t="b">
        <v>1</v>
      </c>
      <c r="K46" s="7" t="str">
        <f t="shared" si="3"/>
        <v>OK</v>
      </c>
      <c r="L46" s="4"/>
      <c r="M46" s="4"/>
      <c r="N46" s="4"/>
      <c r="O46" s="4"/>
      <c r="P46" s="4"/>
      <c r="Q46" s="4"/>
      <c r="R46" s="4"/>
      <c r="S46" s="4"/>
      <c r="T46" s="4"/>
      <c r="U46" s="4"/>
      <c r="V46" s="4"/>
      <c r="W46" s="4"/>
      <c r="X46" s="4"/>
      <c r="Y46" s="4"/>
      <c r="Z46" s="4"/>
    </row>
    <row r="47" ht="14.25" customHeight="1">
      <c r="A47" s="108" t="s">
        <v>397</v>
      </c>
      <c r="C47" s="8" t="s">
        <v>398</v>
      </c>
      <c r="I47" s="23"/>
      <c r="J47" s="50" t="b">
        <v>1</v>
      </c>
      <c r="K47" s="7" t="str">
        <f t="shared" si="3"/>
        <v>OK</v>
      </c>
      <c r="L47" s="4"/>
      <c r="M47" s="94" t="s">
        <v>399</v>
      </c>
      <c r="N47" s="20"/>
      <c r="O47" s="20"/>
      <c r="P47" s="20"/>
      <c r="Q47" s="20"/>
      <c r="R47" s="20"/>
      <c r="S47" s="20"/>
      <c r="T47" s="20"/>
      <c r="U47" s="20"/>
      <c r="V47" s="20"/>
      <c r="W47" s="21"/>
      <c r="X47" s="4"/>
      <c r="Y47" s="4"/>
      <c r="Z47" s="4"/>
    </row>
    <row r="48" ht="14.25" customHeight="1">
      <c r="A48" s="108" t="s">
        <v>400</v>
      </c>
      <c r="C48" s="8" t="s">
        <v>401</v>
      </c>
      <c r="I48" s="23"/>
      <c r="J48" s="57"/>
      <c r="K48" s="7" t="str">
        <f t="shared" si="3"/>
        <v>BLANK</v>
      </c>
      <c r="L48" s="4"/>
      <c r="M48" s="22"/>
      <c r="W48" s="23"/>
      <c r="X48" s="4"/>
      <c r="Y48" s="4"/>
      <c r="Z48" s="4"/>
    </row>
    <row r="49" ht="14.25" customHeight="1">
      <c r="A49" s="108" t="s">
        <v>402</v>
      </c>
      <c r="C49" s="8" t="s">
        <v>403</v>
      </c>
      <c r="I49" s="23"/>
      <c r="J49" s="50" t="b">
        <v>0</v>
      </c>
      <c r="K49" s="7" t="str">
        <f t="shared" si="3"/>
        <v>WARNING</v>
      </c>
      <c r="L49" s="4"/>
      <c r="M49" s="22"/>
      <c r="W49" s="23"/>
      <c r="X49" s="4"/>
      <c r="Y49" s="4"/>
      <c r="Z49" s="4"/>
    </row>
    <row r="50" ht="14.25" customHeight="1">
      <c r="A50" s="108"/>
      <c r="C50" s="8" t="s">
        <v>404</v>
      </c>
      <c r="I50" s="23"/>
      <c r="J50" s="57"/>
      <c r="K50" s="7" t="str">
        <f t="shared" si="3"/>
        <v>BLANK</v>
      </c>
      <c r="L50" s="4"/>
      <c r="M50" s="22"/>
      <c r="W50" s="23"/>
      <c r="X50" s="4"/>
      <c r="Y50" s="4"/>
      <c r="Z50" s="4"/>
    </row>
    <row r="51" ht="14.25" customHeight="1">
      <c r="A51" s="108"/>
      <c r="C51" s="8" t="s">
        <v>405</v>
      </c>
      <c r="I51" s="23"/>
      <c r="J51" s="57"/>
      <c r="K51" s="7" t="str">
        <f t="shared" si="3"/>
        <v>BLANK</v>
      </c>
      <c r="L51" s="4"/>
      <c r="M51" s="22"/>
      <c r="W51" s="23"/>
      <c r="X51" s="4"/>
      <c r="Y51" s="4"/>
      <c r="Z51" s="4"/>
    </row>
    <row r="52" ht="14.25" customHeight="1">
      <c r="A52" s="108"/>
      <c r="C52" s="8" t="s">
        <v>359</v>
      </c>
      <c r="I52" s="23"/>
      <c r="J52" s="57"/>
      <c r="K52" s="7" t="str">
        <f t="shared" si="3"/>
        <v>BLANK</v>
      </c>
      <c r="L52" s="4"/>
      <c r="M52" s="22"/>
      <c r="W52" s="23"/>
      <c r="X52" s="4"/>
      <c r="Y52" s="4"/>
      <c r="Z52" s="4"/>
    </row>
    <row r="53" ht="14.25" customHeight="1">
      <c r="A53" s="108" t="s">
        <v>406</v>
      </c>
      <c r="C53" s="8" t="s">
        <v>407</v>
      </c>
      <c r="I53" s="23"/>
      <c r="J53" s="57"/>
      <c r="K53" s="7" t="str">
        <f t="shared" si="3"/>
        <v>BLANK</v>
      </c>
      <c r="L53" s="4"/>
      <c r="M53" s="22"/>
      <c r="W53" s="23"/>
      <c r="X53" s="4"/>
      <c r="Y53" s="4"/>
      <c r="Z53" s="4"/>
    </row>
    <row r="54" ht="14.25" customHeight="1">
      <c r="A54" s="108" t="s">
        <v>406</v>
      </c>
      <c r="C54" s="8" t="s">
        <v>408</v>
      </c>
      <c r="I54" s="23"/>
      <c r="J54" s="57"/>
      <c r="K54" s="7" t="str">
        <f t="shared" si="3"/>
        <v>BLANK</v>
      </c>
      <c r="L54" s="4"/>
      <c r="M54" s="22"/>
      <c r="W54" s="23"/>
      <c r="X54" s="4"/>
      <c r="Y54" s="4"/>
      <c r="Z54" s="4"/>
    </row>
    <row r="55" ht="14.25" customHeight="1">
      <c r="A55" s="108" t="s">
        <v>406</v>
      </c>
      <c r="C55" s="8" t="s">
        <v>409</v>
      </c>
      <c r="I55" s="23"/>
      <c r="J55" s="57"/>
      <c r="K55" s="7" t="str">
        <f t="shared" si="3"/>
        <v>BLANK</v>
      </c>
      <c r="L55" s="4"/>
      <c r="M55" s="22"/>
      <c r="W55" s="23"/>
      <c r="X55" s="4"/>
      <c r="Y55" s="4"/>
      <c r="Z55" s="4"/>
    </row>
    <row r="56" ht="14.25" customHeight="1">
      <c r="A56" s="108"/>
      <c r="C56" s="8" t="s">
        <v>410</v>
      </c>
      <c r="I56" s="23"/>
      <c r="J56" s="57"/>
      <c r="K56" s="7" t="str">
        <f t="shared" si="3"/>
        <v>BLANK</v>
      </c>
      <c r="L56" s="4"/>
      <c r="M56" s="22"/>
      <c r="W56" s="23"/>
      <c r="X56" s="4"/>
      <c r="Y56" s="4"/>
      <c r="Z56" s="4"/>
    </row>
    <row r="57" ht="14.25" customHeight="1">
      <c r="A57" s="108" t="s">
        <v>411</v>
      </c>
      <c r="C57" s="8" t="s">
        <v>412</v>
      </c>
      <c r="I57" s="23"/>
      <c r="J57" s="50" t="b">
        <v>1</v>
      </c>
      <c r="K57" s="7" t="str">
        <f t="shared" si="3"/>
        <v>OK</v>
      </c>
      <c r="L57" s="4"/>
      <c r="M57" s="22"/>
      <c r="W57" s="23"/>
      <c r="X57" s="4"/>
      <c r="Y57" s="4"/>
      <c r="Z57" s="4"/>
    </row>
    <row r="58" ht="14.25" customHeight="1">
      <c r="A58" s="108" t="s">
        <v>413</v>
      </c>
      <c r="C58" s="8" t="s">
        <v>414</v>
      </c>
      <c r="I58" s="23"/>
      <c r="J58" s="50" t="b">
        <v>1</v>
      </c>
      <c r="K58" s="7" t="str">
        <f t="shared" si="3"/>
        <v>OK</v>
      </c>
      <c r="L58" s="4"/>
      <c r="M58" s="22"/>
      <c r="W58" s="23"/>
      <c r="X58" s="4"/>
      <c r="Y58" s="4"/>
      <c r="Z58" s="4"/>
    </row>
    <row r="59" ht="14.25" customHeight="1">
      <c r="A59" s="108"/>
      <c r="C59" s="8" t="s">
        <v>415</v>
      </c>
      <c r="I59" s="23"/>
      <c r="J59" s="50" t="b">
        <v>1</v>
      </c>
      <c r="K59" s="7" t="str">
        <f t="shared" si="3"/>
        <v>OK</v>
      </c>
      <c r="L59" s="4"/>
      <c r="M59" s="22"/>
      <c r="W59" s="23"/>
      <c r="X59" s="4"/>
      <c r="Y59" s="4"/>
      <c r="Z59" s="4"/>
    </row>
    <row r="60" ht="14.25" customHeight="1">
      <c r="A60" s="108"/>
      <c r="C60" s="8" t="s">
        <v>416</v>
      </c>
      <c r="I60" s="23"/>
      <c r="J60" s="50" t="b">
        <v>1</v>
      </c>
      <c r="K60" s="7" t="str">
        <f t="shared" si="3"/>
        <v>OK</v>
      </c>
      <c r="L60" s="4"/>
      <c r="M60" s="22"/>
      <c r="W60" s="23"/>
      <c r="X60" s="4"/>
      <c r="Y60" s="4"/>
      <c r="Z60" s="4"/>
    </row>
    <row r="61" ht="14.25" customHeight="1">
      <c r="A61" s="108" t="s">
        <v>417</v>
      </c>
      <c r="C61" s="8" t="s">
        <v>418</v>
      </c>
      <c r="I61" s="23"/>
      <c r="J61" s="50" t="b">
        <v>1</v>
      </c>
      <c r="K61" s="7" t="str">
        <f t="shared" si="3"/>
        <v>OK</v>
      </c>
      <c r="L61" s="4"/>
      <c r="M61" s="22"/>
      <c r="W61" s="23"/>
      <c r="X61" s="4"/>
      <c r="Y61" s="4"/>
      <c r="Z61" s="4"/>
    </row>
    <row r="62" ht="14.25" customHeight="1">
      <c r="A62" s="1" t="s">
        <v>20</v>
      </c>
      <c r="B62" s="2"/>
      <c r="C62" s="2"/>
      <c r="D62" s="2"/>
      <c r="E62" s="2"/>
      <c r="F62" s="2"/>
      <c r="G62" s="2"/>
      <c r="H62" s="2"/>
      <c r="I62" s="3"/>
      <c r="J62" s="144" t="s">
        <v>64</v>
      </c>
      <c r="K62" s="145"/>
      <c r="L62" s="4"/>
      <c r="M62" s="22"/>
      <c r="W62" s="23"/>
      <c r="X62" s="4"/>
      <c r="Y62" s="4"/>
      <c r="Z62" s="4"/>
    </row>
    <row r="63" ht="14.25" customHeight="1">
      <c r="A63" s="171" t="s">
        <v>419</v>
      </c>
      <c r="B63" s="168"/>
      <c r="C63" s="168"/>
      <c r="D63" s="168"/>
      <c r="E63" s="168"/>
      <c r="F63" s="168"/>
      <c r="G63" s="168"/>
      <c r="H63" s="168"/>
      <c r="I63" s="169"/>
      <c r="J63" s="55" t="s">
        <v>420</v>
      </c>
      <c r="K63" s="21"/>
      <c r="L63" s="4"/>
      <c r="M63" s="22"/>
      <c r="W63" s="23"/>
      <c r="X63" s="4"/>
      <c r="Y63" s="4"/>
      <c r="Z63" s="4"/>
    </row>
    <row r="64" ht="14.25" customHeight="1">
      <c r="A64" s="22"/>
      <c r="I64" s="98"/>
      <c r="J64" s="22"/>
      <c r="K64" s="23"/>
      <c r="L64" s="4"/>
      <c r="M64" s="22"/>
      <c r="W64" s="23"/>
      <c r="X64" s="4"/>
      <c r="Y64" s="4"/>
      <c r="Z64" s="4"/>
    </row>
    <row r="65" ht="14.25" customHeight="1">
      <c r="A65" s="22"/>
      <c r="I65" s="98"/>
      <c r="J65" s="22"/>
      <c r="K65" s="23"/>
      <c r="L65" s="4"/>
      <c r="M65" s="22"/>
      <c r="W65" s="23"/>
      <c r="X65" s="4"/>
      <c r="Y65" s="4"/>
      <c r="Z65" s="4"/>
    </row>
    <row r="66" ht="14.25" customHeight="1">
      <c r="A66" s="170"/>
      <c r="B66" s="100"/>
      <c r="C66" s="100"/>
      <c r="D66" s="100"/>
      <c r="E66" s="100"/>
      <c r="F66" s="100"/>
      <c r="G66" s="100"/>
      <c r="H66" s="100"/>
      <c r="I66" s="101"/>
      <c r="J66" s="24"/>
      <c r="K66" s="26"/>
      <c r="L66" s="4"/>
      <c r="M66" s="22"/>
      <c r="W66" s="23"/>
      <c r="X66" s="4"/>
      <c r="Y66" s="4"/>
      <c r="Z66" s="4"/>
    </row>
    <row r="67" ht="14.25" customHeight="1">
      <c r="A67" s="4"/>
      <c r="B67" s="4"/>
      <c r="C67" s="4"/>
      <c r="D67" s="4"/>
      <c r="E67" s="4"/>
      <c r="F67" s="4"/>
      <c r="G67" s="4"/>
      <c r="H67" s="4"/>
      <c r="I67" s="4"/>
      <c r="J67" s="4"/>
      <c r="K67" s="4"/>
      <c r="L67" s="4"/>
      <c r="M67" s="22"/>
      <c r="W67" s="23"/>
      <c r="X67" s="4"/>
      <c r="Y67" s="4"/>
      <c r="Z67" s="4"/>
    </row>
    <row r="68" ht="14.25" customHeight="1">
      <c r="A68" s="4"/>
      <c r="B68" s="4"/>
      <c r="C68" s="4"/>
      <c r="D68" s="4"/>
      <c r="E68" s="4"/>
      <c r="F68" s="4"/>
      <c r="G68" s="4"/>
      <c r="H68" s="4"/>
      <c r="I68" s="4"/>
      <c r="J68" s="4"/>
      <c r="K68" s="4"/>
      <c r="L68" s="4"/>
      <c r="M68" s="22"/>
      <c r="W68" s="23"/>
      <c r="X68" s="4"/>
      <c r="Y68" s="4"/>
      <c r="Z68" s="4"/>
    </row>
    <row r="69" ht="14.25" customHeight="1">
      <c r="A69" s="4"/>
      <c r="B69" s="4"/>
      <c r="C69" s="4"/>
      <c r="D69" s="4"/>
      <c r="E69" s="4"/>
      <c r="F69" s="4"/>
      <c r="G69" s="4"/>
      <c r="H69" s="4"/>
      <c r="I69" s="4"/>
      <c r="J69" s="4"/>
      <c r="K69" s="4"/>
      <c r="L69" s="4"/>
      <c r="M69" s="22"/>
      <c r="W69" s="23"/>
      <c r="X69" s="4"/>
      <c r="Y69" s="4"/>
      <c r="Z69" s="4"/>
    </row>
    <row r="70" ht="14.25" customHeight="1">
      <c r="A70" s="4"/>
      <c r="B70" s="4"/>
      <c r="C70" s="4"/>
      <c r="D70" s="4"/>
      <c r="E70" s="4"/>
      <c r="F70" s="4"/>
      <c r="G70" s="4"/>
      <c r="H70" s="4"/>
      <c r="I70" s="4"/>
      <c r="J70" s="4"/>
      <c r="K70" s="4"/>
      <c r="L70" s="4"/>
      <c r="M70" s="22"/>
      <c r="W70" s="23"/>
      <c r="X70" s="4"/>
      <c r="Y70" s="4"/>
      <c r="Z70" s="4"/>
    </row>
    <row r="71" ht="14.25" customHeight="1">
      <c r="A71" s="4"/>
      <c r="B71" s="4"/>
      <c r="C71" s="4"/>
      <c r="D71" s="4"/>
      <c r="E71" s="4"/>
      <c r="F71" s="4"/>
      <c r="G71" s="4"/>
      <c r="H71" s="4"/>
      <c r="I71" s="4"/>
      <c r="J71" s="4"/>
      <c r="K71" s="4"/>
      <c r="L71" s="4"/>
      <c r="M71" s="22"/>
      <c r="W71" s="23"/>
      <c r="X71" s="4"/>
      <c r="Y71" s="4"/>
      <c r="Z71" s="4"/>
    </row>
    <row r="72" ht="14.25" customHeight="1">
      <c r="A72" s="4"/>
      <c r="B72" s="4"/>
      <c r="C72" s="4"/>
      <c r="D72" s="4"/>
      <c r="E72" s="4"/>
      <c r="F72" s="4"/>
      <c r="G72" s="4"/>
      <c r="H72" s="4"/>
      <c r="I72" s="4"/>
      <c r="J72" s="4"/>
      <c r="K72" s="4"/>
      <c r="L72" s="4"/>
      <c r="M72" s="22"/>
      <c r="W72" s="23"/>
      <c r="X72" s="4"/>
      <c r="Y72" s="4"/>
      <c r="Z72" s="4"/>
    </row>
    <row r="73" ht="14.25" customHeight="1">
      <c r="A73" s="4"/>
      <c r="B73" s="4"/>
      <c r="C73" s="4"/>
      <c r="D73" s="4"/>
      <c r="E73" s="4"/>
      <c r="F73" s="4"/>
      <c r="G73" s="4"/>
      <c r="H73" s="4"/>
      <c r="I73" s="4"/>
      <c r="J73" s="4"/>
      <c r="K73" s="4"/>
      <c r="L73" s="4"/>
      <c r="M73" s="24"/>
      <c r="N73" s="25"/>
      <c r="O73" s="25"/>
      <c r="P73" s="25"/>
      <c r="Q73" s="25"/>
      <c r="R73" s="25"/>
      <c r="S73" s="25"/>
      <c r="T73" s="25"/>
      <c r="U73" s="25"/>
      <c r="V73" s="25"/>
      <c r="W73" s="26"/>
      <c r="X73" s="4"/>
      <c r="Y73" s="4"/>
      <c r="Z73" s="4"/>
    </row>
    <row r="74" ht="14.25" customHeight="1">
      <c r="A74" s="4"/>
      <c r="B74" s="4"/>
      <c r="C74" s="4"/>
      <c r="D74" s="4"/>
      <c r="E74" s="4"/>
      <c r="F74" s="4"/>
      <c r="G74" s="4"/>
      <c r="H74" s="4"/>
      <c r="I74" s="4"/>
      <c r="J74" s="4"/>
      <c r="K74" s="4"/>
      <c r="L74" s="4"/>
      <c r="M74" s="1" t="s">
        <v>421</v>
      </c>
      <c r="N74" s="2"/>
      <c r="O74" s="2"/>
      <c r="P74" s="2"/>
      <c r="Q74" s="2"/>
      <c r="R74" s="2"/>
      <c r="S74" s="2"/>
      <c r="T74" s="2"/>
      <c r="U74" s="2"/>
      <c r="V74" s="3"/>
      <c r="W74" s="172" t="str">
        <f>IF(COUNTIF(W75:W77, "="&amp;IncompleteText), IncompleteText, IF(COUNTIF(W75:W77, "="&amp;ErrorText), ErrorText, OKText))</f>
        <v>BLANK</v>
      </c>
      <c r="X74" s="4"/>
      <c r="Y74" s="4"/>
      <c r="Z74" s="4"/>
    </row>
    <row r="75" ht="14.25" customHeight="1">
      <c r="A75" s="4"/>
      <c r="B75" s="4"/>
      <c r="C75" s="4"/>
      <c r="D75" s="4"/>
      <c r="E75" s="4"/>
      <c r="F75" s="4"/>
      <c r="G75" s="4"/>
      <c r="H75" s="4"/>
      <c r="I75" s="4"/>
      <c r="J75" s="4"/>
      <c r="K75" s="4"/>
      <c r="L75" s="4"/>
      <c r="M75" s="8" t="s">
        <v>422</v>
      </c>
      <c r="U75" s="23"/>
      <c r="V75" s="57"/>
      <c r="W75" s="7" t="str">
        <f t="shared" ref="W75:W77" si="5">IF(ISBLANK(V75),IncompleteText, IF(V75, OKText, ErrorText))</f>
        <v>BLANK</v>
      </c>
      <c r="X75" s="4"/>
      <c r="Y75" s="4"/>
      <c r="Z75" s="4"/>
    </row>
    <row r="76" ht="14.25" customHeight="1">
      <c r="A76" s="4"/>
      <c r="B76" s="4"/>
      <c r="C76" s="4"/>
      <c r="D76" s="4"/>
      <c r="E76" s="4"/>
      <c r="F76" s="4"/>
      <c r="G76" s="4"/>
      <c r="H76" s="4"/>
      <c r="I76" s="4"/>
      <c r="J76" s="4"/>
      <c r="K76" s="4"/>
      <c r="L76" s="4"/>
      <c r="M76" s="8" t="s">
        <v>423</v>
      </c>
      <c r="U76" s="23"/>
      <c r="V76" s="57"/>
      <c r="W76" s="7" t="str">
        <f t="shared" si="5"/>
        <v>BLANK</v>
      </c>
      <c r="X76" s="4"/>
      <c r="Y76" s="4"/>
      <c r="Z76" s="4"/>
    </row>
    <row r="77" ht="14.25" customHeight="1">
      <c r="A77" s="4"/>
      <c r="B77" s="4"/>
      <c r="C77" s="4"/>
      <c r="D77" s="4"/>
      <c r="E77" s="4"/>
      <c r="F77" s="4"/>
      <c r="G77" s="4"/>
      <c r="H77" s="4"/>
      <c r="I77" s="4"/>
      <c r="J77" s="4"/>
      <c r="K77" s="4"/>
      <c r="L77" s="4"/>
      <c r="M77" s="8" t="s">
        <v>424</v>
      </c>
      <c r="U77" s="23"/>
      <c r="V77" s="57"/>
      <c r="W77" s="7" t="str">
        <f t="shared" si="5"/>
        <v>BLANK</v>
      </c>
      <c r="X77" s="4"/>
      <c r="Y77" s="4"/>
      <c r="Z77" s="4"/>
    </row>
    <row r="78" ht="14.25" customHeight="1">
      <c r="A78" s="4"/>
      <c r="B78" s="4"/>
      <c r="C78" s="4"/>
      <c r="D78" s="4"/>
      <c r="E78" s="4"/>
      <c r="F78" s="4"/>
      <c r="G78" s="4"/>
      <c r="H78" s="4"/>
      <c r="I78" s="4"/>
      <c r="J78" s="4"/>
      <c r="K78" s="4"/>
      <c r="L78" s="4"/>
      <c r="M78" s="1" t="s">
        <v>20</v>
      </c>
      <c r="N78" s="2"/>
      <c r="O78" s="2"/>
      <c r="P78" s="2"/>
      <c r="Q78" s="2"/>
      <c r="R78" s="2"/>
      <c r="S78" s="2"/>
      <c r="T78" s="2"/>
      <c r="U78" s="3"/>
      <c r="V78" s="144" t="s">
        <v>64</v>
      </c>
      <c r="W78" s="145"/>
      <c r="X78" s="4"/>
      <c r="Y78" s="4"/>
      <c r="Z78" s="4"/>
    </row>
    <row r="79" ht="14.25" customHeight="1">
      <c r="A79" s="4"/>
      <c r="B79" s="4"/>
      <c r="C79" s="4"/>
      <c r="D79" s="4"/>
      <c r="E79" s="4"/>
      <c r="F79" s="4"/>
      <c r="G79" s="4"/>
      <c r="H79" s="4"/>
      <c r="I79" s="4"/>
      <c r="J79" s="4"/>
      <c r="K79" s="4"/>
      <c r="L79" s="4"/>
      <c r="M79" s="167"/>
      <c r="N79" s="168"/>
      <c r="O79" s="168"/>
      <c r="P79" s="168"/>
      <c r="Q79" s="168"/>
      <c r="R79" s="168"/>
      <c r="S79" s="168"/>
      <c r="T79" s="168"/>
      <c r="U79" s="169"/>
      <c r="V79" s="55" t="s">
        <v>425</v>
      </c>
      <c r="W79" s="21"/>
      <c r="X79" s="4"/>
      <c r="Y79" s="4"/>
      <c r="Z79" s="4"/>
    </row>
    <row r="80" ht="14.25" customHeight="1">
      <c r="A80" s="4"/>
      <c r="B80" s="4"/>
      <c r="C80" s="4"/>
      <c r="D80" s="4"/>
      <c r="E80" s="4"/>
      <c r="F80" s="4"/>
      <c r="G80" s="4"/>
      <c r="H80" s="4"/>
      <c r="I80" s="4"/>
      <c r="J80" s="4"/>
      <c r="K80" s="4"/>
      <c r="L80" s="4"/>
      <c r="M80" s="22"/>
      <c r="U80" s="98"/>
      <c r="V80" s="22"/>
      <c r="W80" s="23"/>
      <c r="X80" s="4"/>
      <c r="Y80" s="4"/>
      <c r="Z80" s="4"/>
    </row>
    <row r="81" ht="14.25" customHeight="1">
      <c r="A81" s="4"/>
      <c r="B81" s="4"/>
      <c r="C81" s="4"/>
      <c r="D81" s="4"/>
      <c r="E81" s="4"/>
      <c r="F81" s="4"/>
      <c r="G81" s="4"/>
      <c r="H81" s="4"/>
      <c r="I81" s="4"/>
      <c r="J81" s="4"/>
      <c r="K81" s="4"/>
      <c r="L81" s="4"/>
      <c r="M81" s="22"/>
      <c r="U81" s="98"/>
      <c r="V81" s="22"/>
      <c r="W81" s="23"/>
      <c r="X81" s="4"/>
      <c r="Y81" s="4"/>
      <c r="Z81" s="4"/>
    </row>
    <row r="82" ht="14.25" customHeight="1">
      <c r="A82" s="4"/>
      <c r="B82" s="4"/>
      <c r="C82" s="4"/>
      <c r="D82" s="4"/>
      <c r="E82" s="4"/>
      <c r="F82" s="4"/>
      <c r="G82" s="4"/>
      <c r="H82" s="4"/>
      <c r="I82" s="4"/>
      <c r="J82" s="4"/>
      <c r="K82" s="4"/>
      <c r="L82" s="4"/>
      <c r="M82" s="170"/>
      <c r="N82" s="100"/>
      <c r="O82" s="100"/>
      <c r="P82" s="100"/>
      <c r="Q82" s="100"/>
      <c r="R82" s="100"/>
      <c r="S82" s="100"/>
      <c r="T82" s="100"/>
      <c r="U82" s="101"/>
      <c r="V82" s="24"/>
      <c r="W82" s="26"/>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93">
    <mergeCell ref="C45:I45"/>
    <mergeCell ref="C46:I46"/>
    <mergeCell ref="C38:I38"/>
    <mergeCell ref="C39:I39"/>
    <mergeCell ref="C40:I40"/>
    <mergeCell ref="C41:I41"/>
    <mergeCell ref="C42:I42"/>
    <mergeCell ref="C43:I43"/>
    <mergeCell ref="C44:I44"/>
    <mergeCell ref="A44:B44"/>
    <mergeCell ref="A45:B45"/>
    <mergeCell ref="A46:B46"/>
    <mergeCell ref="A47:B47"/>
    <mergeCell ref="C47:I47"/>
    <mergeCell ref="A48:B48"/>
    <mergeCell ref="C48:I48"/>
    <mergeCell ref="A49:B49"/>
    <mergeCell ref="C49:I49"/>
    <mergeCell ref="A50:B50"/>
    <mergeCell ref="C50:I50"/>
    <mergeCell ref="A51:B51"/>
    <mergeCell ref="C51:I51"/>
    <mergeCell ref="C52:I52"/>
    <mergeCell ref="A52:B52"/>
    <mergeCell ref="A53:B53"/>
    <mergeCell ref="C53:I53"/>
    <mergeCell ref="A54:B54"/>
    <mergeCell ref="C54:I54"/>
    <mergeCell ref="A55:B55"/>
    <mergeCell ref="C55:I55"/>
    <mergeCell ref="A56:B56"/>
    <mergeCell ref="C56:I56"/>
    <mergeCell ref="A57:B57"/>
    <mergeCell ref="C57:I57"/>
    <mergeCell ref="A58:B58"/>
    <mergeCell ref="C58:I58"/>
    <mergeCell ref="C59:I59"/>
    <mergeCell ref="M10:W35"/>
    <mergeCell ref="M36:V36"/>
    <mergeCell ref="W36:W37"/>
    <mergeCell ref="M38:U38"/>
    <mergeCell ref="M39:U39"/>
    <mergeCell ref="M40:U40"/>
    <mergeCell ref="V41:W41"/>
    <mergeCell ref="V78:W78"/>
    <mergeCell ref="M79:U82"/>
    <mergeCell ref="V79:W82"/>
    <mergeCell ref="M41:U41"/>
    <mergeCell ref="M42:U45"/>
    <mergeCell ref="V42:W45"/>
    <mergeCell ref="M47:W73"/>
    <mergeCell ref="M74:V74"/>
    <mergeCell ref="M75:U75"/>
    <mergeCell ref="M76:U76"/>
    <mergeCell ref="A2:E2"/>
    <mergeCell ref="F2:F3"/>
    <mergeCell ref="H2:L2"/>
    <mergeCell ref="M2:M3"/>
    <mergeCell ref="D3:E3"/>
    <mergeCell ref="H3:J3"/>
    <mergeCell ref="K3:L3"/>
    <mergeCell ref="A3:C3"/>
    <mergeCell ref="A4:C4"/>
    <mergeCell ref="D4:E4"/>
    <mergeCell ref="H4:J4"/>
    <mergeCell ref="K4:L4"/>
    <mergeCell ref="A5:C5"/>
    <mergeCell ref="K5:L5"/>
    <mergeCell ref="H5:J5"/>
    <mergeCell ref="H6:J6"/>
    <mergeCell ref="H7:J7"/>
    <mergeCell ref="H8:J8"/>
    <mergeCell ref="A10:K35"/>
    <mergeCell ref="A36:J36"/>
    <mergeCell ref="K36:K37"/>
    <mergeCell ref="A37:B37"/>
    <mergeCell ref="A38:B38"/>
    <mergeCell ref="A39:B39"/>
    <mergeCell ref="A40:B40"/>
    <mergeCell ref="A41:B41"/>
    <mergeCell ref="A42:B42"/>
    <mergeCell ref="A43:B43"/>
    <mergeCell ref="A63:I66"/>
    <mergeCell ref="J63:K66"/>
    <mergeCell ref="A59:B59"/>
    <mergeCell ref="A60:B60"/>
    <mergeCell ref="C60:I60"/>
    <mergeCell ref="A61:B61"/>
    <mergeCell ref="C61:I61"/>
    <mergeCell ref="A62:I62"/>
    <mergeCell ref="J62:K62"/>
    <mergeCell ref="M77:U77"/>
    <mergeCell ref="M78:U78"/>
  </mergeCells>
  <dataValidations>
    <dataValidation type="list" allowBlank="1" showErrorMessage="1" sqref="D4">
      <formula1>"Bender IR155-3203,Bender IR155-3204"</formula1>
    </dataValidation>
    <dataValidation type="list" allowBlank="1" showErrorMessage="1" sqref="V38:V40 V42 J38:J61 V75:V77">
      <formula1>"TRUE,FALSE"</formula1>
    </dataValidation>
  </dataValidations>
  <hyperlinks>
    <hyperlink r:id="rId1" ref="K5"/>
  </hyperlinks>
  <printOptions/>
  <pageMargins bottom="0.75" footer="0.0" header="0.0" left="0.7" right="0.7" top="0.75"/>
  <pageSetup orientation="portrait"/>
  <headerFooter>
    <oddFooter>&amp;R#FF0000Public</oddFooter>
  </headerFooter>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1" width="8.67"/>
    <col customWidth="1" min="12" max="12" width="12.56"/>
    <col customWidth="1" min="13" max="26" width="8.67"/>
  </cols>
  <sheetData>
    <row r="1" ht="14.25" customHeight="1">
      <c r="A1" s="8" t="s">
        <v>1</v>
      </c>
      <c r="B1" s="7" t="str">
        <f t="array" ref="B1">IF(SUM(COUNTIF(INDIRECT({"'Torque Security'!$F$2","'Torque Security'!$S$2"}), "="&amp;IncompleteText)), IncompleteText, IF(SUM(COUNTIF(INDIRECT({"'Torque Security'!$F$2","'Torque Security'!$S$2"}), "="&amp;ErrorText)), ErrorText, OKText))</f>
        <v>BLANK</v>
      </c>
      <c r="C1" s="4"/>
      <c r="D1" s="4"/>
      <c r="E1" s="4"/>
      <c r="F1" s="4"/>
      <c r="G1" s="4"/>
      <c r="H1" s="4"/>
      <c r="I1" s="4"/>
      <c r="J1" s="4"/>
      <c r="K1" s="4"/>
      <c r="L1" s="4"/>
      <c r="M1" s="4"/>
      <c r="N1" s="4"/>
      <c r="O1" s="4"/>
      <c r="P1" s="4"/>
      <c r="Q1" s="4"/>
      <c r="R1" s="4"/>
      <c r="S1" s="4"/>
      <c r="T1" s="4"/>
      <c r="U1" s="4"/>
      <c r="V1" s="4"/>
      <c r="W1" s="4"/>
      <c r="X1" s="4"/>
      <c r="Y1" s="4"/>
      <c r="Z1" s="4"/>
    </row>
    <row r="2" ht="14.25" customHeight="1">
      <c r="A2" s="1" t="s">
        <v>426</v>
      </c>
      <c r="B2" s="2"/>
      <c r="C2" s="2"/>
      <c r="D2" s="2"/>
      <c r="E2" s="3"/>
      <c r="F2" s="109" t="str">
        <f>IF(COUNTIF(F5:F10, "="&amp;IncompleteText), IncompleteText, IF(COUNTIF(F5:F10, "="&amp;ErrorText), ErrorText, OKText))</f>
        <v>BLANK</v>
      </c>
      <c r="G2" s="4"/>
      <c r="H2" s="1" t="s">
        <v>427</v>
      </c>
      <c r="I2" s="2"/>
      <c r="J2" s="2"/>
      <c r="K2" s="2"/>
      <c r="L2" s="2"/>
      <c r="M2" s="2"/>
      <c r="N2" s="2"/>
      <c r="O2" s="2"/>
      <c r="P2" s="2"/>
      <c r="Q2" s="2"/>
      <c r="R2" s="3"/>
      <c r="S2" s="109" t="str">
        <f>IF(COUNTIF(S6:S11, "="&amp;IncompleteText), IncompleteText, IF(COUNTIF(S6:S11, "="&amp;ErrorText), ErrorText, OKText))</f>
        <v>BLANK</v>
      </c>
      <c r="T2" s="4"/>
      <c r="U2" s="4"/>
      <c r="V2" s="4"/>
      <c r="W2" s="4"/>
      <c r="X2" s="4"/>
      <c r="Y2" s="4"/>
      <c r="Z2" s="4"/>
    </row>
    <row r="3" ht="14.25" customHeight="1">
      <c r="A3" s="103" t="s">
        <v>368</v>
      </c>
      <c r="B3" s="104"/>
      <c r="C3" s="157" t="s">
        <v>428</v>
      </c>
      <c r="D3" s="156"/>
      <c r="E3" s="146"/>
      <c r="F3" s="105"/>
      <c r="G3" s="4"/>
      <c r="H3" s="43"/>
      <c r="I3" s="43"/>
      <c r="J3" s="43"/>
      <c r="K3" s="43"/>
      <c r="L3" s="43"/>
      <c r="M3" s="43"/>
      <c r="N3" s="43"/>
      <c r="O3" s="43"/>
      <c r="P3" s="43"/>
      <c r="Q3" s="43"/>
      <c r="R3" s="43"/>
      <c r="S3" s="105"/>
      <c r="T3" s="4"/>
      <c r="U3" s="4"/>
      <c r="V3" s="4"/>
      <c r="W3" s="4"/>
      <c r="X3" s="4"/>
      <c r="Y3" s="4"/>
      <c r="Z3" s="4"/>
    </row>
    <row r="4" ht="14.25" customHeight="1">
      <c r="A4" s="44" t="s">
        <v>429</v>
      </c>
      <c r="B4" s="47" t="s">
        <v>430</v>
      </c>
      <c r="D4" s="47" t="s">
        <v>431</v>
      </c>
      <c r="F4" s="4"/>
      <c r="G4" s="4"/>
      <c r="H4" s="45" t="s">
        <v>432</v>
      </c>
      <c r="J4" s="45" t="s">
        <v>433</v>
      </c>
      <c r="L4" s="45" t="s">
        <v>434</v>
      </c>
      <c r="M4" s="45" t="s">
        <v>435</v>
      </c>
      <c r="N4" s="45" t="s">
        <v>436</v>
      </c>
      <c r="O4" s="45" t="s">
        <v>437</v>
      </c>
      <c r="P4" s="45" t="s">
        <v>438</v>
      </c>
      <c r="Q4" s="45" t="s">
        <v>439</v>
      </c>
      <c r="R4" s="45" t="s">
        <v>10</v>
      </c>
      <c r="S4" s="4"/>
      <c r="T4" s="47" t="s">
        <v>20</v>
      </c>
      <c r="Y4" s="4"/>
      <c r="Z4" s="4"/>
    </row>
    <row r="5" ht="14.25" customHeight="1">
      <c r="A5" s="173">
        <v>0.0</v>
      </c>
      <c r="B5" s="74"/>
      <c r="C5" s="11"/>
      <c r="D5" s="74"/>
      <c r="E5" s="11"/>
      <c r="F5" s="7" t="str">
        <f>IF(OR(ISBLANK(B5),ISBLANK(D5)), IncompleteText, OKText)</f>
        <v>BLANK</v>
      </c>
      <c r="G5" s="4"/>
      <c r="J5" s="25"/>
      <c r="K5" s="25"/>
      <c r="L5" s="174"/>
      <c r="M5" s="174"/>
      <c r="N5" s="25"/>
      <c r="O5" s="25"/>
      <c r="P5" s="25"/>
      <c r="Q5" s="25"/>
      <c r="R5" s="25"/>
      <c r="S5" s="4"/>
      <c r="T5" s="25"/>
      <c r="U5" s="25"/>
      <c r="V5" s="25"/>
      <c r="W5" s="25"/>
      <c r="X5" s="25"/>
      <c r="Y5" s="4"/>
      <c r="Z5" s="4"/>
    </row>
    <row r="6" ht="14.25" customHeight="1">
      <c r="A6" s="173">
        <v>0.2</v>
      </c>
      <c r="B6" s="74"/>
      <c r="C6" s="11"/>
      <c r="D6" s="74"/>
      <c r="E6" s="11"/>
      <c r="F6" s="7" t="str">
        <f>IF(OR(ISBLANK(B6),ISBLANK(D6)),IncompleteText,IF(OR(AND(XOR(B6&lt;D6,B5&lt;D5),B5&lt;&gt;D5),B6=D6),ErrorText,OKText))</f>
        <v>BLANK</v>
      </c>
      <c r="G6" s="4"/>
      <c r="H6" s="108" t="s">
        <v>440</v>
      </c>
      <c r="J6" s="41"/>
      <c r="K6" s="11"/>
      <c r="L6" s="57"/>
      <c r="M6" s="57"/>
      <c r="N6" s="57"/>
      <c r="O6" s="57"/>
      <c r="P6" s="57"/>
      <c r="Q6" s="57"/>
      <c r="R6" s="175"/>
      <c r="S6" s="7" t="str">
        <f>IF(COUNTBLANK(J6:L6)&gt;1, IncompleteText, OKText)</f>
        <v>BLANK</v>
      </c>
      <c r="T6" s="41"/>
      <c r="U6" s="10"/>
      <c r="V6" s="10"/>
      <c r="W6" s="10"/>
      <c r="X6" s="11"/>
      <c r="Y6" s="4"/>
      <c r="Z6" s="4"/>
    </row>
    <row r="7" ht="14.25" customHeight="1">
      <c r="A7" s="173">
        <v>0.4</v>
      </c>
      <c r="B7" s="74"/>
      <c r="C7" s="11"/>
      <c r="D7" s="74"/>
      <c r="E7" s="11"/>
      <c r="F7" s="7" t="str">
        <f t="shared" ref="F7:F10" si="1">IF(OR(ISBLANK(B7),ISBLANK(D7)), IncompleteText, IF(OR(XOR(B7&lt;D7,B6&lt;D6),B7=D7), ErrorText, OKText))</f>
        <v>BLANK</v>
      </c>
      <c r="G7" s="4"/>
      <c r="H7" s="41" t="str">
        <f t="shared" ref="H7:H11" si="2">IF(ISBLANK(J6),"",J6)</f>
        <v/>
      </c>
      <c r="I7" s="11"/>
      <c r="J7" s="41"/>
      <c r="K7" s="11"/>
      <c r="L7" s="57"/>
      <c r="M7" s="57"/>
      <c r="N7" s="57"/>
      <c r="O7" s="57"/>
      <c r="P7" s="57"/>
      <c r="Q7" s="57"/>
      <c r="R7" s="175"/>
      <c r="S7" s="7" t="str">
        <f t="shared" ref="S7:S11" si="3">IF(ISBLANK(J7), "", IF(ISBLANK(L7), IncompleteText, OKText))</f>
        <v/>
      </c>
      <c r="T7" s="41"/>
      <c r="U7" s="10"/>
      <c r="V7" s="10"/>
      <c r="W7" s="10"/>
      <c r="X7" s="11"/>
      <c r="Y7" s="4"/>
      <c r="Z7" s="4"/>
    </row>
    <row r="8" ht="14.25" customHeight="1">
      <c r="A8" s="173">
        <v>0.6</v>
      </c>
      <c r="B8" s="74"/>
      <c r="C8" s="11"/>
      <c r="D8" s="74"/>
      <c r="E8" s="11"/>
      <c r="F8" s="7" t="str">
        <f t="shared" si="1"/>
        <v>BLANK</v>
      </c>
      <c r="G8" s="4"/>
      <c r="H8" s="41" t="str">
        <f t="shared" si="2"/>
        <v/>
      </c>
      <c r="I8" s="11"/>
      <c r="J8" s="41"/>
      <c r="K8" s="11"/>
      <c r="L8" s="57"/>
      <c r="M8" s="57"/>
      <c r="N8" s="57"/>
      <c r="O8" s="57"/>
      <c r="P8" s="57"/>
      <c r="Q8" s="57"/>
      <c r="R8" s="175"/>
      <c r="S8" s="7" t="str">
        <f t="shared" si="3"/>
        <v/>
      </c>
      <c r="T8" s="41"/>
      <c r="U8" s="10"/>
      <c r="V8" s="10"/>
      <c r="W8" s="10"/>
      <c r="X8" s="11"/>
      <c r="Y8" s="4"/>
      <c r="Z8" s="4"/>
    </row>
    <row r="9" ht="14.25" customHeight="1">
      <c r="A9" s="173">
        <v>0.8</v>
      </c>
      <c r="B9" s="74"/>
      <c r="C9" s="11"/>
      <c r="D9" s="74"/>
      <c r="E9" s="11"/>
      <c r="F9" s="7" t="str">
        <f t="shared" si="1"/>
        <v>BLANK</v>
      </c>
      <c r="G9" s="4"/>
      <c r="H9" s="41" t="str">
        <f t="shared" si="2"/>
        <v/>
      </c>
      <c r="I9" s="11"/>
      <c r="J9" s="41"/>
      <c r="K9" s="11"/>
      <c r="L9" s="57"/>
      <c r="M9" s="57"/>
      <c r="N9" s="57"/>
      <c r="O9" s="57"/>
      <c r="P9" s="57"/>
      <c r="Q9" s="57"/>
      <c r="R9" s="175"/>
      <c r="S9" s="7" t="str">
        <f t="shared" si="3"/>
        <v/>
      </c>
      <c r="T9" s="41"/>
      <c r="U9" s="10"/>
      <c r="V9" s="10"/>
      <c r="W9" s="10"/>
      <c r="X9" s="11"/>
      <c r="Y9" s="4"/>
      <c r="Z9" s="4"/>
    </row>
    <row r="10" ht="14.25" customHeight="1">
      <c r="A10" s="173">
        <v>1.0</v>
      </c>
      <c r="B10" s="74"/>
      <c r="C10" s="11"/>
      <c r="D10" s="74"/>
      <c r="E10" s="11"/>
      <c r="F10" s="7" t="str">
        <f t="shared" si="1"/>
        <v>BLANK</v>
      </c>
      <c r="G10" s="4"/>
      <c r="H10" s="41" t="str">
        <f t="shared" si="2"/>
        <v/>
      </c>
      <c r="I10" s="11"/>
      <c r="J10" s="41"/>
      <c r="K10" s="11"/>
      <c r="L10" s="57"/>
      <c r="M10" s="57"/>
      <c r="N10" s="57"/>
      <c r="O10" s="57"/>
      <c r="P10" s="57"/>
      <c r="Q10" s="57"/>
      <c r="R10" s="175"/>
      <c r="S10" s="7" t="str">
        <f t="shared" si="3"/>
        <v/>
      </c>
      <c r="T10" s="41"/>
      <c r="U10" s="10"/>
      <c r="V10" s="10"/>
      <c r="W10" s="10"/>
      <c r="X10" s="11"/>
      <c r="Y10" s="4"/>
      <c r="Z10" s="4"/>
    </row>
    <row r="11" ht="14.25" customHeight="1">
      <c r="A11" s="4"/>
      <c r="B11" s="4"/>
      <c r="C11" s="4"/>
      <c r="D11" s="4"/>
      <c r="E11" s="4"/>
      <c r="F11" s="4"/>
      <c r="G11" s="4"/>
      <c r="H11" s="41" t="str">
        <f t="shared" si="2"/>
        <v/>
      </c>
      <c r="I11" s="11"/>
      <c r="J11" s="41"/>
      <c r="K11" s="11"/>
      <c r="L11" s="57"/>
      <c r="M11" s="57"/>
      <c r="N11" s="57"/>
      <c r="O11" s="57"/>
      <c r="P11" s="57"/>
      <c r="Q11" s="57"/>
      <c r="R11" s="175"/>
      <c r="S11" s="7" t="str">
        <f t="shared" si="3"/>
        <v/>
      </c>
      <c r="T11" s="41"/>
      <c r="U11" s="10"/>
      <c r="V11" s="10"/>
      <c r="W11" s="10"/>
      <c r="X11" s="11"/>
      <c r="Y11" s="4"/>
      <c r="Z11" s="4"/>
    </row>
    <row r="12" ht="14.2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4.2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4.2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4.2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4.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4.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4.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4.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4.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4.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4.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4.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5.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4.25" customHeight="1">
      <c r="A28" s="176"/>
      <c r="B28" s="4"/>
      <c r="C28" s="4"/>
      <c r="D28" s="4"/>
      <c r="E28" s="4"/>
      <c r="F28" s="4"/>
      <c r="G28" s="4"/>
      <c r="H28" s="4"/>
      <c r="I28" s="4"/>
      <c r="J28" s="4"/>
      <c r="K28" s="4"/>
      <c r="L28" s="4"/>
      <c r="M28" s="4"/>
      <c r="N28" s="4"/>
      <c r="O28" s="4"/>
      <c r="P28" s="4"/>
      <c r="Q28" s="4"/>
      <c r="R28" s="4"/>
      <c r="S28" s="4"/>
      <c r="T28" s="4"/>
      <c r="U28" s="4"/>
      <c r="V28" s="4"/>
      <c r="W28" s="4"/>
      <c r="X28" s="4"/>
      <c r="Y28" s="4"/>
      <c r="Z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B7:C7"/>
    <mergeCell ref="B8:C8"/>
    <mergeCell ref="D8:E8"/>
    <mergeCell ref="B9:C9"/>
    <mergeCell ref="D9:E9"/>
    <mergeCell ref="B10:C10"/>
    <mergeCell ref="D10:E10"/>
    <mergeCell ref="B5:C5"/>
    <mergeCell ref="D5:E5"/>
    <mergeCell ref="B6:C6"/>
    <mergeCell ref="D6:E6"/>
    <mergeCell ref="J6:K6"/>
    <mergeCell ref="D7:E7"/>
    <mergeCell ref="J7:K7"/>
    <mergeCell ref="T9:X9"/>
    <mergeCell ref="T10:X10"/>
    <mergeCell ref="T11:X11"/>
    <mergeCell ref="P4:P5"/>
    <mergeCell ref="Q4:Q5"/>
    <mergeCell ref="R4:R5"/>
    <mergeCell ref="T4:X5"/>
    <mergeCell ref="T6:X6"/>
    <mergeCell ref="T7:X7"/>
    <mergeCell ref="T8:X8"/>
    <mergeCell ref="H10:I10"/>
    <mergeCell ref="H11:I11"/>
    <mergeCell ref="H6:I6"/>
    <mergeCell ref="H7:I7"/>
    <mergeCell ref="H8:I8"/>
    <mergeCell ref="J8:K8"/>
    <mergeCell ref="H9:I9"/>
    <mergeCell ref="J9:K9"/>
    <mergeCell ref="J10:K10"/>
    <mergeCell ref="J11:K11"/>
  </mergeCells>
  <dataValidations>
    <dataValidation type="list" allowBlank="1" showErrorMessage="1" sqref="L6:L11">
      <formula1>"Analog,Digital"</formula1>
    </dataValidation>
  </dataValidations>
  <printOptions/>
  <pageMargins bottom="0.75" footer="0.0" header="0.0" left="0.7" right="0.7" top="0.75"/>
  <pageSetup orientation="portrait"/>
  <headerFooter>
    <oddFooter>&amp;R#FF0000Public</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8.67"/>
  </cols>
  <sheetData>
    <row r="1" ht="14.25" customHeight="1">
      <c r="A1" s="8" t="s">
        <v>1</v>
      </c>
      <c r="B1" s="7" t="str">
        <f t="array" ref="B1">IF(SUM(COUNTIF(INDIRECT({"Other!$F$2","Other!$L$2","Other!$H$28"}), "="&amp;IncompleteText)), IncompleteText, IF(SUM(COUNTIF(INDIRECT({"Other!$F$2","Other!$L$2","Other!$H$28"}), "="&amp;ErrorText)), ErrorText, OKText))</f>
        <v>OK</v>
      </c>
      <c r="C1" s="4"/>
      <c r="D1" s="4"/>
      <c r="E1" s="4"/>
      <c r="F1" s="4"/>
      <c r="G1" s="4"/>
      <c r="H1" s="4"/>
      <c r="I1" s="4"/>
      <c r="J1" s="4"/>
      <c r="K1" s="4"/>
      <c r="L1" s="4"/>
      <c r="M1" s="4"/>
      <c r="N1" s="4"/>
      <c r="O1" s="4"/>
      <c r="P1" s="4"/>
      <c r="Q1" s="4"/>
      <c r="R1" s="4"/>
      <c r="S1" s="4"/>
      <c r="T1" s="4"/>
      <c r="U1" s="4"/>
      <c r="V1" s="4"/>
      <c r="W1" s="4"/>
      <c r="X1" s="4"/>
      <c r="Y1" s="4"/>
      <c r="Z1" s="4"/>
    </row>
    <row r="2" ht="14.25" customHeight="1">
      <c r="A2" s="1" t="s">
        <v>163</v>
      </c>
      <c r="B2" s="2"/>
      <c r="C2" s="2"/>
      <c r="D2" s="2"/>
      <c r="E2" s="3"/>
      <c r="F2" s="7" t="str">
        <f>IF(COUNTIF(F3:F7, "="&amp;IncompleteText), IncompleteText, IF(COUNTIF(F3:F7, "="&amp;ErrorText), ErrorText, OKText))</f>
        <v>OK</v>
      </c>
      <c r="G2" s="1" t="s">
        <v>165</v>
      </c>
      <c r="H2" s="2"/>
      <c r="I2" s="2"/>
      <c r="J2" s="2"/>
      <c r="K2" s="3"/>
      <c r="L2" s="7" t="str">
        <f>IF(COUNTIF(L3:L5, "="&amp;IncompleteText), IncompleteText, IF(COUNTIF(L3:L5, "="&amp;ErrorText), ErrorText, OKText))</f>
        <v>OK</v>
      </c>
      <c r="M2" s="4"/>
      <c r="N2" s="4"/>
      <c r="O2" s="4"/>
      <c r="P2" s="4"/>
      <c r="Q2" s="4"/>
      <c r="R2" s="4"/>
      <c r="S2" s="4"/>
      <c r="T2" s="4"/>
      <c r="U2" s="4"/>
      <c r="V2" s="4"/>
      <c r="W2" s="4"/>
      <c r="X2" s="4"/>
      <c r="Y2" s="4"/>
      <c r="Z2" s="4"/>
    </row>
    <row r="3" ht="14.25" customHeight="1">
      <c r="A3" s="111" t="s">
        <v>30</v>
      </c>
      <c r="C3" s="23"/>
      <c r="D3" s="112" t="s">
        <v>441</v>
      </c>
      <c r="E3" s="11"/>
      <c r="F3" s="113" t="str">
        <f t="shared" ref="F3:F5" si="1">IF(ISBLANK(D3), IncompleteText, OKText)</f>
        <v>OK</v>
      </c>
      <c r="G3" s="111" t="s">
        <v>30</v>
      </c>
      <c r="I3" s="23"/>
      <c r="J3" s="112" t="s">
        <v>442</v>
      </c>
      <c r="K3" s="11"/>
      <c r="L3" s="113" t="str">
        <f t="shared" ref="L3:L5" si="2">IF(ISBLANK(J3), IncompleteText, OKText)</f>
        <v>OK</v>
      </c>
      <c r="M3" s="4"/>
      <c r="N3" s="4"/>
      <c r="O3" s="4"/>
      <c r="P3" s="4"/>
      <c r="Q3" s="4"/>
      <c r="R3" s="4"/>
      <c r="S3" s="4"/>
      <c r="T3" s="4"/>
      <c r="U3" s="4"/>
      <c r="V3" s="4"/>
      <c r="W3" s="4"/>
      <c r="X3" s="4"/>
      <c r="Y3" s="4"/>
      <c r="Z3" s="4"/>
    </row>
    <row r="4" ht="14.25" customHeight="1">
      <c r="A4" s="111" t="s">
        <v>32</v>
      </c>
      <c r="D4" s="36" t="s">
        <v>443</v>
      </c>
      <c r="E4" s="11"/>
      <c r="F4" s="113" t="str">
        <f t="shared" si="1"/>
        <v>OK</v>
      </c>
      <c r="G4" s="111" t="s">
        <v>32</v>
      </c>
      <c r="J4" s="36" t="s">
        <v>444</v>
      </c>
      <c r="K4" s="11"/>
      <c r="L4" s="113" t="str">
        <f t="shared" si="2"/>
        <v>OK</v>
      </c>
      <c r="M4" s="4"/>
      <c r="N4" s="4"/>
      <c r="O4" s="4"/>
      <c r="P4" s="4"/>
      <c r="Q4" s="4"/>
      <c r="R4" s="4"/>
      <c r="S4" s="4"/>
      <c r="T4" s="4"/>
      <c r="U4" s="4"/>
      <c r="V4" s="4"/>
      <c r="W4" s="4"/>
      <c r="X4" s="4"/>
      <c r="Y4" s="4"/>
      <c r="Z4" s="4"/>
    </row>
    <row r="5" ht="14.25" customHeight="1">
      <c r="A5" s="111" t="s">
        <v>52</v>
      </c>
      <c r="C5" s="23"/>
      <c r="D5" s="65" t="s">
        <v>443</v>
      </c>
      <c r="E5" s="11"/>
      <c r="F5" s="113" t="str">
        <f t="shared" si="1"/>
        <v>OK</v>
      </c>
      <c r="G5" s="111" t="s">
        <v>52</v>
      </c>
      <c r="I5" s="23"/>
      <c r="J5" s="65" t="s">
        <v>445</v>
      </c>
      <c r="K5" s="11"/>
      <c r="L5" s="113" t="str">
        <f t="shared" si="2"/>
        <v>OK</v>
      </c>
      <c r="M5" s="4"/>
      <c r="N5" s="4"/>
      <c r="O5" s="4"/>
      <c r="P5" s="4"/>
      <c r="Q5" s="4"/>
      <c r="R5" s="4"/>
      <c r="S5" s="4"/>
      <c r="T5" s="4"/>
      <c r="U5" s="4"/>
      <c r="V5" s="4"/>
      <c r="W5" s="4"/>
      <c r="X5" s="4"/>
      <c r="Y5" s="4"/>
      <c r="Z5" s="4"/>
    </row>
    <row r="6" ht="14.25" customHeight="1">
      <c r="A6" s="177" t="s">
        <v>446</v>
      </c>
      <c r="D6" s="178">
        <v>1000.0</v>
      </c>
      <c r="E6" s="152" t="s">
        <v>17</v>
      </c>
      <c r="F6" s="179" t="str">
        <f>IF(ISBLANK(D6),IncompleteText,IF(D6&lt;MaxTSVoltage,ErrorText,OKText))</f>
        <v>OK</v>
      </c>
      <c r="G6" s="4"/>
      <c r="H6" s="4"/>
      <c r="I6" s="4"/>
      <c r="J6" s="153"/>
      <c r="K6" s="153"/>
      <c r="L6" s="4"/>
      <c r="M6" s="4"/>
      <c r="N6" s="4"/>
      <c r="O6" s="4"/>
      <c r="P6" s="4"/>
      <c r="Q6" s="4"/>
      <c r="R6" s="4"/>
      <c r="S6" s="4"/>
      <c r="T6" s="4"/>
      <c r="U6" s="4"/>
      <c r="V6" s="4"/>
      <c r="W6" s="4"/>
      <c r="X6" s="4"/>
      <c r="Y6" s="4"/>
      <c r="Z6" s="4"/>
    </row>
    <row r="7" ht="14.25" customHeight="1">
      <c r="D7" s="140"/>
      <c r="F7" s="105"/>
      <c r="G7" s="4"/>
      <c r="H7" s="4"/>
      <c r="I7" s="4"/>
      <c r="J7" s="4"/>
      <c r="K7" s="4"/>
      <c r="L7" s="4"/>
      <c r="M7" s="4"/>
      <c r="N7" s="4"/>
      <c r="O7" s="4"/>
      <c r="P7" s="4"/>
      <c r="Q7" s="4"/>
      <c r="R7" s="4"/>
      <c r="S7" s="4"/>
      <c r="T7" s="4"/>
      <c r="U7" s="4"/>
      <c r="V7" s="4"/>
      <c r="W7" s="4"/>
      <c r="X7" s="4"/>
      <c r="Y7" s="4"/>
      <c r="Z7" s="4"/>
    </row>
    <row r="8" ht="14.25" customHeight="1">
      <c r="A8" s="4"/>
      <c r="B8" s="4"/>
      <c r="C8" s="4"/>
      <c r="D8" s="153"/>
      <c r="E8" s="4"/>
      <c r="F8" s="4"/>
      <c r="G8" s="4"/>
      <c r="H8" s="4"/>
      <c r="I8" s="4"/>
      <c r="J8" s="4"/>
      <c r="K8" s="4"/>
      <c r="L8" s="4"/>
      <c r="M8" s="4"/>
      <c r="N8" s="4"/>
      <c r="O8" s="4"/>
      <c r="P8" s="4"/>
      <c r="Q8" s="4"/>
      <c r="R8" s="4"/>
      <c r="S8" s="4"/>
      <c r="T8" s="4"/>
      <c r="U8" s="4"/>
      <c r="V8" s="4"/>
      <c r="W8" s="4"/>
      <c r="X8" s="4"/>
      <c r="Y8" s="4"/>
      <c r="Z8" s="4"/>
    </row>
    <row r="9" ht="14.25" customHeight="1">
      <c r="A9" s="180" t="s">
        <v>447</v>
      </c>
      <c r="B9" s="20"/>
      <c r="C9" s="20"/>
      <c r="D9" s="20"/>
      <c r="E9" s="20"/>
      <c r="F9" s="20"/>
      <c r="G9" s="20"/>
      <c r="H9" s="21"/>
      <c r="I9" s="4"/>
      <c r="J9" s="4"/>
      <c r="K9" s="4"/>
      <c r="L9" s="4"/>
      <c r="M9" s="4"/>
      <c r="N9" s="4"/>
      <c r="O9" s="4"/>
      <c r="P9" s="4"/>
      <c r="Q9" s="4"/>
      <c r="R9" s="4"/>
      <c r="S9" s="4"/>
      <c r="T9" s="4"/>
      <c r="U9" s="4"/>
      <c r="V9" s="4"/>
      <c r="W9" s="4"/>
      <c r="X9" s="4"/>
      <c r="Y9" s="4"/>
      <c r="Z9" s="4"/>
    </row>
    <row r="10" ht="14.25" customHeight="1">
      <c r="A10" s="22"/>
      <c r="H10" s="23"/>
      <c r="I10" s="4"/>
      <c r="J10" s="4"/>
      <c r="K10" s="4"/>
      <c r="L10" s="4"/>
      <c r="M10" s="4"/>
      <c r="N10" s="4"/>
      <c r="O10" s="4"/>
      <c r="P10" s="4"/>
      <c r="Q10" s="4"/>
      <c r="R10" s="4"/>
      <c r="S10" s="4"/>
      <c r="T10" s="4"/>
      <c r="U10" s="4"/>
      <c r="V10" s="4"/>
      <c r="W10" s="4"/>
      <c r="X10" s="4"/>
      <c r="Y10" s="4"/>
      <c r="Z10" s="4"/>
    </row>
    <row r="11" ht="14.25" customHeight="1">
      <c r="A11" s="22"/>
      <c r="H11" s="23"/>
      <c r="I11" s="4"/>
      <c r="J11" s="4"/>
      <c r="K11" s="4"/>
      <c r="L11" s="4"/>
      <c r="M11" s="4"/>
      <c r="N11" s="4"/>
      <c r="O11" s="4"/>
      <c r="P11" s="4"/>
      <c r="Q11" s="4"/>
      <c r="R11" s="4"/>
      <c r="S11" s="4"/>
      <c r="T11" s="4"/>
      <c r="U11" s="4"/>
      <c r="V11" s="4"/>
      <c r="W11" s="4"/>
      <c r="X11" s="4"/>
      <c r="Y11" s="4"/>
      <c r="Z11" s="4"/>
    </row>
    <row r="12" ht="14.25" customHeight="1">
      <c r="A12" s="22"/>
      <c r="H12" s="23"/>
      <c r="I12" s="4"/>
      <c r="J12" s="4"/>
      <c r="K12" s="4"/>
      <c r="L12" s="4"/>
      <c r="M12" s="4"/>
      <c r="N12" s="4"/>
      <c r="O12" s="4"/>
      <c r="P12" s="4"/>
      <c r="Q12" s="4"/>
      <c r="R12" s="4"/>
      <c r="S12" s="4"/>
      <c r="T12" s="4"/>
      <c r="U12" s="4"/>
      <c r="V12" s="4"/>
      <c r="W12" s="4"/>
      <c r="X12" s="4"/>
      <c r="Y12" s="4"/>
      <c r="Z12" s="4"/>
    </row>
    <row r="13" ht="14.25" customHeight="1">
      <c r="A13" s="22"/>
      <c r="H13" s="23"/>
      <c r="I13" s="4"/>
      <c r="J13" s="4"/>
      <c r="K13" s="4"/>
      <c r="L13" s="4"/>
      <c r="M13" s="4"/>
      <c r="N13" s="4"/>
      <c r="O13" s="4"/>
      <c r="P13" s="4"/>
      <c r="Q13" s="4"/>
      <c r="R13" s="4"/>
      <c r="S13" s="4"/>
      <c r="T13" s="4"/>
      <c r="U13" s="4"/>
      <c r="V13" s="4"/>
      <c r="W13" s="4"/>
      <c r="X13" s="4"/>
      <c r="Y13" s="4"/>
      <c r="Z13" s="4"/>
    </row>
    <row r="14" ht="14.25" customHeight="1">
      <c r="A14" s="22"/>
      <c r="H14" s="23"/>
      <c r="I14" s="4"/>
      <c r="J14" s="4"/>
      <c r="K14" s="4"/>
      <c r="L14" s="4"/>
      <c r="M14" s="4"/>
      <c r="N14" s="4"/>
      <c r="O14" s="4"/>
      <c r="P14" s="4"/>
      <c r="Q14" s="4"/>
      <c r="R14" s="4"/>
      <c r="S14" s="4"/>
      <c r="T14" s="4"/>
      <c r="U14" s="4"/>
      <c r="V14" s="4"/>
      <c r="W14" s="4"/>
      <c r="X14" s="4"/>
      <c r="Y14" s="4"/>
      <c r="Z14" s="4"/>
    </row>
    <row r="15" ht="14.25" customHeight="1">
      <c r="A15" s="22"/>
      <c r="H15" s="23"/>
      <c r="I15" s="4"/>
      <c r="J15" s="4"/>
      <c r="K15" s="4"/>
      <c r="L15" s="4"/>
      <c r="M15" s="4"/>
      <c r="N15" s="4"/>
      <c r="O15" s="4"/>
      <c r="P15" s="4"/>
      <c r="Q15" s="4"/>
      <c r="R15" s="4"/>
      <c r="S15" s="4"/>
      <c r="T15" s="4"/>
      <c r="U15" s="4"/>
      <c r="V15" s="4"/>
      <c r="W15" s="4"/>
      <c r="X15" s="4"/>
      <c r="Y15" s="4"/>
      <c r="Z15" s="4"/>
    </row>
    <row r="16" ht="14.25" customHeight="1">
      <c r="A16" s="22"/>
      <c r="H16" s="23"/>
      <c r="I16" s="4"/>
      <c r="J16" s="4"/>
      <c r="K16" s="4"/>
      <c r="L16" s="4"/>
      <c r="M16" s="4"/>
      <c r="N16" s="4"/>
      <c r="O16" s="4"/>
      <c r="P16" s="4"/>
      <c r="Q16" s="4"/>
      <c r="R16" s="4"/>
      <c r="S16" s="4"/>
      <c r="T16" s="4"/>
      <c r="U16" s="4"/>
      <c r="V16" s="4"/>
      <c r="W16" s="4"/>
      <c r="X16" s="4"/>
      <c r="Y16" s="4"/>
      <c r="Z16" s="4"/>
    </row>
    <row r="17" ht="14.25" customHeight="1">
      <c r="A17" s="22"/>
      <c r="H17" s="23"/>
      <c r="I17" s="4"/>
      <c r="J17" s="4"/>
      <c r="K17" s="4"/>
      <c r="L17" s="4"/>
      <c r="M17" s="4"/>
      <c r="N17" s="4"/>
      <c r="O17" s="4"/>
      <c r="P17" s="4"/>
      <c r="Q17" s="4"/>
      <c r="R17" s="4"/>
      <c r="S17" s="4"/>
      <c r="T17" s="4"/>
      <c r="U17" s="4"/>
      <c r="V17" s="4"/>
      <c r="W17" s="4"/>
      <c r="X17" s="4"/>
      <c r="Y17" s="4"/>
      <c r="Z17" s="4"/>
    </row>
    <row r="18" ht="14.25" customHeight="1">
      <c r="A18" s="22"/>
      <c r="H18" s="23"/>
      <c r="I18" s="4"/>
      <c r="J18" s="4"/>
      <c r="K18" s="4"/>
      <c r="L18" s="4"/>
      <c r="M18" s="4"/>
      <c r="N18" s="4"/>
      <c r="O18" s="4"/>
      <c r="P18" s="4"/>
      <c r="Q18" s="4"/>
      <c r="R18" s="4"/>
      <c r="S18" s="4"/>
      <c r="T18" s="4"/>
      <c r="U18" s="4"/>
      <c r="V18" s="4"/>
      <c r="W18" s="4"/>
      <c r="X18" s="4"/>
      <c r="Y18" s="4"/>
      <c r="Z18" s="4"/>
    </row>
    <row r="19" ht="14.25" customHeight="1">
      <c r="A19" s="22"/>
      <c r="H19" s="23"/>
      <c r="I19" s="4"/>
      <c r="J19" s="4"/>
      <c r="K19" s="4"/>
      <c r="L19" s="4"/>
      <c r="M19" s="4"/>
      <c r="N19" s="4"/>
      <c r="O19" s="4"/>
      <c r="P19" s="4"/>
      <c r="Q19" s="4"/>
      <c r="R19" s="4"/>
      <c r="S19" s="4"/>
      <c r="T19" s="4"/>
      <c r="U19" s="4"/>
      <c r="V19" s="4"/>
      <c r="W19" s="4"/>
      <c r="X19" s="4"/>
      <c r="Y19" s="4"/>
      <c r="Z19" s="4"/>
    </row>
    <row r="20" ht="14.25" customHeight="1">
      <c r="A20" s="22"/>
      <c r="H20" s="23"/>
      <c r="I20" s="4"/>
      <c r="J20" s="4"/>
      <c r="K20" s="4"/>
      <c r="L20" s="4"/>
      <c r="M20" s="4"/>
      <c r="N20" s="4"/>
      <c r="O20" s="4"/>
      <c r="P20" s="4"/>
      <c r="Q20" s="4"/>
      <c r="R20" s="4"/>
      <c r="S20" s="4"/>
      <c r="T20" s="4"/>
      <c r="U20" s="4"/>
      <c r="V20" s="4"/>
      <c r="W20" s="4"/>
      <c r="X20" s="4"/>
      <c r="Y20" s="4"/>
      <c r="Z20" s="4"/>
    </row>
    <row r="21" ht="14.25" customHeight="1">
      <c r="A21" s="22"/>
      <c r="H21" s="23"/>
      <c r="I21" s="4"/>
      <c r="J21" s="4"/>
      <c r="K21" s="4"/>
      <c r="L21" s="4"/>
      <c r="M21" s="4"/>
      <c r="N21" s="4"/>
      <c r="O21" s="4"/>
      <c r="P21" s="4"/>
      <c r="Q21" s="4"/>
      <c r="R21" s="4"/>
      <c r="S21" s="4"/>
      <c r="T21" s="4"/>
      <c r="U21" s="4"/>
      <c r="V21" s="4"/>
      <c r="W21" s="4"/>
      <c r="X21" s="4"/>
      <c r="Y21" s="4"/>
      <c r="Z21" s="4"/>
    </row>
    <row r="22" ht="14.25" customHeight="1">
      <c r="A22" s="22"/>
      <c r="H22" s="23"/>
      <c r="I22" s="4"/>
      <c r="J22" s="4"/>
      <c r="K22" s="4"/>
      <c r="L22" s="4"/>
      <c r="M22" s="4"/>
      <c r="N22" s="4"/>
      <c r="O22" s="4"/>
      <c r="P22" s="4"/>
      <c r="Q22" s="4"/>
      <c r="R22" s="4"/>
      <c r="S22" s="4"/>
      <c r="T22" s="4"/>
      <c r="U22" s="4"/>
      <c r="V22" s="4"/>
      <c r="W22" s="4"/>
      <c r="X22" s="4"/>
      <c r="Y22" s="4"/>
      <c r="Z22" s="4"/>
    </row>
    <row r="23" ht="14.25" customHeight="1">
      <c r="A23" s="22"/>
      <c r="H23" s="23"/>
      <c r="I23" s="4"/>
      <c r="J23" s="4"/>
      <c r="K23" s="4"/>
      <c r="L23" s="4"/>
      <c r="M23" s="4"/>
      <c r="N23" s="4"/>
      <c r="O23" s="4"/>
      <c r="P23" s="4"/>
      <c r="Q23" s="4"/>
      <c r="R23" s="4"/>
      <c r="S23" s="4"/>
      <c r="T23" s="4"/>
      <c r="U23" s="4"/>
      <c r="V23" s="4"/>
      <c r="W23" s="4"/>
      <c r="X23" s="4"/>
      <c r="Y23" s="4"/>
      <c r="Z23" s="4"/>
    </row>
    <row r="24" ht="14.25" customHeight="1">
      <c r="A24" s="22"/>
      <c r="H24" s="23"/>
      <c r="I24" s="4"/>
      <c r="J24" s="4"/>
      <c r="K24" s="4"/>
      <c r="L24" s="4"/>
      <c r="M24" s="4"/>
      <c r="N24" s="4"/>
      <c r="O24" s="4"/>
      <c r="P24" s="4"/>
      <c r="Q24" s="4"/>
      <c r="R24" s="4"/>
      <c r="S24" s="4"/>
      <c r="T24" s="4"/>
      <c r="U24" s="4"/>
      <c r="V24" s="4"/>
      <c r="W24" s="4"/>
      <c r="X24" s="4"/>
      <c r="Y24" s="4"/>
      <c r="Z24" s="4"/>
    </row>
    <row r="25" ht="14.25" customHeight="1">
      <c r="A25" s="22"/>
      <c r="H25" s="23"/>
      <c r="I25" s="4"/>
      <c r="J25" s="4"/>
      <c r="K25" s="4"/>
      <c r="L25" s="4"/>
      <c r="M25" s="4"/>
      <c r="N25" s="4"/>
      <c r="O25" s="4"/>
      <c r="P25" s="4"/>
      <c r="Q25" s="4"/>
      <c r="R25" s="4"/>
      <c r="S25" s="4"/>
      <c r="T25" s="4"/>
      <c r="U25" s="4"/>
      <c r="V25" s="4"/>
      <c r="W25" s="4"/>
      <c r="X25" s="4"/>
      <c r="Y25" s="4"/>
      <c r="Z25" s="4"/>
    </row>
    <row r="26" ht="14.25" customHeight="1">
      <c r="A26" s="22"/>
      <c r="H26" s="23"/>
      <c r="I26" s="4"/>
      <c r="J26" s="4"/>
      <c r="K26" s="4"/>
      <c r="L26" s="4"/>
      <c r="M26" s="4"/>
      <c r="N26" s="4"/>
      <c r="O26" s="4"/>
      <c r="P26" s="4"/>
      <c r="Q26" s="4"/>
      <c r="R26" s="4"/>
      <c r="S26" s="4"/>
      <c r="T26" s="4"/>
      <c r="U26" s="4"/>
      <c r="V26" s="4"/>
      <c r="W26" s="4"/>
      <c r="X26" s="4"/>
      <c r="Y26" s="4"/>
      <c r="Z26" s="4"/>
    </row>
    <row r="27" ht="14.25" customHeight="1">
      <c r="A27" s="24"/>
      <c r="B27" s="25"/>
      <c r="C27" s="25"/>
      <c r="D27" s="25"/>
      <c r="E27" s="25"/>
      <c r="F27" s="25"/>
      <c r="G27" s="25"/>
      <c r="H27" s="26"/>
      <c r="I27" s="4"/>
      <c r="J27" s="4"/>
      <c r="K27" s="4"/>
      <c r="L27" s="4"/>
      <c r="M27" s="4"/>
      <c r="N27" s="4"/>
      <c r="O27" s="4"/>
      <c r="P27" s="4"/>
      <c r="Q27" s="4"/>
      <c r="R27" s="4"/>
      <c r="S27" s="4"/>
      <c r="T27" s="4"/>
      <c r="U27" s="4"/>
      <c r="V27" s="4"/>
      <c r="W27" s="4"/>
      <c r="X27" s="4"/>
      <c r="Y27" s="4"/>
      <c r="Z27" s="4"/>
    </row>
    <row r="28" ht="14.25" customHeight="1">
      <c r="A28" s="1" t="s">
        <v>448</v>
      </c>
      <c r="B28" s="2"/>
      <c r="C28" s="2"/>
      <c r="D28" s="2"/>
      <c r="E28" s="2"/>
      <c r="F28" s="2"/>
      <c r="G28" s="3"/>
      <c r="H28" s="7" t="str">
        <f>IF(COUNTIF(H29, "="&amp;IncompleteText), IncompleteText, IF(COUNTIF(H29, "="&amp;ErrorText), ErrorText, OKText))</f>
        <v>BLANK</v>
      </c>
      <c r="I28" s="4"/>
      <c r="J28" s="4"/>
      <c r="K28" s="4"/>
      <c r="L28" s="4"/>
      <c r="M28" s="4"/>
      <c r="N28" s="4"/>
      <c r="O28" s="4"/>
      <c r="P28" s="4"/>
      <c r="Q28" s="4"/>
      <c r="R28" s="4"/>
      <c r="S28" s="4"/>
      <c r="T28" s="4"/>
      <c r="U28" s="4"/>
      <c r="V28" s="4"/>
      <c r="W28" s="4"/>
      <c r="X28" s="4"/>
      <c r="Y28" s="4"/>
      <c r="Z28" s="4"/>
    </row>
    <row r="29" ht="14.25" customHeight="1">
      <c r="A29" s="8" t="s">
        <v>449</v>
      </c>
      <c r="F29" s="23"/>
      <c r="G29" s="57"/>
      <c r="H29" s="7" t="str">
        <f>IF(ISBLANK(G29),IncompleteText, IF(G29, OKText, ErrorText))</f>
        <v>BLANK</v>
      </c>
      <c r="I29" s="4"/>
      <c r="J29" s="4"/>
      <c r="K29" s="4"/>
      <c r="L29" s="4"/>
      <c r="M29" s="4"/>
      <c r="N29" s="4"/>
      <c r="O29" s="4"/>
      <c r="P29" s="4"/>
      <c r="Q29" s="4"/>
      <c r="R29" s="4"/>
      <c r="S29" s="4"/>
      <c r="T29" s="4"/>
      <c r="U29" s="4"/>
      <c r="V29" s="4"/>
      <c r="W29" s="4"/>
      <c r="X29" s="4"/>
      <c r="Y29" s="4"/>
      <c r="Z29" s="4"/>
    </row>
    <row r="30" ht="14.25" customHeight="1">
      <c r="A30" s="1" t="s">
        <v>20</v>
      </c>
      <c r="B30" s="2"/>
      <c r="C30" s="2"/>
      <c r="D30" s="2"/>
      <c r="E30" s="2"/>
      <c r="F30" s="2"/>
      <c r="G30" s="3"/>
      <c r="H30" s="4"/>
      <c r="I30" s="4"/>
      <c r="J30" s="4"/>
      <c r="K30" s="4"/>
      <c r="L30" s="4"/>
      <c r="M30" s="4"/>
      <c r="N30" s="4"/>
      <c r="O30" s="4"/>
      <c r="P30" s="4"/>
      <c r="Q30" s="4"/>
      <c r="R30" s="4"/>
      <c r="S30" s="4"/>
      <c r="T30" s="4"/>
      <c r="U30" s="4"/>
      <c r="V30" s="4"/>
      <c r="W30" s="4"/>
      <c r="X30" s="4"/>
      <c r="Y30" s="4"/>
      <c r="Z30" s="4"/>
    </row>
    <row r="31" ht="14.25" customHeight="1">
      <c r="A31" s="167"/>
      <c r="B31" s="168"/>
      <c r="C31" s="168"/>
      <c r="D31" s="168"/>
      <c r="E31" s="168"/>
      <c r="F31" s="168"/>
      <c r="G31" s="169"/>
      <c r="H31" s="4"/>
      <c r="I31" s="4"/>
      <c r="J31" s="4"/>
      <c r="K31" s="4"/>
      <c r="L31" s="4"/>
      <c r="M31" s="4"/>
      <c r="N31" s="4"/>
      <c r="O31" s="4"/>
      <c r="P31" s="4"/>
      <c r="Q31" s="4"/>
      <c r="R31" s="4"/>
      <c r="S31" s="4"/>
      <c r="T31" s="4"/>
      <c r="U31" s="4"/>
      <c r="V31" s="4"/>
      <c r="W31" s="4"/>
      <c r="X31" s="4"/>
      <c r="Y31" s="4"/>
      <c r="Z31" s="4"/>
    </row>
    <row r="32" ht="14.25" customHeight="1">
      <c r="A32" s="22"/>
      <c r="G32" s="98"/>
      <c r="H32" s="4"/>
      <c r="I32" s="4"/>
      <c r="J32" s="4"/>
      <c r="K32" s="4"/>
      <c r="L32" s="4"/>
      <c r="M32" s="4"/>
      <c r="N32" s="4"/>
      <c r="O32" s="4"/>
      <c r="P32" s="4"/>
      <c r="Q32" s="4"/>
      <c r="R32" s="4"/>
      <c r="S32" s="4"/>
      <c r="T32" s="4"/>
      <c r="U32" s="4"/>
      <c r="V32" s="4"/>
      <c r="W32" s="4"/>
      <c r="X32" s="4"/>
      <c r="Y32" s="4"/>
      <c r="Z32" s="4"/>
    </row>
    <row r="33" ht="14.25" customHeight="1">
      <c r="A33" s="22"/>
      <c r="G33" s="98"/>
      <c r="H33" s="4"/>
      <c r="I33" s="4"/>
      <c r="J33" s="4"/>
      <c r="K33" s="4"/>
      <c r="L33" s="4"/>
      <c r="M33" s="4"/>
      <c r="N33" s="4"/>
      <c r="O33" s="4"/>
      <c r="P33" s="4"/>
      <c r="Q33" s="4"/>
      <c r="R33" s="4"/>
      <c r="S33" s="4"/>
      <c r="T33" s="4"/>
      <c r="U33" s="4"/>
      <c r="V33" s="4"/>
      <c r="W33" s="4"/>
      <c r="X33" s="4"/>
      <c r="Y33" s="4"/>
      <c r="Z33" s="4"/>
    </row>
    <row r="34" ht="14.25" customHeight="1">
      <c r="A34" s="170"/>
      <c r="B34" s="100"/>
      <c r="C34" s="100"/>
      <c r="D34" s="100"/>
      <c r="E34" s="100"/>
      <c r="F34" s="100"/>
      <c r="G34" s="101"/>
      <c r="H34" s="4"/>
      <c r="I34" s="4"/>
      <c r="J34" s="4"/>
      <c r="K34" s="4"/>
      <c r="L34" s="4"/>
      <c r="M34" s="4"/>
      <c r="N34" s="4"/>
      <c r="O34" s="4"/>
      <c r="P34" s="4"/>
      <c r="Q34" s="4"/>
      <c r="R34" s="4"/>
      <c r="S34" s="4"/>
      <c r="T34" s="4"/>
      <c r="U34" s="4"/>
      <c r="V34" s="4"/>
      <c r="W34" s="4"/>
      <c r="X34" s="4"/>
      <c r="Y34" s="4"/>
      <c r="Z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3">
    <mergeCell ref="G3:I3"/>
    <mergeCell ref="G4:I4"/>
    <mergeCell ref="G5:I5"/>
    <mergeCell ref="J5:K5"/>
    <mergeCell ref="A2:E2"/>
    <mergeCell ref="G2:K2"/>
    <mergeCell ref="A3:C3"/>
    <mergeCell ref="D3:E3"/>
    <mergeCell ref="J3:K3"/>
    <mergeCell ref="D4:E4"/>
    <mergeCell ref="J4:K4"/>
    <mergeCell ref="A9:H27"/>
    <mergeCell ref="A28:G28"/>
    <mergeCell ref="A29:F29"/>
    <mergeCell ref="A30:G30"/>
    <mergeCell ref="A31:G34"/>
    <mergeCell ref="A4:C4"/>
    <mergeCell ref="A5:C5"/>
    <mergeCell ref="D5:E5"/>
    <mergeCell ref="A6:C7"/>
    <mergeCell ref="D6:D7"/>
    <mergeCell ref="E6:E7"/>
    <mergeCell ref="F6:F7"/>
  </mergeCells>
  <conditionalFormatting sqref="H29">
    <cfRule type="expression" dxfId="0" priority="1">
      <formula>$D$59 = "Team Designed"</formula>
    </cfRule>
  </conditionalFormatting>
  <dataValidations>
    <dataValidation type="list" allowBlank="1" showErrorMessage="1" sqref="G29">
      <formula1>"TRUE,FALSE"</formula1>
    </dataValidation>
  </dataValidations>
  <hyperlinks>
    <hyperlink r:id="rId1" ref="D5"/>
    <hyperlink r:id="rId2" ref="J5"/>
  </hyperlinks>
  <printOptions/>
  <pageMargins bottom="0.75" footer="0.0" header="0.0" left="0.7" right="0.7" top="0.75"/>
  <pageSetup orientation="portrait"/>
  <headerFooter>
    <oddFooter>&amp;R#FF0000Public</oddFooter>
  </headerFooter>
  <drawing r:id="rId3"/>
</worksheet>
</file>