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iz\Dropbox\SLU SPRING 2023\BUSINESS STRATEGY AND ENTERPRISE SYSTEMS\"/>
    </mc:Choice>
  </mc:AlternateContent>
  <xr:revisionPtr revIDLastSave="0" documentId="8_{2324C2EE-C6AA-4ED1-89C6-FF095F3EA964}" xr6:coauthVersionLast="47" xr6:coauthVersionMax="47" xr10:uidLastSave="{00000000-0000-0000-0000-000000000000}"/>
  <bookViews>
    <workbookView xWindow="-110" yWindow="-110" windowWidth="22620" windowHeight="13500" activeTab="4" xr2:uid="{00000000-000D-0000-FFFF-FFFF00000000}"/>
  </bookViews>
  <sheets>
    <sheet name="Income Statement" sheetId="1" r:id="rId1"/>
    <sheet name="Balance Sheet" sheetId="2" r:id="rId2"/>
    <sheet name="PRODUCT ROADMAPS" sheetId="3" r:id="rId3"/>
    <sheet name="MARKET DATA" sheetId="4" r:id="rId4"/>
    <sheet name="Analysi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5" l="1"/>
  <c r="D5" i="5"/>
  <c r="D4" i="5"/>
  <c r="C4" i="5"/>
  <c r="C5" i="5" s="1"/>
  <c r="B4" i="5"/>
  <c r="B5" i="5" s="1"/>
  <c r="M3" i="5"/>
  <c r="L3" i="5"/>
  <c r="I3" i="5"/>
  <c r="H3" i="5"/>
  <c r="D3" i="5"/>
  <c r="C3" i="5"/>
  <c r="B3" i="5"/>
  <c r="D32" i="4"/>
  <c r="D14" i="4"/>
  <c r="F12" i="4"/>
  <c r="I11" i="4"/>
  <c r="F11" i="4"/>
  <c r="I10" i="4"/>
  <c r="F10" i="4"/>
  <c r="I9" i="4"/>
  <c r="F9" i="4"/>
  <c r="I8" i="4"/>
  <c r="F8" i="4"/>
  <c r="I7" i="4"/>
  <c r="F7" i="4"/>
  <c r="I6" i="4"/>
  <c r="F6" i="4"/>
  <c r="I5" i="4"/>
  <c r="F5" i="4"/>
  <c r="I4" i="4"/>
  <c r="T3" i="4"/>
  <c r="S3" i="4"/>
  <c r="R3" i="4"/>
  <c r="Q3" i="4"/>
  <c r="P3" i="4"/>
  <c r="O3" i="4"/>
  <c r="N3" i="4"/>
  <c r="M3" i="4"/>
  <c r="L3" i="4"/>
  <c r="I3" i="4"/>
  <c r="F3" i="4"/>
  <c r="F13" i="4" s="1"/>
  <c r="M16" i="3"/>
  <c r="N15" i="3"/>
  <c r="M15" i="3"/>
  <c r="N14" i="3"/>
  <c r="M14" i="3"/>
  <c r="N13" i="3"/>
  <c r="M13" i="3"/>
  <c r="M16" i="2"/>
  <c r="P16" i="2" s="1"/>
  <c r="L16" i="2"/>
  <c r="L13" i="2" s="1"/>
  <c r="K16" i="2"/>
  <c r="N14" i="2" s="1"/>
  <c r="L15" i="2"/>
  <c r="K15" i="2"/>
  <c r="M15" i="2" s="1"/>
  <c r="P15" i="2" s="1"/>
  <c r="L14" i="2"/>
  <c r="K14" i="2"/>
  <c r="M14" i="2" s="1"/>
  <c r="P14" i="2" s="1"/>
  <c r="L12" i="2"/>
  <c r="L11" i="2"/>
  <c r="K11" i="2"/>
  <c r="M11" i="2" s="1"/>
  <c r="P11" i="2" s="1"/>
  <c r="L10" i="2"/>
  <c r="K10" i="2"/>
  <c r="N10" i="2" s="1"/>
  <c r="G7" i="2"/>
  <c r="G3" i="1"/>
  <c r="F14" i="4" l="1"/>
  <c r="I12" i="4"/>
  <c r="N15" i="2"/>
  <c r="N11" i="2"/>
  <c r="K12" i="2"/>
  <c r="M12" i="2" s="1"/>
  <c r="P12" i="2" s="1"/>
  <c r="N16" i="2"/>
  <c r="K13" i="2"/>
  <c r="M13" i="2" s="1"/>
  <c r="P13" i="2" s="1"/>
  <c r="N12" i="2"/>
  <c r="L9" i="2"/>
  <c r="K9" i="2" s="1"/>
  <c r="N13" i="2"/>
  <c r="M10" i="2"/>
  <c r="P10" i="2" s="1"/>
  <c r="M9" i="2" l="1"/>
  <c r="P9" i="2" s="1"/>
  <c r="N9" i="2"/>
</calcChain>
</file>

<file path=xl/sharedStrings.xml><?xml version="1.0" encoding="utf-8"?>
<sst xmlns="http://schemas.openxmlformats.org/spreadsheetml/2006/main" count="234" uniqueCount="118">
  <si>
    <t>Profit and Loss Statement</t>
  </si>
  <si>
    <t>Period Ending:</t>
  </si>
  <si>
    <t>Total Revenue</t>
  </si>
  <si>
    <t>Cost of Revenue</t>
  </si>
  <si>
    <t>Gross Profit</t>
  </si>
  <si>
    <t>Operating Expenses</t>
  </si>
  <si>
    <t>=</t>
  </si>
  <si>
    <t>Research and Development</t>
  </si>
  <si>
    <t>Sales, General and Admin.</t>
  </si>
  <si>
    <t>Non-Recurring Items</t>
  </si>
  <si>
    <t>Other Operating Items</t>
  </si>
  <si>
    <t>Operating Income</t>
  </si>
  <si>
    <t>Add'l income/expense items</t>
  </si>
  <si>
    <t>Earnings Before Interest and Tax</t>
  </si>
  <si>
    <t>Service level</t>
  </si>
  <si>
    <t>Total inventory</t>
  </si>
  <si>
    <t>Interest Expense</t>
  </si>
  <si>
    <t>Earnings Before Tax</t>
  </si>
  <si>
    <t>Income Tax</t>
  </si>
  <si>
    <t>Minority Interest</t>
  </si>
  <si>
    <t>Equity Earnings/Loss Unconsolidated Subsidiary</t>
  </si>
  <si>
    <t>Net Income</t>
  </si>
  <si>
    <t>Balance Sheet</t>
  </si>
  <si>
    <t>Current Assets</t>
  </si>
  <si>
    <t>Cash and Cash Equivalents</t>
  </si>
  <si>
    <t>Short-Term Investments</t>
  </si>
  <si>
    <t>Net Receivables</t>
  </si>
  <si>
    <t>Inventory</t>
  </si>
  <si>
    <t>Other Current Assets</t>
  </si>
  <si>
    <t>Z</t>
  </si>
  <si>
    <t>Safety Stock</t>
  </si>
  <si>
    <t>Reduction in Tot In</t>
  </si>
  <si>
    <t>$ Reduction</t>
  </si>
  <si>
    <t>Inventory turnover</t>
  </si>
  <si>
    <t>Total Current Assets</t>
  </si>
  <si>
    <t>Long-Term Assets</t>
  </si>
  <si>
    <t>Long-Term Investments</t>
  </si>
  <si>
    <t>Fixed Assets</t>
  </si>
  <si>
    <t>Goodwill</t>
  </si>
  <si>
    <t>Intangible Assets</t>
  </si>
  <si>
    <t>Other Assets</t>
  </si>
  <si>
    <t>Deferred Asset Charges</t>
  </si>
  <si>
    <t>Total Assets</t>
  </si>
  <si>
    <t>Current Liabilities</t>
  </si>
  <si>
    <t>Accounts Payable</t>
  </si>
  <si>
    <t>Short-Term Debt / Current Portion of Long- Term Debt</t>
  </si>
  <si>
    <t>Other Current Liabilities</t>
  </si>
  <si>
    <t>Reduction in Total Inventory</t>
  </si>
  <si>
    <t>Total Current Liabilities</t>
  </si>
  <si>
    <t>Long-Term Debt</t>
  </si>
  <si>
    <t>Other Liabilities</t>
  </si>
  <si>
    <t>Deferred Liability Charges</t>
  </si>
  <si>
    <t>Misc. Stocks</t>
  </si>
  <si>
    <t>Total Liabilities</t>
  </si>
  <si>
    <t>Stockholders’ Equity</t>
  </si>
  <si>
    <t>Common Stocks</t>
  </si>
  <si>
    <t>Capital Surplus</t>
  </si>
  <si>
    <t>Retained Earnings</t>
  </si>
  <si>
    <t>Treasury Stock</t>
  </si>
  <si>
    <t>Other Equity</t>
  </si>
  <si>
    <t>Total Equity</t>
  </si>
  <si>
    <t>Total Liabilities &amp; Equity</t>
  </si>
  <si>
    <t>ACTUAL - FC</t>
  </si>
  <si>
    <t>Product</t>
  </si>
  <si>
    <t>Unit Sales</t>
  </si>
  <si>
    <t>HFCe2-6300</t>
  </si>
  <si>
    <t>-</t>
  </si>
  <si>
    <t>HFCe2-7300</t>
  </si>
  <si>
    <t>HFCe2-8300</t>
  </si>
  <si>
    <t>2022 MARKET ANALYSIS DATA</t>
  </si>
  <si>
    <t>Company</t>
  </si>
  <si>
    <t>Total Annual Revenue</t>
  </si>
  <si>
    <t>Annual Revenue (Nd &amp; Tb)</t>
  </si>
  <si>
    <t>Market Share Combined (Nd &amp; Tb)</t>
  </si>
  <si>
    <t>Capacity Utilization (Nd &amp; Tb)</t>
  </si>
  <si>
    <t>XYZ</t>
  </si>
  <si>
    <t>ABC</t>
  </si>
  <si>
    <t>454</t>
  </si>
  <si>
    <t>DE</t>
  </si>
  <si>
    <t>678</t>
  </si>
  <si>
    <t>FGH</t>
  </si>
  <si>
    <t>910</t>
  </si>
  <si>
    <t>IJKL</t>
  </si>
  <si>
    <t>OTHERS</t>
  </si>
  <si>
    <t>UNMET</t>
  </si>
  <si>
    <t>$21 B</t>
  </si>
  <si>
    <t>$1.7 B</t>
  </si>
  <si>
    <t>123</t>
  </si>
  <si>
    <t>$45 B</t>
  </si>
  <si>
    <t>$1.6 B</t>
  </si>
  <si>
    <t>$2 B</t>
  </si>
  <si>
    <t>$975 M</t>
  </si>
  <si>
    <t>$11 B</t>
  </si>
  <si>
    <t>$780 M</t>
  </si>
  <si>
    <t>$3 B</t>
  </si>
  <si>
    <t>$520 M</t>
  </si>
  <si>
    <t>$18 B</t>
  </si>
  <si>
    <t>$390 M</t>
  </si>
  <si>
    <t>$7 B</t>
  </si>
  <si>
    <t>$260 M</t>
  </si>
  <si>
    <t>$15 B</t>
  </si>
  <si>
    <t>$130 M</t>
  </si>
  <si>
    <t>$1 B</t>
  </si>
  <si>
    <t>$65 M</t>
  </si>
  <si>
    <t>OTHER</t>
  </si>
  <si>
    <t>Efficiency Ratios</t>
  </si>
  <si>
    <t>BLDP</t>
  </si>
  <si>
    <t>PLUG</t>
  </si>
  <si>
    <t>Assets turnover</t>
  </si>
  <si>
    <t>Inventory days</t>
  </si>
  <si>
    <t>BLDP - Ballard Power Systems Inc</t>
  </si>
  <si>
    <t>PLUG - Plug Power Inc</t>
  </si>
  <si>
    <t>Westport Fuel Systems's inventory turnover peaked in December 2019 at 5.1x.</t>
  </si>
  <si>
    <t>Westport Fuel Systems's operated at median inventory turnover of 4.3x from fiscal years ending December 2017 to 2021.</t>
  </si>
  <si>
    <t>Westport Fuel Systems's latest twelve months inventory turnover is 3.3x.</t>
  </si>
  <si>
    <t>Bloom Energy Corp (BE)</t>
  </si>
  <si>
    <t>Last 12 month</t>
  </si>
  <si>
    <t>Industry inventory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</si>
</sst>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66" formatCode="0.0"/>
  </numFmts>
  <fonts count="18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5"/>
      <name val="Arial"/>
      <scheme val="minor"/>
    </font>
    <font>
      <sz val="10"/>
      <color theme="1"/>
      <name val="Arial"/>
    </font>
    <font>
      <sz val="10"/>
      <color theme="1"/>
      <name val="TimesNewRomanPSMT"/>
    </font>
    <font>
      <b/>
      <sz val="10"/>
      <color rgb="FFFFFFFF"/>
      <name val="Arial"/>
    </font>
    <font>
      <sz val="10"/>
      <color rgb="FF000000"/>
      <name val="Arial"/>
    </font>
    <font>
      <b/>
      <sz val="9"/>
      <color theme="1"/>
      <name val="TimesNewRomanPS"/>
    </font>
    <font>
      <b/>
      <sz val="17"/>
      <color theme="1"/>
      <name val="TimesNewRomanPS"/>
    </font>
    <font>
      <sz val="10"/>
      <name val="Arial"/>
    </font>
    <font>
      <b/>
      <sz val="13"/>
      <color theme="1"/>
      <name val="Calibri"/>
    </font>
    <font>
      <b/>
      <sz val="13"/>
      <color theme="1"/>
      <name val="TimesNewRomanPS"/>
    </font>
    <font>
      <b/>
      <sz val="13"/>
      <color theme="1"/>
      <name val="Arial"/>
    </font>
    <font>
      <b/>
      <sz val="10"/>
      <color theme="2"/>
      <name val="Arial"/>
      <family val="2"/>
      <scheme val="minor"/>
    </font>
    <font>
      <b/>
      <sz val="9"/>
      <color theme="2"/>
      <name val="TimesNewRomanPS"/>
    </font>
    <font>
      <sz val="10"/>
      <color theme="2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FFFFFF"/>
      </patternFill>
    </fill>
    <fill>
      <patternFill patternType="solid">
        <fgColor theme="4" tint="-0.499984740745262"/>
        <bgColor rgb="FFC9DAF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2" fillId="3" borderId="1" xfId="0" applyFont="1" applyFill="1" applyBorder="1"/>
    <xf numFmtId="164" fontId="2" fillId="0" borderId="1" xfId="0" applyNumberFormat="1" applyFont="1" applyBorder="1"/>
    <xf numFmtId="164" fontId="2" fillId="0" borderId="0" xfId="0" applyNumberFormat="1" applyFont="1"/>
    <xf numFmtId="0" fontId="3" fillId="3" borderId="1" xfId="0" applyFont="1" applyFill="1" applyBorder="1"/>
    <xf numFmtId="164" fontId="2" fillId="0" borderId="1" xfId="0" quotePrefix="1" applyNumberFormat="1" applyFont="1" applyBorder="1"/>
    <xf numFmtId="164" fontId="4" fillId="0" borderId="1" xfId="0" applyNumberFormat="1" applyFont="1" applyBorder="1"/>
    <xf numFmtId="0" fontId="2" fillId="0" borderId="0" xfId="0" applyFont="1"/>
    <xf numFmtId="0" fontId="3" fillId="0" borderId="1" xfId="0" applyFont="1" applyBorder="1"/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0" fontId="1" fillId="0" borderId="0" xfId="0" applyFont="1"/>
    <xf numFmtId="164" fontId="6" fillId="4" borderId="1" xfId="0" applyNumberFormat="1" applyFont="1" applyFill="1" applyBorder="1"/>
    <xf numFmtId="164" fontId="6" fillId="0" borderId="1" xfId="0" applyNumberFormat="1" applyFont="1" applyBorder="1"/>
    <xf numFmtId="3" fontId="6" fillId="0" borderId="1" xfId="0" applyNumberFormat="1" applyFont="1" applyBorder="1"/>
    <xf numFmtId="10" fontId="2" fillId="0" borderId="1" xfId="0" applyNumberFormat="1" applyFont="1" applyBorder="1"/>
    <xf numFmtId="2" fontId="2" fillId="0" borderId="0" xfId="0" applyNumberFormat="1" applyFont="1"/>
    <xf numFmtId="0" fontId="2" fillId="0" borderId="1" xfId="0" applyFont="1" applyBorder="1" applyAlignment="1">
      <alignment wrapText="1"/>
    </xf>
    <xf numFmtId="0" fontId="7" fillId="5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64" fontId="8" fillId="0" borderId="4" xfId="0" applyNumberFormat="1" applyFont="1" applyBorder="1" applyAlignment="1">
      <alignment horizontal="right"/>
    </xf>
    <xf numFmtId="10" fontId="8" fillId="0" borderId="4" xfId="0" applyNumberFormat="1" applyFont="1" applyBorder="1" applyAlignment="1">
      <alignment horizontal="center"/>
    </xf>
    <xf numFmtId="0" fontId="9" fillId="4" borderId="1" xfId="0" applyFont="1" applyFill="1" applyBorder="1"/>
    <xf numFmtId="3" fontId="9" fillId="4" borderId="1" xfId="0" applyNumberFormat="1" applyFont="1" applyFill="1" applyBorder="1"/>
    <xf numFmtId="3" fontId="2" fillId="0" borderId="0" xfId="0" applyNumberFormat="1" applyFont="1"/>
    <xf numFmtId="0" fontId="12" fillId="4" borderId="1" xfId="0" applyFont="1" applyFill="1" applyBorder="1" applyAlignment="1">
      <alignment wrapText="1"/>
    </xf>
    <xf numFmtId="0" fontId="13" fillId="4" borderId="1" xfId="0" applyFont="1" applyFill="1" applyBorder="1"/>
    <xf numFmtId="0" fontId="14" fillId="4" borderId="1" xfId="0" quotePrefix="1" applyFont="1" applyFill="1" applyBorder="1"/>
    <xf numFmtId="0" fontId="14" fillId="4" borderId="1" xfId="0" applyFont="1" applyFill="1" applyBorder="1"/>
    <xf numFmtId="10" fontId="13" fillId="4" borderId="1" xfId="0" applyNumberFormat="1" applyFont="1" applyFill="1" applyBorder="1"/>
    <xf numFmtId="10" fontId="2" fillId="0" borderId="0" xfId="0" applyNumberFormat="1" applyFont="1"/>
    <xf numFmtId="2" fontId="2" fillId="0" borderId="1" xfId="0" applyNumberFormat="1" applyFont="1" applyBorder="1"/>
    <xf numFmtId="166" fontId="2" fillId="0" borderId="1" xfId="0" applyNumberFormat="1" applyFont="1" applyBorder="1"/>
    <xf numFmtId="0" fontId="10" fillId="4" borderId="5" xfId="0" applyFont="1" applyFill="1" applyBorder="1"/>
    <xf numFmtId="0" fontId="11" fillId="0" borderId="6" xfId="0" applyFont="1" applyBorder="1"/>
    <xf numFmtId="0" fontId="11" fillId="0" borderId="2" xfId="0" applyFont="1" applyBorder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 applyBorder="1"/>
    <xf numFmtId="164" fontId="2" fillId="0" borderId="5" xfId="0" applyNumberFormat="1" applyFont="1" applyBorder="1"/>
    <xf numFmtId="0" fontId="2" fillId="0" borderId="7" xfId="0" applyFont="1" applyBorder="1"/>
    <xf numFmtId="0" fontId="15" fillId="6" borderId="1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7" fillId="6" borderId="1" xfId="0" applyFont="1" applyFill="1" applyBorder="1"/>
    <xf numFmtId="0" fontId="17" fillId="6" borderId="0" xfId="0" applyFont="1" applyFill="1"/>
    <xf numFmtId="0" fontId="15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'Balance Sheet'!$N$8</c:f>
              <c:strCache>
                <c:ptCount val="1"/>
                <c:pt idx="0">
                  <c:v>$ Reduction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'Balance Sheet'!$I$9:$I$16</c:f>
              <c:numCache>
                <c:formatCode>General</c:formatCode>
                <c:ptCount val="8"/>
                <c:pt idx="0">
                  <c:v>50</c:v>
                </c:pt>
                <c:pt idx="1">
                  <c:v>84</c:v>
                </c:pt>
                <c:pt idx="2">
                  <c:v>90</c:v>
                </c:pt>
                <c:pt idx="3">
                  <c:v>95</c:v>
                </c:pt>
                <c:pt idx="4">
                  <c:v>97.5</c:v>
                </c:pt>
                <c:pt idx="5">
                  <c:v>99</c:v>
                </c:pt>
                <c:pt idx="6">
                  <c:v>99.5</c:v>
                </c:pt>
                <c:pt idx="7">
                  <c:v>99.99</c:v>
                </c:pt>
              </c:numCache>
            </c:numRef>
          </c:cat>
          <c:val>
            <c:numRef>
              <c:f>'Balance Sheet'!$N$9:$N$16</c:f>
              <c:numCache>
                <c:formatCode>"$"#,##0.00</c:formatCode>
                <c:ptCount val="8"/>
                <c:pt idx="0">
                  <c:v>710100</c:v>
                </c:pt>
                <c:pt idx="1">
                  <c:v>532575</c:v>
                </c:pt>
                <c:pt idx="2">
                  <c:v>479317.5</c:v>
                </c:pt>
                <c:pt idx="3">
                  <c:v>426060</c:v>
                </c:pt>
                <c:pt idx="4">
                  <c:v>355050</c:v>
                </c:pt>
                <c:pt idx="5">
                  <c:v>301792.5</c:v>
                </c:pt>
                <c:pt idx="6">
                  <c:v>248535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15-4EE9-973E-3D46F2A3B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16165"/>
        <c:axId val="1884740282"/>
      </c:lineChart>
      <c:catAx>
        <c:axId val="58216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84740282"/>
        <c:crosses val="autoZero"/>
        <c:auto val="1"/>
        <c:lblAlgn val="ctr"/>
        <c:lblOffset val="100"/>
        <c:noMultiLvlLbl val="1"/>
      </c:catAx>
      <c:valAx>
        <c:axId val="18847402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821616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990000"/>
              </a:solidFill>
            </c:spPr>
            <c:extLst>
              <c:ext xmlns:c16="http://schemas.microsoft.com/office/drawing/2014/chart" uri="{C3380CC4-5D6E-409C-BE32-E72D297353CC}">
                <c16:uniqueId val="{00000001-82D4-4334-B98C-8E80A1D5ABDC}"/>
              </c:ext>
            </c:extLst>
          </c:dPt>
          <c:cat>
            <c:strRef>
              <c:f>'MARKET DATA'!$L$2:$U$2</c:f>
              <c:strCache>
                <c:ptCount val="10"/>
                <c:pt idx="0">
                  <c:v>XYZ</c:v>
                </c:pt>
                <c:pt idx="1">
                  <c:v>ABC</c:v>
                </c:pt>
                <c:pt idx="2">
                  <c:v>454</c:v>
                </c:pt>
                <c:pt idx="3">
                  <c:v>DE</c:v>
                </c:pt>
                <c:pt idx="4">
                  <c:v>678</c:v>
                </c:pt>
                <c:pt idx="5">
                  <c:v>FGH</c:v>
                </c:pt>
                <c:pt idx="6">
                  <c:v>910</c:v>
                </c:pt>
                <c:pt idx="7">
                  <c:v>IJKL</c:v>
                </c:pt>
                <c:pt idx="8">
                  <c:v>OTHERS</c:v>
                </c:pt>
                <c:pt idx="9">
                  <c:v>UNMET</c:v>
                </c:pt>
              </c:strCache>
            </c:strRef>
          </c:cat>
          <c:val>
            <c:numRef>
              <c:f>'MARKET DATA'!$L$3:$U$3</c:f>
              <c:numCache>
                <c:formatCode>0.00%</c:formatCode>
                <c:ptCount val="10"/>
                <c:pt idx="0">
                  <c:v>5.7017543859649168E-2</c:v>
                </c:pt>
                <c:pt idx="1">
                  <c:v>6.9444444444444586E-2</c:v>
                </c:pt>
                <c:pt idx="2">
                  <c:v>8.8235294117647092E-2</c:v>
                </c:pt>
                <c:pt idx="3">
                  <c:v>3.7037037037037049E-2</c:v>
                </c:pt>
                <c:pt idx="4">
                  <c:v>2.777777777777779E-2</c:v>
                </c:pt>
                <c:pt idx="5">
                  <c:v>2.4904214559386961E-2</c:v>
                </c:pt>
                <c:pt idx="6">
                  <c:v>6.8181818181818329E-2</c:v>
                </c:pt>
                <c:pt idx="7">
                  <c:v>2.777777777777779E-2</c:v>
                </c:pt>
                <c:pt idx="8">
                  <c:v>8.3333333333333343E-2</c:v>
                </c:pt>
                <c:pt idx="9">
                  <c:v>0.51629075891112819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D4-4334-B98C-8E80A1D5A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552450</xdr:colOff>
      <xdr:row>31</xdr:row>
      <xdr:rowOff>104775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825500</xdr:colOff>
      <xdr:row>6</xdr:row>
      <xdr:rowOff>146050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8"/>
  <sheetViews>
    <sheetView workbookViewId="0">
      <selection activeCell="G20" sqref="G20"/>
    </sheetView>
  </sheetViews>
  <sheetFormatPr defaultColWidth="12.6328125" defaultRowHeight="15.75" customHeight="1"/>
  <cols>
    <col min="1" max="1" width="36.90625" customWidth="1"/>
  </cols>
  <sheetData>
    <row r="1" spans="1:18">
      <c r="A1" s="1" t="s">
        <v>0</v>
      </c>
      <c r="B1" s="2"/>
      <c r="C1" s="2"/>
      <c r="D1" s="2"/>
      <c r="E1" s="2"/>
    </row>
    <row r="2" spans="1:18">
      <c r="A2" s="3" t="s">
        <v>1</v>
      </c>
      <c r="B2" s="3">
        <v>2022</v>
      </c>
      <c r="C2" s="3">
        <v>2021</v>
      </c>
      <c r="D2" s="3">
        <v>2020</v>
      </c>
      <c r="E2" s="3">
        <v>2019</v>
      </c>
    </row>
    <row r="3" spans="1:18" ht="15.75" customHeight="1">
      <c r="A3" s="4" t="s">
        <v>2</v>
      </c>
      <c r="B3" s="5">
        <v>8498000</v>
      </c>
      <c r="C3" s="5">
        <v>7055000</v>
      </c>
      <c r="D3" s="5">
        <v>7160000</v>
      </c>
      <c r="E3" s="5">
        <v>7057000</v>
      </c>
      <c r="G3" s="6">
        <f>AVERAGE(B3:E3)</f>
        <v>7442500</v>
      </c>
    </row>
    <row r="4" spans="1:18" ht="15.75" customHeight="1">
      <c r="A4" s="4" t="s">
        <v>3</v>
      </c>
      <c r="B4" s="5">
        <v>6281000</v>
      </c>
      <c r="C4" s="5">
        <v>5445000</v>
      </c>
      <c r="D4" s="5">
        <v>5551000</v>
      </c>
      <c r="E4" s="5">
        <v>5425000</v>
      </c>
    </row>
    <row r="5" spans="1:18">
      <c r="A5" s="7" t="s">
        <v>4</v>
      </c>
      <c r="B5" s="5">
        <v>2217000</v>
      </c>
      <c r="C5" s="5">
        <v>1610000</v>
      </c>
      <c r="D5" s="5">
        <v>1609000</v>
      </c>
      <c r="E5" s="5">
        <v>1632000</v>
      </c>
    </row>
    <row r="6" spans="1:18" ht="15.75" customHeight="1">
      <c r="A6" s="4" t="s">
        <v>5</v>
      </c>
      <c r="B6" s="8" t="s">
        <v>6</v>
      </c>
      <c r="C6" s="5"/>
      <c r="D6" s="5"/>
      <c r="E6" s="5"/>
    </row>
    <row r="7" spans="1:18" ht="15.75" customHeight="1">
      <c r="A7" s="4" t="s">
        <v>7</v>
      </c>
      <c r="B7" s="5">
        <v>91000</v>
      </c>
      <c r="C7" s="5">
        <v>82000</v>
      </c>
      <c r="D7" s="5">
        <v>87000</v>
      </c>
      <c r="E7" s="5">
        <v>89000</v>
      </c>
    </row>
    <row r="8" spans="1:18" ht="15.75" customHeight="1">
      <c r="A8" s="4" t="s">
        <v>8</v>
      </c>
      <c r="B8" s="5">
        <v>688000</v>
      </c>
      <c r="C8" s="5">
        <v>722000</v>
      </c>
      <c r="D8" s="5">
        <v>735000</v>
      </c>
      <c r="E8" s="5">
        <v>736000</v>
      </c>
    </row>
    <row r="9" spans="1:18" ht="15.75" customHeight="1">
      <c r="A9" s="4" t="s">
        <v>9</v>
      </c>
      <c r="B9" s="5">
        <v>0</v>
      </c>
      <c r="C9" s="5">
        <v>944000</v>
      </c>
      <c r="D9" s="5">
        <v>0</v>
      </c>
      <c r="E9" s="5">
        <v>0</v>
      </c>
    </row>
    <row r="10" spans="1:18" ht="15.75" customHeight="1">
      <c r="A10" s="4" t="s">
        <v>10</v>
      </c>
      <c r="B10" s="5">
        <v>0</v>
      </c>
      <c r="C10" s="5">
        <v>0</v>
      </c>
      <c r="D10" s="5">
        <v>0</v>
      </c>
      <c r="E10" s="5">
        <v>0</v>
      </c>
    </row>
    <row r="11" spans="1:18">
      <c r="A11" s="7" t="s">
        <v>11</v>
      </c>
      <c r="B11" s="5">
        <v>1438000</v>
      </c>
      <c r="C11" s="9">
        <v>-138000</v>
      </c>
      <c r="D11" s="5">
        <v>787000</v>
      </c>
      <c r="E11" s="5">
        <v>807000</v>
      </c>
      <c r="G11" s="10"/>
      <c r="H11" s="10"/>
      <c r="I11" s="10"/>
      <c r="M11" s="43"/>
      <c r="N11" s="43"/>
      <c r="O11" s="43"/>
      <c r="P11" s="43"/>
      <c r="Q11" s="43"/>
      <c r="R11" s="43"/>
    </row>
    <row r="12" spans="1:18" ht="15.75" customHeight="1">
      <c r="A12" s="4" t="s">
        <v>12</v>
      </c>
      <c r="B12" s="5">
        <v>1000</v>
      </c>
      <c r="C12" s="5">
        <v>14000</v>
      </c>
      <c r="D12" s="9">
        <v>-66000</v>
      </c>
      <c r="E12" s="5">
        <v>14000</v>
      </c>
      <c r="H12" s="6"/>
      <c r="I12" s="10"/>
      <c r="M12" s="43"/>
      <c r="N12" s="43"/>
      <c r="O12" s="43"/>
      <c r="P12" s="43"/>
      <c r="Q12" s="43"/>
      <c r="R12" s="43"/>
    </row>
    <row r="13" spans="1:18">
      <c r="A13" s="4" t="s">
        <v>13</v>
      </c>
      <c r="B13" s="5">
        <v>1448000</v>
      </c>
      <c r="C13" s="9">
        <v>-124000</v>
      </c>
      <c r="D13" s="5">
        <v>753000</v>
      </c>
      <c r="E13" s="5">
        <v>821000</v>
      </c>
      <c r="H13" s="6"/>
      <c r="I13" s="10"/>
      <c r="M13" s="44"/>
      <c r="N13" s="44"/>
      <c r="O13" s="44"/>
      <c r="P13" s="44"/>
      <c r="Q13" s="43"/>
      <c r="R13" s="45"/>
    </row>
    <row r="14" spans="1:18" ht="15.75" customHeight="1">
      <c r="A14" s="4" t="s">
        <v>16</v>
      </c>
      <c r="B14" s="5">
        <v>126000</v>
      </c>
      <c r="C14" s="5">
        <v>132000</v>
      </c>
      <c r="D14" s="5">
        <v>131000</v>
      </c>
      <c r="E14" s="5">
        <v>117000</v>
      </c>
      <c r="M14" s="45"/>
      <c r="N14" s="46"/>
      <c r="O14" s="46"/>
      <c r="P14" s="46"/>
      <c r="Q14" s="43"/>
      <c r="R14" s="45"/>
    </row>
    <row r="15" spans="1:18" ht="15.75" customHeight="1">
      <c r="A15" s="4" t="s">
        <v>17</v>
      </c>
      <c r="B15" s="5">
        <v>1313000</v>
      </c>
      <c r="C15" s="9">
        <v>-256000</v>
      </c>
      <c r="D15" s="5">
        <v>590000</v>
      </c>
      <c r="E15" s="5">
        <v>704000</v>
      </c>
      <c r="G15" s="10"/>
      <c r="J15" s="12"/>
      <c r="M15" s="45"/>
      <c r="N15" s="46"/>
      <c r="O15" s="46"/>
      <c r="P15" s="46"/>
      <c r="Q15" s="43"/>
      <c r="R15" s="43"/>
    </row>
    <row r="16" spans="1:18">
      <c r="A16" s="4" t="s">
        <v>18</v>
      </c>
      <c r="B16" s="5">
        <v>319000</v>
      </c>
      <c r="C16" s="5">
        <v>129000</v>
      </c>
      <c r="D16" s="5">
        <v>186000</v>
      </c>
      <c r="E16" s="5">
        <v>156000</v>
      </c>
      <c r="G16" s="10"/>
      <c r="H16" s="10"/>
      <c r="J16" s="13"/>
      <c r="M16" s="45"/>
      <c r="N16" s="46"/>
      <c r="O16" s="46"/>
      <c r="P16" s="46"/>
      <c r="Q16" s="43"/>
      <c r="R16" s="43"/>
    </row>
    <row r="17" spans="1:18" ht="15.75" customHeight="1">
      <c r="A17" s="4" t="s">
        <v>19</v>
      </c>
      <c r="B17" s="5">
        <v>1000</v>
      </c>
      <c r="C17" s="5">
        <v>0</v>
      </c>
      <c r="D17" s="5">
        <v>1000</v>
      </c>
      <c r="E17" s="9">
        <v>-1000</v>
      </c>
      <c r="G17" s="6"/>
      <c r="H17" s="10"/>
      <c r="J17" s="10"/>
      <c r="M17" s="45"/>
      <c r="N17" s="46"/>
      <c r="O17" s="46"/>
      <c r="P17" s="46"/>
      <c r="Q17" s="43"/>
      <c r="R17" s="43"/>
    </row>
    <row r="18" spans="1:18" ht="15.75" customHeight="1">
      <c r="A18" s="4" t="s">
        <v>20</v>
      </c>
      <c r="B18" s="5">
        <v>0</v>
      </c>
      <c r="C18" s="5">
        <v>2000</v>
      </c>
      <c r="D18" s="5">
        <v>0</v>
      </c>
      <c r="E18" s="9">
        <v>-2000</v>
      </c>
      <c r="G18" s="10"/>
      <c r="H18" s="6"/>
      <c r="J18" s="12"/>
    </row>
    <row r="19" spans="1:18">
      <c r="A19" s="7" t="s">
        <v>21</v>
      </c>
      <c r="B19" s="5">
        <v>995000</v>
      </c>
      <c r="C19" s="9">
        <v>-383000</v>
      </c>
      <c r="D19" s="5">
        <v>405000</v>
      </c>
      <c r="E19" s="5">
        <v>545000</v>
      </c>
      <c r="J19" s="12"/>
    </row>
    <row r="20" spans="1:18" ht="15.75" customHeight="1">
      <c r="G20" s="10"/>
      <c r="J20" s="12"/>
    </row>
    <row r="21" spans="1:18">
      <c r="G21" s="10"/>
      <c r="H21" s="6"/>
      <c r="J21" s="14"/>
    </row>
    <row r="22" spans="1:18">
      <c r="J22" s="15"/>
    </row>
    <row r="23" spans="1:18" ht="15.75" customHeight="1">
      <c r="G23" s="10"/>
      <c r="J23" s="12"/>
    </row>
    <row r="24" spans="1:18">
      <c r="G24" s="10"/>
      <c r="H24" s="6"/>
      <c r="J24" s="14"/>
    </row>
    <row r="27" spans="1:18" ht="15.75" customHeight="1">
      <c r="G27" s="10"/>
      <c r="J27" s="12"/>
    </row>
    <row r="28" spans="1:18">
      <c r="G28" s="10"/>
      <c r="H28" s="6"/>
      <c r="J2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36"/>
  <sheetViews>
    <sheetView zoomScale="55" zoomScaleNormal="55" workbookViewId="0">
      <selection activeCell="P18" sqref="P18"/>
    </sheetView>
  </sheetViews>
  <sheetFormatPr defaultColWidth="12.6328125" defaultRowHeight="15.75" customHeight="1"/>
  <cols>
    <col min="1" max="1" width="22.36328125" customWidth="1"/>
    <col min="2" max="2" width="14.81640625" customWidth="1"/>
    <col min="3" max="3" width="15.6328125" customWidth="1"/>
    <col min="4" max="4" width="15.36328125" customWidth="1"/>
    <col min="5" max="5" width="13.81640625" customWidth="1"/>
    <col min="10" max="10" width="10.6328125" customWidth="1"/>
    <col min="13" max="13" width="16.08984375" customWidth="1"/>
    <col min="15" max="15" width="14.36328125" customWidth="1"/>
  </cols>
  <sheetData>
    <row r="1" spans="1:16">
      <c r="A1" s="16" t="s">
        <v>22</v>
      </c>
    </row>
    <row r="2" spans="1:16">
      <c r="A2" s="3" t="s">
        <v>1</v>
      </c>
      <c r="B2" s="3">
        <v>2022</v>
      </c>
      <c r="C2" s="3">
        <v>2021</v>
      </c>
      <c r="D2" s="3">
        <v>2020</v>
      </c>
      <c r="E2" s="3">
        <v>2019</v>
      </c>
    </row>
    <row r="3" spans="1:16">
      <c r="A3" s="11" t="s">
        <v>23</v>
      </c>
      <c r="B3" s="5"/>
      <c r="C3" s="5"/>
      <c r="D3" s="5"/>
      <c r="E3" s="5"/>
    </row>
    <row r="4" spans="1:16" ht="15.75" customHeight="1">
      <c r="A4" s="2" t="s">
        <v>24</v>
      </c>
      <c r="B4" s="5">
        <v>959000</v>
      </c>
      <c r="C4" s="5">
        <v>717000</v>
      </c>
      <c r="D4" s="5">
        <v>172000</v>
      </c>
      <c r="E4" s="5">
        <v>78000</v>
      </c>
    </row>
    <row r="5" spans="1:16" ht="15.75" customHeight="1">
      <c r="A5" s="2" t="s">
        <v>25</v>
      </c>
      <c r="B5" s="5">
        <v>0</v>
      </c>
      <c r="C5" s="5">
        <v>0</v>
      </c>
      <c r="D5" s="5">
        <v>0</v>
      </c>
      <c r="E5" s="5">
        <v>0</v>
      </c>
    </row>
    <row r="6" spans="1:16" ht="15.75" customHeight="1">
      <c r="A6" s="2" t="s">
        <v>26</v>
      </c>
      <c r="B6" s="5">
        <v>439000</v>
      </c>
      <c r="C6" s="5">
        <v>419000</v>
      </c>
      <c r="D6" s="5">
        <v>270000</v>
      </c>
      <c r="E6" s="5">
        <v>294000</v>
      </c>
    </row>
    <row r="7" spans="1:16">
      <c r="A7" s="2" t="s">
        <v>27</v>
      </c>
      <c r="B7" s="5">
        <v>1578000</v>
      </c>
      <c r="C7" s="5">
        <v>1355000</v>
      </c>
      <c r="D7" s="17">
        <v>1533000</v>
      </c>
      <c r="E7" s="17">
        <v>1572000</v>
      </c>
      <c r="G7" s="6">
        <f>AVERAGE(B7:E7)</f>
        <v>1509500</v>
      </c>
    </row>
    <row r="8" spans="1:16" ht="13">
      <c r="A8" s="2" t="s">
        <v>28</v>
      </c>
      <c r="B8" s="18">
        <v>121000</v>
      </c>
      <c r="C8" s="18">
        <v>115000</v>
      </c>
      <c r="D8" s="18">
        <v>86000</v>
      </c>
      <c r="E8" s="18">
        <v>76000</v>
      </c>
      <c r="I8" s="49" t="s">
        <v>14</v>
      </c>
      <c r="J8" s="49" t="s">
        <v>29</v>
      </c>
      <c r="K8" s="49" t="s">
        <v>15</v>
      </c>
      <c r="L8" s="49" t="s">
        <v>30</v>
      </c>
      <c r="M8" s="49" t="s">
        <v>31</v>
      </c>
      <c r="N8" s="50" t="s">
        <v>32</v>
      </c>
      <c r="O8" s="51" t="s">
        <v>33</v>
      </c>
      <c r="P8" s="51"/>
    </row>
    <row r="9" spans="1:16">
      <c r="A9" s="19" t="s">
        <v>34</v>
      </c>
      <c r="B9" s="5">
        <v>3097000</v>
      </c>
      <c r="C9" s="5">
        <v>2606000</v>
      </c>
      <c r="D9" s="5">
        <v>2061000</v>
      </c>
      <c r="E9" s="5">
        <v>2020000</v>
      </c>
      <c r="I9" s="2">
        <v>50</v>
      </c>
      <c r="J9" s="52">
        <v>0</v>
      </c>
      <c r="K9" s="5">
        <f t="shared" ref="K9:K15" si="0">$K$16-$L$16+L9</f>
        <v>867900</v>
      </c>
      <c r="L9" s="5">
        <f t="shared" ref="L9:L15" si="1">$L$16/$J$16*J9</f>
        <v>0</v>
      </c>
      <c r="M9" s="53">
        <f t="shared" ref="M9:M16" si="2">1-K9/$K$16</f>
        <v>0.44999999999999996</v>
      </c>
      <c r="N9" s="47">
        <f t="shared" ref="N9:N16" si="3">$K$16-K9</f>
        <v>710100</v>
      </c>
      <c r="O9" s="54">
        <v>7.7872485509717002</v>
      </c>
      <c r="P9" s="48">
        <f t="shared" ref="P9:P16" si="4">$O$16/(1-M9)</f>
        <v>7.7872485509717002</v>
      </c>
    </row>
    <row r="10" spans="1:16" ht="15.75" customHeight="1">
      <c r="A10" s="2" t="s">
        <v>35</v>
      </c>
      <c r="B10" s="5">
        <v>0</v>
      </c>
      <c r="C10" s="5">
        <v>0</v>
      </c>
      <c r="D10" s="5">
        <v>0</v>
      </c>
      <c r="E10" s="5">
        <v>0</v>
      </c>
      <c r="I10" s="2">
        <v>84</v>
      </c>
      <c r="J10" s="52">
        <v>1</v>
      </c>
      <c r="K10" s="5">
        <f t="shared" si="0"/>
        <v>1045425</v>
      </c>
      <c r="L10" s="5">
        <f t="shared" si="1"/>
        <v>177525</v>
      </c>
      <c r="M10" s="53">
        <f t="shared" si="2"/>
        <v>0.33750000000000002</v>
      </c>
      <c r="N10" s="47">
        <f t="shared" si="3"/>
        <v>532575</v>
      </c>
      <c r="O10" s="54">
        <v>6.4648855894859407</v>
      </c>
      <c r="P10" s="48">
        <f t="shared" si="4"/>
        <v>6.4648855894859407</v>
      </c>
    </row>
    <row r="11" spans="1:16" ht="15.75" customHeight="1">
      <c r="A11" s="2" t="s">
        <v>36</v>
      </c>
      <c r="B11" s="5">
        <v>0</v>
      </c>
      <c r="C11" s="5">
        <v>0</v>
      </c>
      <c r="D11" s="5">
        <v>0</v>
      </c>
      <c r="E11" s="5">
        <v>0</v>
      </c>
      <c r="I11" s="2">
        <v>90</v>
      </c>
      <c r="J11" s="52">
        <v>1.3</v>
      </c>
      <c r="K11" s="5">
        <f t="shared" si="0"/>
        <v>1098682.5</v>
      </c>
      <c r="L11" s="5">
        <f t="shared" si="1"/>
        <v>230782.5</v>
      </c>
      <c r="M11" s="53">
        <f t="shared" si="2"/>
        <v>0.30374999999999996</v>
      </c>
      <c r="N11" s="47">
        <f t="shared" si="3"/>
        <v>479317.5</v>
      </c>
      <c r="O11" s="54">
        <v>6.1515069343403015</v>
      </c>
      <c r="P11" s="48">
        <f t="shared" si="4"/>
        <v>6.1515069343403015</v>
      </c>
    </row>
    <row r="12" spans="1:16" ht="15.75" customHeight="1">
      <c r="A12" s="2" t="s">
        <v>37</v>
      </c>
      <c r="B12" s="5">
        <v>4031000</v>
      </c>
      <c r="C12" s="5">
        <v>3963000</v>
      </c>
      <c r="D12" s="5">
        <v>4058000</v>
      </c>
      <c r="E12" s="5">
        <v>3811000</v>
      </c>
      <c r="I12" s="2">
        <v>95</v>
      </c>
      <c r="J12" s="52">
        <v>1.6</v>
      </c>
      <c r="K12" s="5">
        <f t="shared" si="0"/>
        <v>1151940</v>
      </c>
      <c r="L12" s="5">
        <f t="shared" si="1"/>
        <v>284040</v>
      </c>
      <c r="M12" s="53">
        <f t="shared" si="2"/>
        <v>0.27</v>
      </c>
      <c r="N12" s="47">
        <f t="shared" si="3"/>
        <v>426060</v>
      </c>
      <c r="O12" s="54">
        <v>5.8671050726499114</v>
      </c>
      <c r="P12" s="48">
        <f t="shared" si="4"/>
        <v>5.8671050726499114</v>
      </c>
    </row>
    <row r="13" spans="1:16" ht="15.75" customHeight="1">
      <c r="A13" s="2" t="s">
        <v>38</v>
      </c>
      <c r="B13" s="5">
        <v>990000</v>
      </c>
      <c r="C13" s="5">
        <v>989000</v>
      </c>
      <c r="D13" s="5">
        <v>1932000</v>
      </c>
      <c r="E13" s="5">
        <v>1949000</v>
      </c>
      <c r="I13" s="2">
        <v>97.5</v>
      </c>
      <c r="J13" s="52">
        <v>2</v>
      </c>
      <c r="K13" s="5">
        <f t="shared" si="0"/>
        <v>1222950</v>
      </c>
      <c r="L13" s="5">
        <f t="shared" si="1"/>
        <v>355050</v>
      </c>
      <c r="M13" s="53">
        <f t="shared" si="2"/>
        <v>0.22499999999999998</v>
      </c>
      <c r="N13" s="47">
        <f t="shared" si="3"/>
        <v>355050</v>
      </c>
      <c r="O13" s="54">
        <v>5.5264344555283031</v>
      </c>
      <c r="P13" s="48">
        <f t="shared" si="4"/>
        <v>5.5264344555283031</v>
      </c>
    </row>
    <row r="14" spans="1:16" ht="15.75" customHeight="1">
      <c r="A14" s="2" t="s">
        <v>39</v>
      </c>
      <c r="B14" s="5">
        <v>1617000</v>
      </c>
      <c r="C14" s="5">
        <v>1667000</v>
      </c>
      <c r="D14" s="5">
        <v>1721000</v>
      </c>
      <c r="E14" s="5">
        <v>1779000</v>
      </c>
      <c r="I14" s="2">
        <v>99</v>
      </c>
      <c r="J14" s="52">
        <v>2.2999999999999998</v>
      </c>
      <c r="K14" s="5">
        <f t="shared" si="0"/>
        <v>1276207.5</v>
      </c>
      <c r="L14" s="5">
        <f t="shared" si="1"/>
        <v>408307.49999999994</v>
      </c>
      <c r="M14" s="53">
        <f t="shared" si="2"/>
        <v>0.19125000000000003</v>
      </c>
      <c r="N14" s="47">
        <f t="shared" si="3"/>
        <v>301792.5</v>
      </c>
      <c r="O14" s="54">
        <v>5.2958104519745728</v>
      </c>
      <c r="P14" s="48">
        <f t="shared" si="4"/>
        <v>5.2958104519745728</v>
      </c>
    </row>
    <row r="15" spans="1:16" ht="15.75" customHeight="1">
      <c r="A15" s="2" t="s">
        <v>40</v>
      </c>
      <c r="B15" s="5">
        <v>249000</v>
      </c>
      <c r="C15" s="5">
        <v>228000</v>
      </c>
      <c r="D15" s="5">
        <v>188000</v>
      </c>
      <c r="E15" s="5">
        <v>169000</v>
      </c>
      <c r="I15" s="2">
        <v>99.5</v>
      </c>
      <c r="J15" s="52">
        <v>2.6</v>
      </c>
      <c r="K15" s="5">
        <f t="shared" si="0"/>
        <v>1329465</v>
      </c>
      <c r="L15" s="5">
        <f t="shared" si="1"/>
        <v>461565</v>
      </c>
      <c r="M15" s="53">
        <f t="shared" si="2"/>
        <v>0.15749999999999997</v>
      </c>
      <c r="N15" s="47">
        <f t="shared" si="3"/>
        <v>248535</v>
      </c>
      <c r="O15" s="54">
        <v>5.0836637424741067</v>
      </c>
      <c r="P15" s="48">
        <f t="shared" si="4"/>
        <v>5.0836637424741067</v>
      </c>
    </row>
    <row r="16" spans="1:16" ht="15.75" customHeight="1">
      <c r="A16" s="2" t="s">
        <v>41</v>
      </c>
      <c r="B16" s="5">
        <v>31000</v>
      </c>
      <c r="C16" s="5">
        <v>28000</v>
      </c>
      <c r="D16" s="5">
        <v>46000</v>
      </c>
      <c r="E16" s="5">
        <v>43000</v>
      </c>
      <c r="I16" s="2">
        <v>99.99</v>
      </c>
      <c r="J16" s="52">
        <v>4</v>
      </c>
      <c r="K16" s="5">
        <f>B7</f>
        <v>1578000</v>
      </c>
      <c r="L16" s="5">
        <f>K16*0.45</f>
        <v>710100</v>
      </c>
      <c r="M16" s="53">
        <f t="shared" si="2"/>
        <v>0</v>
      </c>
      <c r="N16" s="47">
        <f t="shared" si="3"/>
        <v>0</v>
      </c>
      <c r="O16" s="54">
        <v>4.2829867030344353</v>
      </c>
      <c r="P16" s="48">
        <f t="shared" si="4"/>
        <v>4.2829867030344353</v>
      </c>
    </row>
    <row r="17" spans="1:14" ht="15.75" customHeight="1">
      <c r="A17" s="2" t="s">
        <v>42</v>
      </c>
      <c r="B17" s="5">
        <v>10015000</v>
      </c>
      <c r="C17" s="5">
        <v>9481000</v>
      </c>
      <c r="D17" s="5">
        <v>10006000</v>
      </c>
      <c r="E17" s="5">
        <v>9771000</v>
      </c>
    </row>
    <row r="18" spans="1:14">
      <c r="A18" s="11" t="s">
        <v>43</v>
      </c>
      <c r="B18" s="5"/>
      <c r="C18" s="5"/>
      <c r="D18" s="5"/>
      <c r="E18" s="5"/>
    </row>
    <row r="19" spans="1:14" ht="15.75" customHeight="1">
      <c r="A19" s="2" t="s">
        <v>44</v>
      </c>
      <c r="B19" s="5">
        <v>1095000</v>
      </c>
      <c r="C19" s="5">
        <v>875000</v>
      </c>
      <c r="D19" s="5">
        <v>0</v>
      </c>
      <c r="E19" s="5">
        <v>0</v>
      </c>
    </row>
    <row r="20" spans="1:14" ht="15.75" customHeight="1">
      <c r="A20" s="22" t="s">
        <v>45</v>
      </c>
      <c r="B20" s="5">
        <v>0</v>
      </c>
      <c r="C20" s="5">
        <v>0</v>
      </c>
      <c r="D20" s="5">
        <v>0</v>
      </c>
      <c r="E20" s="5">
        <v>0</v>
      </c>
      <c r="I20" s="6"/>
    </row>
    <row r="21" spans="1:14">
      <c r="A21" s="2" t="s">
        <v>46</v>
      </c>
      <c r="B21" s="5">
        <v>602000</v>
      </c>
      <c r="C21" s="5">
        <v>565000</v>
      </c>
      <c r="D21" s="5">
        <v>0</v>
      </c>
      <c r="E21" s="5">
        <v>0</v>
      </c>
      <c r="I21" s="23" t="s">
        <v>14</v>
      </c>
      <c r="J21" s="24" t="s">
        <v>29</v>
      </c>
      <c r="K21" s="24" t="s">
        <v>15</v>
      </c>
      <c r="L21" s="24" t="s">
        <v>30</v>
      </c>
      <c r="M21" s="24" t="s">
        <v>47</v>
      </c>
      <c r="N21" s="24" t="s">
        <v>32</v>
      </c>
    </row>
    <row r="22" spans="1:14" ht="15.75" customHeight="1">
      <c r="A22" s="2" t="s">
        <v>48</v>
      </c>
      <c r="B22" s="5">
        <v>1697000</v>
      </c>
      <c r="C22" s="5">
        <v>1440000</v>
      </c>
      <c r="D22" s="5">
        <v>1329000</v>
      </c>
      <c r="E22" s="5">
        <v>1278000</v>
      </c>
      <c r="I22" s="25">
        <v>50</v>
      </c>
      <c r="J22" s="26">
        <v>0</v>
      </c>
      <c r="K22" s="27">
        <v>867900</v>
      </c>
      <c r="L22" s="27">
        <v>0</v>
      </c>
      <c r="M22" s="28">
        <v>0.45</v>
      </c>
      <c r="N22" s="27">
        <v>710100</v>
      </c>
    </row>
    <row r="23" spans="1:14">
      <c r="A23" s="2" t="s">
        <v>49</v>
      </c>
      <c r="B23" s="5">
        <v>2960000</v>
      </c>
      <c r="C23" s="5">
        <v>3126000</v>
      </c>
      <c r="D23" s="5">
        <v>2986000</v>
      </c>
      <c r="E23" s="18">
        <v>3362000</v>
      </c>
      <c r="I23" s="25">
        <v>84</v>
      </c>
      <c r="J23" s="26">
        <v>1</v>
      </c>
      <c r="K23" s="27">
        <v>1045425</v>
      </c>
      <c r="L23" s="27">
        <v>177525</v>
      </c>
      <c r="M23" s="28">
        <v>0.33750000000000002</v>
      </c>
      <c r="N23" s="27">
        <v>532575</v>
      </c>
    </row>
    <row r="24" spans="1:14">
      <c r="A24" s="2" t="s">
        <v>50</v>
      </c>
      <c r="B24" s="18">
        <v>647000</v>
      </c>
      <c r="C24" s="5">
        <v>642000</v>
      </c>
      <c r="D24" s="18">
        <v>748000</v>
      </c>
      <c r="E24" s="18">
        <v>666000</v>
      </c>
      <c r="I24" s="25">
        <v>90</v>
      </c>
      <c r="J24" s="26">
        <v>1.3</v>
      </c>
      <c r="K24" s="27">
        <v>1098682.5</v>
      </c>
      <c r="L24" s="27">
        <v>230782.5</v>
      </c>
      <c r="M24" s="28">
        <v>0.30380000000000001</v>
      </c>
      <c r="N24" s="27">
        <v>479317.5</v>
      </c>
    </row>
    <row r="25" spans="1:14" ht="15.75" customHeight="1">
      <c r="A25" s="2" t="s">
        <v>51</v>
      </c>
      <c r="B25" s="5">
        <v>376000</v>
      </c>
      <c r="C25" s="5">
        <v>332000</v>
      </c>
      <c r="D25" s="5">
        <v>272000</v>
      </c>
      <c r="E25" s="5">
        <v>141000</v>
      </c>
      <c r="I25" s="25">
        <v>95</v>
      </c>
      <c r="J25" s="26">
        <v>1.6</v>
      </c>
      <c r="K25" s="27">
        <v>1151940</v>
      </c>
      <c r="L25" s="27">
        <v>284040</v>
      </c>
      <c r="M25" s="28">
        <v>0.27</v>
      </c>
      <c r="N25" s="27">
        <v>426060</v>
      </c>
    </row>
    <row r="26" spans="1:14" ht="15.75" customHeight="1">
      <c r="A26" s="2" t="s">
        <v>52</v>
      </c>
      <c r="B26" s="5">
        <v>39000</v>
      </c>
      <c r="C26" s="5">
        <v>40000</v>
      </c>
      <c r="D26" s="5">
        <v>40000</v>
      </c>
      <c r="E26" s="5">
        <v>41000</v>
      </c>
      <c r="I26" s="25">
        <v>97.5</v>
      </c>
      <c r="J26" s="26">
        <v>2</v>
      </c>
      <c r="K26" s="27">
        <v>1222950</v>
      </c>
      <c r="L26" s="27">
        <v>355050</v>
      </c>
      <c r="M26" s="28">
        <v>0.22500000000000001</v>
      </c>
      <c r="N26" s="27">
        <v>355050</v>
      </c>
    </row>
    <row r="27" spans="1:14" ht="15.75" customHeight="1">
      <c r="A27" s="2" t="s">
        <v>19</v>
      </c>
      <c r="B27" s="5">
        <v>0</v>
      </c>
      <c r="C27" s="5">
        <v>0</v>
      </c>
      <c r="D27" s="5">
        <v>0</v>
      </c>
      <c r="E27" s="5">
        <v>0</v>
      </c>
      <c r="I27" s="25">
        <v>99</v>
      </c>
      <c r="J27" s="26">
        <v>2.2999999999999998</v>
      </c>
      <c r="K27" s="27">
        <v>1276207.5</v>
      </c>
      <c r="L27" s="27">
        <v>408307.5</v>
      </c>
      <c r="M27" s="28">
        <v>0.1913</v>
      </c>
      <c r="N27" s="27">
        <v>301792.5</v>
      </c>
    </row>
    <row r="28" spans="1:14" ht="15.75" customHeight="1">
      <c r="A28" s="2" t="s">
        <v>53</v>
      </c>
      <c r="B28" s="5">
        <v>5719000</v>
      </c>
      <c r="C28" s="5">
        <v>5580000</v>
      </c>
      <c r="D28" s="5">
        <v>5375000</v>
      </c>
      <c r="E28" s="5">
        <v>5488000</v>
      </c>
      <c r="I28" s="25">
        <v>99.5</v>
      </c>
      <c r="J28" s="26">
        <v>2.6</v>
      </c>
      <c r="K28" s="27">
        <v>1329465</v>
      </c>
      <c r="L28" s="27">
        <v>461565</v>
      </c>
      <c r="M28" s="28">
        <v>0.1575</v>
      </c>
      <c r="N28" s="27">
        <v>248535</v>
      </c>
    </row>
    <row r="29" spans="1:14" ht="13">
      <c r="A29" s="11" t="s">
        <v>54</v>
      </c>
      <c r="B29" s="5"/>
      <c r="C29" s="5"/>
      <c r="D29" s="5"/>
      <c r="E29" s="5"/>
      <c r="I29" s="25">
        <v>99.99</v>
      </c>
      <c r="J29" s="26">
        <v>4</v>
      </c>
      <c r="K29" s="27">
        <v>1578000</v>
      </c>
      <c r="L29" s="27">
        <v>710100</v>
      </c>
      <c r="M29" s="28">
        <v>0</v>
      </c>
      <c r="N29" s="27">
        <v>0</v>
      </c>
    </row>
    <row r="30" spans="1:14" ht="13">
      <c r="A30" s="2" t="s">
        <v>55</v>
      </c>
      <c r="B30" s="5">
        <v>1000</v>
      </c>
      <c r="C30" s="18">
        <v>1000</v>
      </c>
      <c r="D30" s="18">
        <v>1000</v>
      </c>
      <c r="E30" s="18">
        <v>1000</v>
      </c>
    </row>
    <row r="31" spans="1:14" ht="12.5">
      <c r="A31" s="2" t="s">
        <v>56</v>
      </c>
      <c r="B31" s="5">
        <v>2706000</v>
      </c>
      <c r="C31" s="5">
        <v>1829000</v>
      </c>
      <c r="D31" s="5">
        <v>2319000</v>
      </c>
      <c r="E31" s="5">
        <v>2013000</v>
      </c>
    </row>
    <row r="32" spans="1:14" ht="12.5">
      <c r="A32" s="2" t="s">
        <v>57</v>
      </c>
      <c r="B32" s="9">
        <v>-1922000</v>
      </c>
      <c r="C32" s="9">
        <v>-1400000</v>
      </c>
      <c r="D32" s="9">
        <v>-1130000</v>
      </c>
      <c r="E32" s="9">
        <v>-1103000</v>
      </c>
    </row>
    <row r="33" spans="1:5" ht="12.5">
      <c r="A33" s="2" t="s">
        <v>58</v>
      </c>
      <c r="B33" s="5">
        <v>4092000</v>
      </c>
      <c r="C33" s="5">
        <v>4059000</v>
      </c>
      <c r="D33" s="5">
        <v>4051000</v>
      </c>
      <c r="E33" s="5">
        <v>4028000</v>
      </c>
    </row>
    <row r="34" spans="1:5" ht="12.5">
      <c r="A34" s="2" t="s">
        <v>59</v>
      </c>
      <c r="B34" s="9">
        <v>-581000</v>
      </c>
      <c r="C34" s="9">
        <v>-588000</v>
      </c>
      <c r="D34" s="9">
        <v>-610000</v>
      </c>
      <c r="E34" s="9">
        <v>-656000</v>
      </c>
    </row>
    <row r="35" spans="1:5" ht="12.5">
      <c r="A35" s="2" t="s">
        <v>60</v>
      </c>
      <c r="B35" s="5">
        <v>4296000</v>
      </c>
      <c r="C35" s="5">
        <v>3901000</v>
      </c>
      <c r="D35" s="5">
        <v>4631000</v>
      </c>
      <c r="E35" s="5">
        <v>4283000</v>
      </c>
    </row>
    <row r="36" spans="1:5" ht="13">
      <c r="A36" s="2" t="s">
        <v>61</v>
      </c>
      <c r="B36" s="5">
        <v>10015000</v>
      </c>
      <c r="C36" s="5">
        <v>9481000</v>
      </c>
      <c r="D36" s="18">
        <v>10006000</v>
      </c>
      <c r="E36" s="5">
        <v>9771000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6"/>
  <sheetViews>
    <sheetView zoomScale="85" zoomScaleNormal="85" workbookViewId="0">
      <selection activeCell="K22" sqref="K22"/>
    </sheetView>
  </sheetViews>
  <sheetFormatPr defaultColWidth="12.6328125" defaultRowHeight="15.75" customHeight="1"/>
  <sheetData>
    <row r="1" spans="1:14" ht="15.75" customHeight="1">
      <c r="A1" s="55" t="s">
        <v>62</v>
      </c>
      <c r="B1" s="55">
        <v>2015</v>
      </c>
      <c r="C1" s="55">
        <v>2016</v>
      </c>
      <c r="D1" s="55">
        <v>2017</v>
      </c>
      <c r="E1" s="55">
        <v>2018</v>
      </c>
      <c r="F1" s="55">
        <v>2019</v>
      </c>
      <c r="G1" s="55">
        <v>2020</v>
      </c>
      <c r="H1" s="55">
        <v>2021</v>
      </c>
      <c r="I1" s="55">
        <v>2022</v>
      </c>
      <c r="J1" s="55">
        <v>2023</v>
      </c>
      <c r="K1" s="55">
        <v>2024</v>
      </c>
      <c r="L1" s="55">
        <v>2025</v>
      </c>
    </row>
    <row r="2" spans="1:14" ht="15.75" customHeight="1">
      <c r="A2" s="55" t="s">
        <v>63</v>
      </c>
      <c r="B2" s="55" t="s">
        <v>64</v>
      </c>
      <c r="C2" s="55" t="s">
        <v>64</v>
      </c>
      <c r="D2" s="55" t="s">
        <v>64</v>
      </c>
      <c r="E2" s="55" t="s">
        <v>64</v>
      </c>
      <c r="F2" s="55" t="s">
        <v>64</v>
      </c>
      <c r="G2" s="55" t="s">
        <v>64</v>
      </c>
      <c r="H2" s="55" t="s">
        <v>64</v>
      </c>
      <c r="I2" s="55" t="s">
        <v>64</v>
      </c>
      <c r="J2" s="55" t="s">
        <v>64</v>
      </c>
      <c r="K2" s="55" t="s">
        <v>64</v>
      </c>
      <c r="L2" s="55" t="s">
        <v>64</v>
      </c>
    </row>
    <row r="3" spans="1:14" ht="15.75" customHeight="1">
      <c r="A3" s="29" t="s">
        <v>65</v>
      </c>
      <c r="B3" s="30">
        <v>50000</v>
      </c>
      <c r="C3" s="30">
        <v>250000</v>
      </c>
      <c r="D3" s="30">
        <v>400000</v>
      </c>
      <c r="E3" s="30">
        <v>650000</v>
      </c>
      <c r="F3" s="30">
        <v>700000</v>
      </c>
      <c r="G3" s="30">
        <v>700000</v>
      </c>
      <c r="H3" s="30">
        <v>720000</v>
      </c>
      <c r="I3" s="30">
        <v>900000</v>
      </c>
      <c r="J3" s="30">
        <v>750000</v>
      </c>
      <c r="K3" s="30">
        <v>500000</v>
      </c>
      <c r="L3" s="29" t="s">
        <v>66</v>
      </c>
    </row>
    <row r="4" spans="1:14" ht="15.75" customHeight="1">
      <c r="A4" s="29" t="s">
        <v>67</v>
      </c>
      <c r="B4" s="29" t="s">
        <v>66</v>
      </c>
      <c r="C4" s="29" t="s">
        <v>66</v>
      </c>
      <c r="D4" s="29" t="s">
        <v>66</v>
      </c>
      <c r="E4" s="29" t="s">
        <v>66</v>
      </c>
      <c r="F4" s="30">
        <v>100000</v>
      </c>
      <c r="G4" s="30">
        <v>250000</v>
      </c>
      <c r="H4" s="30">
        <v>400000</v>
      </c>
      <c r="I4" s="30">
        <v>700000</v>
      </c>
      <c r="J4" s="30">
        <v>800000</v>
      </c>
      <c r="K4" s="30">
        <v>1000000</v>
      </c>
      <c r="L4" s="30">
        <v>1500000</v>
      </c>
    </row>
    <row r="5" spans="1:14" ht="15.75" customHeight="1">
      <c r="A5" s="29" t="s">
        <v>68</v>
      </c>
      <c r="B5" s="29" t="s">
        <v>66</v>
      </c>
      <c r="C5" s="29" t="s">
        <v>66</v>
      </c>
      <c r="D5" s="29" t="s">
        <v>66</v>
      </c>
      <c r="E5" s="29" t="s">
        <v>66</v>
      </c>
      <c r="F5" s="29" t="s">
        <v>66</v>
      </c>
      <c r="G5" s="29" t="s">
        <v>66</v>
      </c>
      <c r="H5" s="29" t="s">
        <v>66</v>
      </c>
      <c r="I5" s="29" t="s">
        <v>66</v>
      </c>
      <c r="J5" s="29" t="s">
        <v>66</v>
      </c>
      <c r="K5" s="30">
        <v>100000</v>
      </c>
      <c r="L5" s="30">
        <v>500000</v>
      </c>
    </row>
    <row r="6" spans="1:14" ht="15.75" customHeight="1">
      <c r="A6" s="4"/>
      <c r="B6" s="30">
        <v>50000</v>
      </c>
      <c r="C6" s="30">
        <v>250000</v>
      </c>
      <c r="D6" s="30">
        <v>400000</v>
      </c>
      <c r="E6" s="30">
        <v>650000</v>
      </c>
      <c r="F6" s="30">
        <v>800000</v>
      </c>
      <c r="G6" s="30">
        <v>950000</v>
      </c>
      <c r="H6" s="30">
        <v>1120000</v>
      </c>
      <c r="I6" s="30">
        <v>1600000</v>
      </c>
      <c r="J6" s="30">
        <v>1550000</v>
      </c>
      <c r="K6" s="30">
        <v>1600000</v>
      </c>
      <c r="L6" s="30">
        <v>2000000</v>
      </c>
    </row>
    <row r="11" spans="1:14" ht="15.75" customHeight="1">
      <c r="A11" s="55" t="s">
        <v>62</v>
      </c>
      <c r="B11" s="55">
        <v>2015</v>
      </c>
      <c r="C11" s="55">
        <v>2016</v>
      </c>
      <c r="D11" s="55">
        <v>2017</v>
      </c>
      <c r="E11" s="55">
        <v>2018</v>
      </c>
      <c r="F11" s="55">
        <v>2019</v>
      </c>
      <c r="G11" s="55">
        <v>2020</v>
      </c>
      <c r="H11" s="55">
        <v>2021</v>
      </c>
      <c r="I11" s="55">
        <v>2022</v>
      </c>
      <c r="J11" s="55">
        <v>2023</v>
      </c>
      <c r="K11" s="55">
        <v>2024</v>
      </c>
      <c r="L11" s="55">
        <v>2025</v>
      </c>
    </row>
    <row r="12" spans="1:14" ht="15.75" customHeight="1">
      <c r="A12" s="29" t="s">
        <v>63</v>
      </c>
      <c r="B12" s="29" t="s">
        <v>64</v>
      </c>
      <c r="C12" s="29" t="s">
        <v>64</v>
      </c>
      <c r="D12" s="29" t="s">
        <v>64</v>
      </c>
      <c r="E12" s="29" t="s">
        <v>64</v>
      </c>
      <c r="F12" s="29" t="s">
        <v>64</v>
      </c>
      <c r="G12" s="29" t="s">
        <v>64</v>
      </c>
      <c r="H12" s="29" t="s">
        <v>64</v>
      </c>
      <c r="I12" s="29" t="s">
        <v>64</v>
      </c>
      <c r="J12" s="29" t="s">
        <v>64</v>
      </c>
      <c r="K12" s="29" t="s">
        <v>64</v>
      </c>
      <c r="L12" s="29" t="s">
        <v>64</v>
      </c>
    </row>
    <row r="13" spans="1:14" ht="15.75" customHeight="1">
      <c r="A13" s="29" t="s">
        <v>65</v>
      </c>
      <c r="B13" s="30">
        <v>50000</v>
      </c>
      <c r="C13" s="30">
        <v>250000</v>
      </c>
      <c r="D13" s="30">
        <v>400000</v>
      </c>
      <c r="E13" s="30">
        <v>650000</v>
      </c>
      <c r="F13" s="30">
        <v>700000</v>
      </c>
      <c r="G13" s="30">
        <v>700000</v>
      </c>
      <c r="H13" s="30">
        <v>720000</v>
      </c>
      <c r="I13" s="30">
        <v>900000</v>
      </c>
      <c r="J13" s="30">
        <v>750000</v>
      </c>
      <c r="K13" s="30">
        <v>500000</v>
      </c>
      <c r="L13" s="29" t="s">
        <v>66</v>
      </c>
      <c r="M13" s="31">
        <f t="shared" ref="M13:M14" si="0">AVERAGE(G13:I13)</f>
        <v>773333.33333333337</v>
      </c>
      <c r="N13" s="10">
        <f t="shared" ref="N13:N14" si="1">STDEV(G13:I13)</f>
        <v>110151.41094572222</v>
      </c>
    </row>
    <row r="14" spans="1:14" ht="15.75" customHeight="1">
      <c r="A14" s="29" t="s">
        <v>67</v>
      </c>
      <c r="B14" s="29" t="s">
        <v>66</v>
      </c>
      <c r="C14" s="29" t="s">
        <v>66</v>
      </c>
      <c r="D14" s="29" t="s">
        <v>66</v>
      </c>
      <c r="E14" s="29" t="s">
        <v>66</v>
      </c>
      <c r="F14" s="30">
        <v>100000</v>
      </c>
      <c r="G14" s="30">
        <v>250000</v>
      </c>
      <c r="H14" s="30">
        <v>400000</v>
      </c>
      <c r="I14" s="30">
        <v>700000</v>
      </c>
      <c r="J14" s="30">
        <v>800000</v>
      </c>
      <c r="K14" s="30">
        <v>1000000</v>
      </c>
      <c r="L14" s="30">
        <v>1500000</v>
      </c>
      <c r="M14" s="31">
        <f t="shared" si="0"/>
        <v>450000</v>
      </c>
      <c r="N14" s="10">
        <f t="shared" si="1"/>
        <v>229128.784747792</v>
      </c>
    </row>
    <row r="15" spans="1:14" ht="15.75" customHeight="1">
      <c r="A15" s="29" t="s">
        <v>68</v>
      </c>
      <c r="B15" s="29" t="s">
        <v>66</v>
      </c>
      <c r="C15" s="29" t="s">
        <v>66</v>
      </c>
      <c r="D15" s="29" t="s">
        <v>66</v>
      </c>
      <c r="E15" s="29" t="s">
        <v>66</v>
      </c>
      <c r="F15" s="29" t="s">
        <v>66</v>
      </c>
      <c r="G15" s="29" t="s">
        <v>66</v>
      </c>
      <c r="H15" s="29" t="s">
        <v>66</v>
      </c>
      <c r="I15" s="29" t="s">
        <v>66</v>
      </c>
      <c r="J15" s="29" t="s">
        <v>66</v>
      </c>
      <c r="K15" s="30">
        <v>100000</v>
      </c>
      <c r="L15" s="30">
        <v>500000</v>
      </c>
      <c r="M15" s="31">
        <f>AVERAGE(K15:L15)</f>
        <v>300000</v>
      </c>
      <c r="N15" s="10">
        <f>_xlfn.STDEV.S(K15:L15)</f>
        <v>282842.71247461904</v>
      </c>
    </row>
    <row r="16" spans="1:14" ht="15.75" customHeight="1">
      <c r="A16" s="4"/>
      <c r="B16" s="30">
        <v>50000</v>
      </c>
      <c r="C16" s="30">
        <v>250000</v>
      </c>
      <c r="D16" s="30">
        <v>400000</v>
      </c>
      <c r="E16" s="30">
        <v>650000</v>
      </c>
      <c r="F16" s="30">
        <v>800000</v>
      </c>
      <c r="G16" s="30">
        <v>950000</v>
      </c>
      <c r="H16" s="30">
        <v>1120000</v>
      </c>
      <c r="I16" s="30">
        <v>1600000</v>
      </c>
      <c r="J16" s="30">
        <v>1550000</v>
      </c>
      <c r="K16" s="30">
        <v>1600000</v>
      </c>
      <c r="L16" s="30">
        <v>2000000</v>
      </c>
      <c r="M16" s="31">
        <f>AVERAGE(G16:I16)</f>
        <v>1223333.3333333333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32"/>
  <sheetViews>
    <sheetView zoomScale="70" zoomScaleNormal="70" workbookViewId="0">
      <selection activeCell="I18" sqref="I18"/>
    </sheetView>
  </sheetViews>
  <sheetFormatPr defaultColWidth="12.6328125" defaultRowHeight="15.75" customHeight="1"/>
  <sheetData>
    <row r="1" spans="1:21" ht="15.75" customHeight="1">
      <c r="A1" s="40" t="s">
        <v>69</v>
      </c>
      <c r="B1" s="41"/>
      <c r="C1" s="41"/>
      <c r="D1" s="41"/>
      <c r="E1" s="42"/>
    </row>
    <row r="2" spans="1:21" ht="15.75" customHeight="1">
      <c r="A2" s="32" t="s">
        <v>70</v>
      </c>
      <c r="B2" s="32" t="s">
        <v>71</v>
      </c>
      <c r="C2" s="32" t="s">
        <v>72</v>
      </c>
      <c r="D2" s="32" t="s">
        <v>73</v>
      </c>
      <c r="E2" s="32" t="s">
        <v>74</v>
      </c>
      <c r="L2" s="33" t="s">
        <v>75</v>
      </c>
      <c r="M2" s="33" t="s">
        <v>76</v>
      </c>
      <c r="N2" s="34" t="s">
        <v>77</v>
      </c>
      <c r="O2" s="33" t="s">
        <v>78</v>
      </c>
      <c r="P2" s="34" t="s">
        <v>79</v>
      </c>
      <c r="Q2" s="33" t="s">
        <v>80</v>
      </c>
      <c r="R2" s="34" t="s">
        <v>81</v>
      </c>
      <c r="S2" s="33" t="s">
        <v>82</v>
      </c>
      <c r="T2" s="35" t="s">
        <v>83</v>
      </c>
      <c r="U2" s="2" t="s">
        <v>84</v>
      </c>
    </row>
    <row r="3" spans="1:21" ht="15.75" customHeight="1">
      <c r="A3" s="33" t="s">
        <v>75</v>
      </c>
      <c r="B3" s="33" t="s">
        <v>85</v>
      </c>
      <c r="C3" s="33" t="s">
        <v>86</v>
      </c>
      <c r="D3" s="36">
        <v>0.26</v>
      </c>
      <c r="E3" s="36">
        <v>0.95</v>
      </c>
      <c r="F3" s="37">
        <f>D3/E3*(1-E3)</f>
        <v>1.3684210526315802E-2</v>
      </c>
      <c r="H3" s="33" t="s">
        <v>75</v>
      </c>
      <c r="I3" s="20">
        <f>0.0136842105263158/0.24</f>
        <v>5.7017543859649168E-2</v>
      </c>
      <c r="L3" s="20">
        <f>0.0136842105263158/0.24</f>
        <v>5.7017543859649168E-2</v>
      </c>
      <c r="M3" s="20">
        <f>0.0166666666666667/0.24</f>
        <v>6.9444444444444586E-2</v>
      </c>
      <c r="N3" s="20">
        <f>0.0211764705882353/0.24</f>
        <v>8.8235294117647092E-2</v>
      </c>
      <c r="O3" s="20">
        <f>0.00888888888888889/0.24</f>
        <v>3.7037037037037049E-2</v>
      </c>
      <c r="P3" s="20">
        <f>0.00666666666666667/0.24</f>
        <v>2.777777777777779E-2</v>
      </c>
      <c r="Q3" s="20">
        <f>0.00597701149425287/0.24</f>
        <v>2.4904214559386961E-2</v>
      </c>
      <c r="R3" s="20">
        <f>0.0163636363636364/0.24</f>
        <v>6.8181818181818329E-2</v>
      </c>
      <c r="S3" s="20">
        <f>0.00666666666666667/0.24</f>
        <v>2.777777777777779E-2</v>
      </c>
      <c r="T3" s="20">
        <f>0.02/0.24</f>
        <v>8.3333333333333343E-2</v>
      </c>
      <c r="U3" s="37">
        <v>0.51629075891112819</v>
      </c>
    </row>
    <row r="4" spans="1:21" ht="15.75" customHeight="1">
      <c r="A4" s="34" t="s">
        <v>87</v>
      </c>
      <c r="B4" s="33" t="s">
        <v>88</v>
      </c>
      <c r="C4" s="33" t="s">
        <v>89</v>
      </c>
      <c r="D4" s="36">
        <v>0.24</v>
      </c>
      <c r="E4" s="36">
        <v>0.95</v>
      </c>
      <c r="F4" s="37"/>
      <c r="H4" s="33" t="s">
        <v>76</v>
      </c>
      <c r="I4" s="20">
        <f>0.0166666666666667/0.24</f>
        <v>6.9444444444444586E-2</v>
      </c>
    </row>
    <row r="5" spans="1:21" ht="15.75" customHeight="1">
      <c r="A5" s="33" t="s">
        <v>76</v>
      </c>
      <c r="B5" s="33" t="s">
        <v>90</v>
      </c>
      <c r="C5" s="33" t="s">
        <v>91</v>
      </c>
      <c r="D5" s="36">
        <v>0.15</v>
      </c>
      <c r="E5" s="36">
        <v>0.9</v>
      </c>
      <c r="F5" s="37">
        <f t="shared" ref="F5:F12" si="0">D5/E5*(1-E5)</f>
        <v>1.6666666666666663E-2</v>
      </c>
      <c r="H5" s="34" t="s">
        <v>77</v>
      </c>
      <c r="I5" s="20">
        <f>0.0211764705882353/0.24</f>
        <v>8.8235294117647092E-2</v>
      </c>
    </row>
    <row r="6" spans="1:21" ht="15.75" customHeight="1">
      <c r="A6" s="34" t="s">
        <v>77</v>
      </c>
      <c r="B6" s="33" t="s">
        <v>92</v>
      </c>
      <c r="C6" s="33" t="s">
        <v>93</v>
      </c>
      <c r="D6" s="36">
        <v>0.12</v>
      </c>
      <c r="E6" s="36">
        <v>0.85</v>
      </c>
      <c r="F6" s="37">
        <f t="shared" si="0"/>
        <v>2.1176470588235297E-2</v>
      </c>
      <c r="H6" s="33" t="s">
        <v>78</v>
      </c>
      <c r="I6" s="20">
        <f>0.00888888888888889/0.24</f>
        <v>3.7037037037037049E-2</v>
      </c>
    </row>
    <row r="7" spans="1:21" ht="15.75" customHeight="1">
      <c r="A7" s="33" t="s">
        <v>78</v>
      </c>
      <c r="B7" s="33" t="s">
        <v>94</v>
      </c>
      <c r="C7" s="33" t="s">
        <v>95</v>
      </c>
      <c r="D7" s="36">
        <v>0.08</v>
      </c>
      <c r="E7" s="36">
        <v>0.9</v>
      </c>
      <c r="F7" s="37">
        <f t="shared" si="0"/>
        <v>8.8888888888888871E-3</v>
      </c>
      <c r="H7" s="34" t="s">
        <v>79</v>
      </c>
      <c r="I7" s="20">
        <f>0.00666666666666667/0.24</f>
        <v>2.777777777777779E-2</v>
      </c>
    </row>
    <row r="8" spans="1:21" ht="15.75" customHeight="1">
      <c r="A8" s="34" t="s">
        <v>79</v>
      </c>
      <c r="B8" s="33" t="s">
        <v>96</v>
      </c>
      <c r="C8" s="33" t="s">
        <v>97</v>
      </c>
      <c r="D8" s="36">
        <v>0.06</v>
      </c>
      <c r="E8" s="36">
        <v>0.9</v>
      </c>
      <c r="F8" s="37">
        <f t="shared" si="0"/>
        <v>6.6666666666666654E-3</v>
      </c>
      <c r="H8" s="33" t="s">
        <v>80</v>
      </c>
      <c r="I8" s="20">
        <f>0.00597701149425287/0.24</f>
        <v>2.4904214559386961E-2</v>
      </c>
    </row>
    <row r="9" spans="1:21" ht="15.75" customHeight="1">
      <c r="A9" s="33" t="s">
        <v>80</v>
      </c>
      <c r="B9" s="33" t="s">
        <v>98</v>
      </c>
      <c r="C9" s="33" t="s">
        <v>99</v>
      </c>
      <c r="D9" s="36">
        <v>0.04</v>
      </c>
      <c r="E9" s="36">
        <v>0.87</v>
      </c>
      <c r="F9" s="37">
        <f t="shared" si="0"/>
        <v>5.9770114942528738E-3</v>
      </c>
      <c r="H9" s="34" t="s">
        <v>81</v>
      </c>
      <c r="I9" s="20">
        <f>0.0163636363636364/0.24</f>
        <v>6.8181818181818329E-2</v>
      </c>
    </row>
    <row r="10" spans="1:21" ht="15.75" customHeight="1">
      <c r="A10" s="34" t="s">
        <v>81</v>
      </c>
      <c r="B10" s="33" t="s">
        <v>100</v>
      </c>
      <c r="C10" s="33" t="s">
        <v>101</v>
      </c>
      <c r="D10" s="36">
        <v>0.02</v>
      </c>
      <c r="E10" s="36">
        <v>0.55000000000000004</v>
      </c>
      <c r="F10" s="37">
        <f t="shared" si="0"/>
        <v>1.6363636363636361E-2</v>
      </c>
      <c r="H10" s="33" t="s">
        <v>82</v>
      </c>
      <c r="I10" s="20">
        <f>0.00666666666666667/0.24</f>
        <v>2.777777777777779E-2</v>
      </c>
    </row>
    <row r="11" spans="1:21" ht="15.75" customHeight="1">
      <c r="A11" s="33" t="s">
        <v>82</v>
      </c>
      <c r="B11" s="33" t="s">
        <v>102</v>
      </c>
      <c r="C11" s="33" t="s">
        <v>103</v>
      </c>
      <c r="D11" s="36">
        <v>0.01</v>
      </c>
      <c r="E11" s="36">
        <v>0.6</v>
      </c>
      <c r="F11" s="37">
        <f t="shared" si="0"/>
        <v>6.6666666666666671E-3</v>
      </c>
      <c r="H11" s="35" t="s">
        <v>83</v>
      </c>
      <c r="I11" s="20">
        <f>0.02/0.24</f>
        <v>8.3333333333333343E-2</v>
      </c>
    </row>
    <row r="12" spans="1:21" ht="15.75" customHeight="1">
      <c r="A12" s="33" t="s">
        <v>104</v>
      </c>
      <c r="B12" s="33" t="s">
        <v>102</v>
      </c>
      <c r="C12" s="33" t="s">
        <v>101</v>
      </c>
      <c r="D12" s="36">
        <v>0.02</v>
      </c>
      <c r="E12" s="36">
        <v>0.5</v>
      </c>
      <c r="F12" s="37">
        <f t="shared" si="0"/>
        <v>0.02</v>
      </c>
      <c r="H12" s="2" t="s">
        <v>84</v>
      </c>
      <c r="I12" s="20">
        <f>(0.24-F13)/0.24</f>
        <v>0.51629075891112819</v>
      </c>
      <c r="L12" s="20"/>
    </row>
    <row r="13" spans="1:21" ht="15.75" customHeight="1">
      <c r="F13" s="37">
        <f>SUM(F2:F12)</f>
        <v>0.11609021786132923</v>
      </c>
    </row>
    <row r="14" spans="1:21" ht="15.75" customHeight="1">
      <c r="D14" s="37">
        <f>SUM(D3:D12)</f>
        <v>1</v>
      </c>
      <c r="F14" s="37">
        <f>24%-F13</f>
        <v>0.12390978213867077</v>
      </c>
    </row>
    <row r="18" spans="1:5" ht="15.75" customHeight="1">
      <c r="A18" s="40" t="s">
        <v>69</v>
      </c>
      <c r="B18" s="41"/>
      <c r="C18" s="41"/>
      <c r="D18" s="41"/>
      <c r="E18" s="42"/>
    </row>
    <row r="19" spans="1:5" ht="15.75" customHeight="1">
      <c r="A19" s="32" t="s">
        <v>70</v>
      </c>
      <c r="B19" s="32" t="s">
        <v>71</v>
      </c>
      <c r="C19" s="32" t="s">
        <v>72</v>
      </c>
      <c r="D19" s="32" t="s">
        <v>73</v>
      </c>
      <c r="E19" s="32" t="s">
        <v>74</v>
      </c>
    </row>
    <row r="20" spans="1:5" ht="15.75" customHeight="1">
      <c r="A20" s="33" t="s">
        <v>75</v>
      </c>
      <c r="B20" s="33" t="s">
        <v>85</v>
      </c>
      <c r="C20" s="33" t="s">
        <v>86</v>
      </c>
      <c r="D20" s="36">
        <v>0.26</v>
      </c>
      <c r="E20" s="36">
        <v>0.95</v>
      </c>
    </row>
    <row r="21" spans="1:5" ht="15.75" customHeight="1">
      <c r="A21" s="35"/>
      <c r="B21" s="33"/>
      <c r="C21" s="33"/>
      <c r="D21" s="36"/>
      <c r="E21" s="36"/>
    </row>
    <row r="22" spans="1:5" ht="15.75" customHeight="1">
      <c r="A22" s="33" t="s">
        <v>76</v>
      </c>
      <c r="B22" s="33" t="s">
        <v>90</v>
      </c>
      <c r="C22" s="33" t="s">
        <v>91</v>
      </c>
      <c r="D22" s="36">
        <v>0.15</v>
      </c>
      <c r="E22" s="36">
        <v>0.9</v>
      </c>
    </row>
    <row r="23" spans="1:5" ht="15.75" customHeight="1">
      <c r="A23" s="34" t="s">
        <v>77</v>
      </c>
      <c r="B23" s="33" t="s">
        <v>92</v>
      </c>
      <c r="C23" s="33" t="s">
        <v>93</v>
      </c>
      <c r="D23" s="36">
        <v>0.12</v>
      </c>
      <c r="E23" s="36">
        <v>0.85</v>
      </c>
    </row>
    <row r="24" spans="1:5" ht="15.75" customHeight="1">
      <c r="A24" s="33" t="s">
        <v>78</v>
      </c>
      <c r="B24" s="33" t="s">
        <v>94</v>
      </c>
      <c r="C24" s="33" t="s">
        <v>95</v>
      </c>
      <c r="D24" s="36">
        <v>0.08</v>
      </c>
      <c r="E24" s="36">
        <v>0.9</v>
      </c>
    </row>
    <row r="25" spans="1:5" ht="15.75" customHeight="1">
      <c r="A25" s="34" t="s">
        <v>79</v>
      </c>
      <c r="B25" s="33" t="s">
        <v>96</v>
      </c>
      <c r="C25" s="33" t="s">
        <v>97</v>
      </c>
      <c r="D25" s="36">
        <v>0.06</v>
      </c>
      <c r="E25" s="36">
        <v>0.9</v>
      </c>
    </row>
    <row r="26" spans="1:5" ht="15.75" customHeight="1">
      <c r="A26" s="33" t="s">
        <v>80</v>
      </c>
      <c r="B26" s="33" t="s">
        <v>98</v>
      </c>
      <c r="C26" s="33" t="s">
        <v>99</v>
      </c>
      <c r="D26" s="36">
        <v>0.04</v>
      </c>
      <c r="E26" s="36">
        <v>0.87</v>
      </c>
    </row>
    <row r="27" spans="1:5" ht="15.75" customHeight="1">
      <c r="A27" s="34" t="s">
        <v>81</v>
      </c>
      <c r="B27" s="33" t="s">
        <v>100</v>
      </c>
      <c r="C27" s="33" t="s">
        <v>101</v>
      </c>
      <c r="D27" s="36">
        <v>0.02</v>
      </c>
      <c r="E27" s="36">
        <v>0.55000000000000004</v>
      </c>
    </row>
    <row r="28" spans="1:5" ht="15.75" customHeight="1">
      <c r="A28" s="33" t="s">
        <v>82</v>
      </c>
      <c r="B28" s="33" t="s">
        <v>102</v>
      </c>
      <c r="C28" s="33" t="s">
        <v>103</v>
      </c>
      <c r="D28" s="36">
        <v>0.01</v>
      </c>
      <c r="E28" s="36">
        <v>0.6</v>
      </c>
    </row>
    <row r="29" spans="1:5" ht="16.5">
      <c r="A29" s="33" t="s">
        <v>104</v>
      </c>
      <c r="B29" s="33" t="s">
        <v>102</v>
      </c>
      <c r="C29" s="33" t="s">
        <v>101</v>
      </c>
      <c r="D29" s="36">
        <v>0.02</v>
      </c>
      <c r="E29" s="36">
        <v>0.5</v>
      </c>
    </row>
    <row r="32" spans="1:5" ht="12.5">
      <c r="D32" s="37">
        <f>SUM(D20:D29)</f>
        <v>0.76</v>
      </c>
    </row>
  </sheetData>
  <mergeCells count="2">
    <mergeCell ref="A1:E1"/>
    <mergeCell ref="A18:E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6"/>
  <sheetViews>
    <sheetView tabSelected="1" workbookViewId="0">
      <selection activeCell="J10" sqref="J10"/>
    </sheetView>
  </sheetViews>
  <sheetFormatPr defaultColWidth="12.6328125" defaultRowHeight="15.75" customHeight="1"/>
  <cols>
    <col min="1" max="1" width="14.36328125" customWidth="1"/>
  </cols>
  <sheetData>
    <row r="1" spans="1:13" ht="15.75" customHeight="1">
      <c r="A1" s="56" t="s">
        <v>105</v>
      </c>
      <c r="B1" s="56"/>
      <c r="C1" s="57"/>
      <c r="D1" s="57"/>
      <c r="H1" s="2"/>
    </row>
    <row r="2" spans="1:13" ht="13">
      <c r="A2" s="58" t="s">
        <v>1</v>
      </c>
      <c r="B2" s="58">
        <v>2022</v>
      </c>
      <c r="C2" s="58">
        <v>2021</v>
      </c>
      <c r="D2" s="58">
        <v>2020</v>
      </c>
      <c r="H2" s="10" t="s">
        <v>106</v>
      </c>
      <c r="I2" s="10" t="s">
        <v>107</v>
      </c>
      <c r="L2" s="10" t="s">
        <v>106</v>
      </c>
    </row>
    <row r="3" spans="1:13" ht="15.75" customHeight="1">
      <c r="A3" s="2" t="s">
        <v>108</v>
      </c>
      <c r="B3" s="38">
        <f>('Income Statement'!B3)/(('Balance Sheet'!B17+'Balance Sheet'!C17)/2)</f>
        <v>0.87176856791136648</v>
      </c>
      <c r="C3" s="38">
        <f>('Income Statement'!C3)/(('Balance Sheet'!C17+'Balance Sheet'!D17)/2)</f>
        <v>0.72407245856211833</v>
      </c>
      <c r="D3" s="38">
        <f>('Income Statement'!D3)/(('Balance Sheet'!D17+'Balance Sheet'!E17)/2)</f>
        <v>0.72407341861758612</v>
      </c>
      <c r="H3" s="21">
        <f>104.51/((1440.94+975.6)/2)</f>
        <v>8.6495568043566423E-2</v>
      </c>
      <c r="I3" s="21">
        <f>502.34/((5950.08+1356.09)/2)</f>
        <v>0.13751117206415947</v>
      </c>
      <c r="L3" s="21">
        <f>103.88/((975.6+340.32)/2)</f>
        <v>0.15788193811173931</v>
      </c>
      <c r="M3" s="21">
        <f>-93.24/((771.18+1356.09)/2)</f>
        <v>-8.7661650848270309E-2</v>
      </c>
    </row>
    <row r="4" spans="1:13" ht="15.75" customHeight="1">
      <c r="A4" s="2" t="s">
        <v>33</v>
      </c>
      <c r="B4" s="38">
        <f>('Income Statement'!B4)/(('Balance Sheet'!B7+'Balance Sheet'!C7)/2)</f>
        <v>4.2829867030344353</v>
      </c>
      <c r="C4" s="38">
        <f>('Income Statement'!C4)/(('Balance Sheet'!C7+'Balance Sheet'!D7)/2)</f>
        <v>3.770775623268698</v>
      </c>
      <c r="D4" s="38">
        <f>('Income Statement'!D4)/(('Balance Sheet'!D7+'Balance Sheet'!E7)/2)</f>
        <v>3.5755233494363927</v>
      </c>
      <c r="H4" s="10">
        <v>1.88</v>
      </c>
      <c r="I4" s="10">
        <v>2.5</v>
      </c>
    </row>
    <row r="5" spans="1:13" ht="15.75" customHeight="1">
      <c r="A5" s="2" t="s">
        <v>109</v>
      </c>
      <c r="B5" s="39">
        <f t="shared" ref="B5:D5" si="0">365/B4</f>
        <v>85.220904314599593</v>
      </c>
      <c r="C5" s="39">
        <f t="shared" si="0"/>
        <v>96.797061524334254</v>
      </c>
      <c r="D5" s="39">
        <f t="shared" si="0"/>
        <v>102.08295802558098</v>
      </c>
      <c r="H5" s="39">
        <f>365/H4</f>
        <v>194.14893617021278</v>
      </c>
      <c r="I5" s="39">
        <v>146</v>
      </c>
    </row>
    <row r="10" spans="1:13" ht="15.75" customHeight="1">
      <c r="A10" s="10" t="s">
        <v>110</v>
      </c>
    </row>
    <row r="11" spans="1:13" ht="15.75" customHeight="1">
      <c r="A11" s="10" t="s">
        <v>111</v>
      </c>
    </row>
    <row r="12" spans="1:13" ht="15.75" customHeight="1">
      <c r="A12" s="10" t="s">
        <v>112</v>
      </c>
    </row>
    <row r="13" spans="1:13" ht="15.75" customHeight="1">
      <c r="A13" s="10" t="s">
        <v>113</v>
      </c>
    </row>
    <row r="14" spans="1:13" ht="15.75" customHeight="1">
      <c r="A14" s="10" t="s">
        <v>114</v>
      </c>
    </row>
    <row r="15" spans="1:13" ht="15.75" customHeight="1">
      <c r="A15" s="10" t="s">
        <v>115</v>
      </c>
      <c r="B15" s="10" t="s">
        <v>116</v>
      </c>
      <c r="C15" s="10">
        <v>4.0599999999999996</v>
      </c>
      <c r="H15" s="10">
        <v>2021</v>
      </c>
      <c r="I15" s="10">
        <v>5.4</v>
      </c>
    </row>
    <row r="16" spans="1:13" ht="15.75" customHeight="1">
      <c r="A16" s="10" t="s">
        <v>117</v>
      </c>
      <c r="C16" s="10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Statement</vt:lpstr>
      <vt:lpstr>Balance Sheet</vt:lpstr>
      <vt:lpstr>PRODUCT ROADMAPS</vt:lpstr>
      <vt:lpstr>MARKET DATA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Liz</dc:creator>
  <cp:lastModifiedBy>Rojas Liz</cp:lastModifiedBy>
  <dcterms:created xsi:type="dcterms:W3CDTF">2023-03-11T00:48:44Z</dcterms:created>
  <dcterms:modified xsi:type="dcterms:W3CDTF">2023-03-11T00:48:44Z</dcterms:modified>
</cp:coreProperties>
</file>