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2.xml" ContentType="application/vnd.openxmlformats-officedocument.spreadsheetml.query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queryTables/queryTable9.xml" ContentType="application/vnd.openxmlformats-officedocument.spreadsheetml.queryTable+xml"/>
  <Override PartName="/xl/pivotTables/pivotTable4.xml" ContentType="application/vnd.openxmlformats-officedocument.spreadsheetml.pivot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mc:AlternateContent xmlns:mc="http://schemas.openxmlformats.org/markup-compatibility/2006">
    <mc:Choice Requires="x15">
      <x15ac:absPath xmlns:x15ac="http://schemas.microsoft.com/office/spreadsheetml/2010/11/ac" url="C:\Users\DELL\Downloads\"/>
    </mc:Choice>
  </mc:AlternateContent>
  <xr:revisionPtr revIDLastSave="0" documentId="8_{CBF59B36-114E-4F30-B484-B5EA097D2FC7}" xr6:coauthVersionLast="47" xr6:coauthVersionMax="47" xr10:uidLastSave="{00000000-0000-0000-0000-000000000000}"/>
  <bookViews>
    <workbookView xWindow="-120" yWindow="-120" windowWidth="20730" windowHeight="11040" xr2:uid="{00000000-000D-0000-FFFF-FFFF00000000}"/>
  </bookViews>
  <sheets>
    <sheet name="Dashboard" sheetId="19" r:id="rId1"/>
    <sheet name="Conclusion" sheetId="24" r:id="rId2"/>
    <sheet name="Normalized sheet" sheetId="23" r:id="rId3"/>
    <sheet name="Dataset" sheetId="13" r:id="rId4"/>
    <sheet name="Bibliography" sheetId="26" r:id="rId5"/>
    <sheet name="Group Members" sheetId="27" r:id="rId6"/>
    <sheet name="CrimeRate_Data" sheetId="20" state="hidden" r:id="rId7"/>
    <sheet name="HC_1" sheetId="6" state="hidden" r:id="rId8"/>
    <sheet name="Cost_Of_living_query_1" sheetId="7" state="hidden" r:id="rId9"/>
    <sheet name="QLnCL" sheetId="8" state="hidden" r:id="rId10"/>
    <sheet name="QLnCLnHC" sheetId="9" state="hidden" r:id="rId11"/>
    <sheet name="Final Merged" sheetId="11" state="hidden" r:id="rId12"/>
    <sheet name="Table9" sheetId="21" state="hidden" r:id="rId13"/>
    <sheet name="Quality_Life_1" sheetId="5" state="hidden" r:id="rId14"/>
    <sheet name="Temperature Chart" sheetId="14" state="hidden" r:id="rId15"/>
    <sheet name="Traffic Chart" sheetId="16" state="hidden" r:id="rId16"/>
    <sheet name="Crime chart" sheetId="18" state="hidden" r:id="rId17"/>
  </sheets>
  <definedNames>
    <definedName name="_xlchart.v1.0" hidden="1">'Temperature Chart'!$E$4:$G$12</definedName>
    <definedName name="_xlchart.v1.1" hidden="1">'Temperature Chart'!$F$3</definedName>
    <definedName name="_xlchart.v1.2" hidden="1">'Temperature Chart'!$F$4:$F$12</definedName>
    <definedName name="_xlchart.v1.3" hidden="1">'Temperature Chart'!$G$3</definedName>
    <definedName name="_xlchart.v1.4" hidden="1">'Temperature Chart'!$G$4:$G$12</definedName>
    <definedName name="_xlcn.WorksheetConnection_Table9_1" hidden="1">Table9_1</definedName>
    <definedName name="ExternalData_1" localSheetId="3" hidden="1">Dataset!$A$1:$BX$10</definedName>
    <definedName name="ExternalData_1" localSheetId="11" hidden="1">'Final Merged'!$A$1:$Z$11</definedName>
    <definedName name="ExternalData_1" localSheetId="2" hidden="1">'Normalized sheet'!$A$43:$J$52</definedName>
    <definedName name="ExternalData_1" localSheetId="9" hidden="1">QLnCL!$A$1:$O$19</definedName>
    <definedName name="ExternalData_1" localSheetId="10" hidden="1">QLnCLnHC!$A$1:$Q$18</definedName>
    <definedName name="ExternalData_1" localSheetId="14" hidden="1">'Temperature Chart'!$I$4:$K$13</definedName>
    <definedName name="ExternalData_2" localSheetId="8" hidden="1">Cost_Of_living_query_1!$A$1:$I$19</definedName>
    <definedName name="ExternalData_2" localSheetId="7" hidden="1">'HC_1'!$A$1:$E$18</definedName>
    <definedName name="ExternalData_2" localSheetId="13" hidden="1">Quality_Life_1!$A$1:$L$19</definedName>
    <definedName name="ExternalData_2" localSheetId="12" hidden="1">Table9!$C$15:$K$17</definedName>
    <definedName name="Slicer_City">#N/A</definedName>
  </definedNames>
  <calcPr calcId="191028"/>
  <pivotCaches>
    <pivotCache cacheId="0" r:id="rId18"/>
    <pivotCache cacheId="1"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Quality_Life_1 1_0534c901-c0f2-4e6c-94d8-9c8b92f3d3ea" name="Quality_Life_1 1" connection="Query - Quality_Life_1"/>
          <x15:modelTable id="HC_1_f68e0388-e532-486e-b8cd-1376e5ee237f" name="HC_1" connection="Query - HC_1"/>
          <x15:modelTable id="Cost_Of_living_query_d386f884-0149-46a0-97fb-24fcb55d22fa" name="Cost_Of_living_query" connection="Query - Cost_Of_living_query"/>
          <x15:modelTable id="Table9_1c1b5329-c99d-4726-b33d-4df4cddb1b33" name="Table9" connection="Query - Table9"/>
          <x15:modelTable id="Table9  2_1446cc94-1bbb-465c-b12d-5488b0a2e357" name="Table9  2" connection="Query - Table9 (2)"/>
          <x15:modelTable id="Normalized_Value_9a4cb38b-b917-4e05-8510-ec7847d01365" name="Normalized_Value" connection="Query - Normalized_Value"/>
          <x15:modelTable id="Table9_1" name="Table9_1" connection="WorksheetConnection_Table9_1"/>
        </x15:modelTables>
        <x15:modelRelationships>
          <x15:modelRelationship fromTable="Quality_Life_1 1" fromColumn="City" toTable="HC_1" toColumn="City"/>
          <x15:modelRelationship fromTable="HC_1" fromColumn="City" toTable="Cost_Of_living_query" toColumn="Cit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14" l="1"/>
  <c r="F4" i="14"/>
  <c r="G4" i="14"/>
  <c r="E5" i="14"/>
  <c r="F5" i="14"/>
  <c r="G5" i="14"/>
  <c r="E6" i="14"/>
  <c r="F6" i="14"/>
  <c r="G6" i="14"/>
  <c r="E7" i="14"/>
  <c r="F7" i="14"/>
  <c r="G7" i="14"/>
  <c r="E8" i="14"/>
  <c r="F8" i="14"/>
  <c r="G8" i="14"/>
  <c r="E9" i="14"/>
  <c r="F9" i="14"/>
  <c r="G9" i="14"/>
  <c r="E10" i="14"/>
  <c r="F10" i="14"/>
  <c r="G10" i="14"/>
  <c r="E11" i="14"/>
  <c r="F11" i="14"/>
  <c r="G11" i="14"/>
  <c r="E12" i="14"/>
  <c r="F12" i="14"/>
  <c r="G12" i="14"/>
  <c r="K34" i="23" l="1"/>
  <c r="K31" i="23"/>
  <c r="K38" i="23"/>
  <c r="K36" i="23"/>
  <c r="K32" i="23"/>
  <c r="K39" i="23"/>
  <c r="K37" i="23"/>
  <c r="K35" i="23"/>
  <c r="K33" i="23"/>
  <c r="A2" i="23"/>
  <c r="B2" i="23"/>
  <c r="C2" i="23"/>
  <c r="D2" i="23"/>
  <c r="E2" i="23"/>
  <c r="F2" i="23"/>
  <c r="G2" i="23"/>
  <c r="H2" i="23"/>
  <c r="I2" i="23"/>
  <c r="J2" i="23"/>
  <c r="K2" i="23"/>
  <c r="L2" i="23"/>
  <c r="M2" i="23"/>
  <c r="N2" i="23"/>
  <c r="O2" i="23"/>
  <c r="P2" i="23"/>
  <c r="Q2" i="23"/>
  <c r="R2" i="23"/>
  <c r="S2" i="23"/>
  <c r="T2" i="23"/>
  <c r="U2" i="23"/>
  <c r="V2" i="23"/>
  <c r="W2" i="23"/>
  <c r="X2" i="23"/>
  <c r="Y2" i="23"/>
  <c r="Z2" i="23"/>
  <c r="AA2" i="23"/>
  <c r="AB2" i="23"/>
  <c r="AC2" i="23"/>
  <c r="AD2" i="23"/>
  <c r="AE2" i="23"/>
  <c r="AF2" i="23"/>
  <c r="AG2" i="23"/>
  <c r="AH2" i="23"/>
  <c r="AI2" i="23"/>
  <c r="AJ2" i="23"/>
  <c r="AK2" i="23"/>
  <c r="AL2" i="23"/>
  <c r="AM2" i="23"/>
  <c r="AN2" i="23"/>
  <c r="A3" i="23"/>
  <c r="B3" i="23"/>
  <c r="C3" i="23"/>
  <c r="D3" i="23"/>
  <c r="E3" i="23"/>
  <c r="F3" i="23"/>
  <c r="G3" i="23"/>
  <c r="H3" i="23"/>
  <c r="I3" i="23"/>
  <c r="J3" i="23"/>
  <c r="K3" i="23"/>
  <c r="L3" i="23"/>
  <c r="M3" i="23"/>
  <c r="N3" i="23"/>
  <c r="O3" i="23"/>
  <c r="P3" i="23"/>
  <c r="Q3" i="23"/>
  <c r="R3" i="23"/>
  <c r="S3" i="23"/>
  <c r="T3" i="23"/>
  <c r="U3" i="23"/>
  <c r="V3" i="23"/>
  <c r="W3" i="23"/>
  <c r="X3" i="23"/>
  <c r="Y3" i="23"/>
  <c r="Z3" i="23"/>
  <c r="AA3" i="23"/>
  <c r="AB3" i="23"/>
  <c r="AC3" i="23"/>
  <c r="AD3" i="23"/>
  <c r="AE3" i="23"/>
  <c r="AF3" i="23"/>
  <c r="AG3" i="23"/>
  <c r="AH3" i="23"/>
  <c r="AI3" i="23"/>
  <c r="AJ3" i="23"/>
  <c r="AK3" i="23"/>
  <c r="AL3" i="23"/>
  <c r="AM3" i="23"/>
  <c r="AN3" i="23"/>
  <c r="A4" i="23"/>
  <c r="B4" i="23"/>
  <c r="C4" i="23"/>
  <c r="D4" i="23"/>
  <c r="E4" i="23"/>
  <c r="F4" i="23"/>
  <c r="G4" i="23"/>
  <c r="H4" i="23"/>
  <c r="I4" i="23"/>
  <c r="J4" i="23"/>
  <c r="K4" i="23"/>
  <c r="L4" i="23"/>
  <c r="M4" i="23"/>
  <c r="N4" i="23"/>
  <c r="O4" i="23"/>
  <c r="P4" i="23"/>
  <c r="Q4" i="23"/>
  <c r="R4" i="23"/>
  <c r="S4" i="23"/>
  <c r="T4" i="23"/>
  <c r="U4" i="23"/>
  <c r="V4" i="23"/>
  <c r="W4" i="23"/>
  <c r="X4" i="23"/>
  <c r="Y4" i="23"/>
  <c r="Z4" i="23"/>
  <c r="AA4" i="23"/>
  <c r="AB4" i="23"/>
  <c r="AC4" i="23"/>
  <c r="AD4" i="23"/>
  <c r="AE4" i="23"/>
  <c r="AF4" i="23"/>
  <c r="AG4" i="23"/>
  <c r="AH4" i="23"/>
  <c r="AI4" i="23"/>
  <c r="AJ4" i="23"/>
  <c r="AK4" i="23"/>
  <c r="AL4" i="23"/>
  <c r="AM4" i="23"/>
  <c r="AN4" i="23"/>
  <c r="A5" i="23"/>
  <c r="B5" i="23"/>
  <c r="C5" i="23"/>
  <c r="D5" i="23"/>
  <c r="E5" i="23"/>
  <c r="F5" i="23"/>
  <c r="G5" i="23"/>
  <c r="H5" i="23"/>
  <c r="I5" i="23"/>
  <c r="J5" i="23"/>
  <c r="K5" i="23"/>
  <c r="L5" i="23"/>
  <c r="M5" i="23"/>
  <c r="N5" i="23"/>
  <c r="O5" i="23"/>
  <c r="P5" i="23"/>
  <c r="Q5" i="23"/>
  <c r="R5" i="23"/>
  <c r="S5" i="23"/>
  <c r="T5" i="23"/>
  <c r="U5" i="23"/>
  <c r="V5" i="23"/>
  <c r="W5" i="23"/>
  <c r="X5" i="23"/>
  <c r="Y5" i="23"/>
  <c r="Z5" i="23"/>
  <c r="AA5" i="23"/>
  <c r="AB5" i="23"/>
  <c r="AC5" i="23"/>
  <c r="AD5" i="23"/>
  <c r="AE5" i="23"/>
  <c r="AF5" i="23"/>
  <c r="AG5" i="23"/>
  <c r="AH5" i="23"/>
  <c r="AI5" i="23"/>
  <c r="AJ5" i="23"/>
  <c r="AK5" i="23"/>
  <c r="AL5" i="23"/>
  <c r="AM5" i="23"/>
  <c r="AN5" i="23"/>
  <c r="A6" i="23"/>
  <c r="B6" i="23"/>
  <c r="C6" i="23"/>
  <c r="D6" i="23"/>
  <c r="E6" i="23"/>
  <c r="F6" i="23"/>
  <c r="G6" i="23"/>
  <c r="H6" i="23"/>
  <c r="I6" i="23"/>
  <c r="J6" i="23"/>
  <c r="K6" i="23"/>
  <c r="L6" i="23"/>
  <c r="M6" i="23"/>
  <c r="N6" i="23"/>
  <c r="O6" i="23"/>
  <c r="P6" i="23"/>
  <c r="Q6" i="23"/>
  <c r="R6" i="23"/>
  <c r="S6" i="23"/>
  <c r="T6" i="23"/>
  <c r="U6" i="23"/>
  <c r="V6" i="23"/>
  <c r="W6" i="23"/>
  <c r="X6" i="23"/>
  <c r="Y6" i="23"/>
  <c r="Z6" i="23"/>
  <c r="AA6" i="23"/>
  <c r="AB6" i="23"/>
  <c r="AC6" i="23"/>
  <c r="AD6" i="23"/>
  <c r="AE6" i="23"/>
  <c r="AF6" i="23"/>
  <c r="AG6" i="23"/>
  <c r="AH6" i="23"/>
  <c r="AI6" i="23"/>
  <c r="AJ6" i="23"/>
  <c r="AK6" i="23"/>
  <c r="AL6" i="23"/>
  <c r="AM6" i="23"/>
  <c r="AN6" i="23"/>
  <c r="A7" i="23"/>
  <c r="B7" i="23"/>
  <c r="C7" i="23"/>
  <c r="D7" i="23"/>
  <c r="E7" i="23"/>
  <c r="F7" i="23"/>
  <c r="G7" i="23"/>
  <c r="H7" i="23"/>
  <c r="I7" i="23"/>
  <c r="J7" i="23"/>
  <c r="K7" i="23"/>
  <c r="L7" i="23"/>
  <c r="M7" i="23"/>
  <c r="N7" i="23"/>
  <c r="O7" i="23"/>
  <c r="P7" i="23"/>
  <c r="Q7" i="23"/>
  <c r="R7" i="23"/>
  <c r="S7" i="23"/>
  <c r="T7" i="23"/>
  <c r="U7" i="23"/>
  <c r="V7" i="23"/>
  <c r="W7" i="23"/>
  <c r="X7" i="23"/>
  <c r="Y7" i="23"/>
  <c r="Z7" i="23"/>
  <c r="AA7" i="23"/>
  <c r="AB7" i="23"/>
  <c r="AC7" i="23"/>
  <c r="AD7" i="23"/>
  <c r="AE7" i="23"/>
  <c r="AF7" i="23"/>
  <c r="AG7" i="23"/>
  <c r="AH7" i="23"/>
  <c r="AI7" i="23"/>
  <c r="AJ7" i="23"/>
  <c r="AK7" i="23"/>
  <c r="AL7" i="23"/>
  <c r="AM7" i="23"/>
  <c r="AN7" i="23"/>
  <c r="A8" i="23"/>
  <c r="B8" i="23"/>
  <c r="C8" i="23"/>
  <c r="D8" i="23"/>
  <c r="E8" i="23"/>
  <c r="F8" i="23"/>
  <c r="G8" i="23"/>
  <c r="H8" i="23"/>
  <c r="I8" i="23"/>
  <c r="J8" i="23"/>
  <c r="K8" i="23"/>
  <c r="L8" i="23"/>
  <c r="M8" i="23"/>
  <c r="N8" i="23"/>
  <c r="O8" i="23"/>
  <c r="P8" i="23"/>
  <c r="Q8" i="23"/>
  <c r="R8" i="23"/>
  <c r="S8" i="23"/>
  <c r="T8" i="23"/>
  <c r="U8" i="23"/>
  <c r="V8" i="23"/>
  <c r="W8" i="23"/>
  <c r="X8" i="23"/>
  <c r="Y8" i="23"/>
  <c r="Z8" i="23"/>
  <c r="AA8" i="23"/>
  <c r="AB8" i="23"/>
  <c r="AC8" i="23"/>
  <c r="AD8" i="23"/>
  <c r="AE8" i="23"/>
  <c r="AF8" i="23"/>
  <c r="AG8" i="23"/>
  <c r="AH8" i="23"/>
  <c r="AI8" i="23"/>
  <c r="AJ8" i="23"/>
  <c r="AK8" i="23"/>
  <c r="AL8" i="23"/>
  <c r="AM8" i="23"/>
  <c r="AN8" i="23"/>
  <c r="A9" i="23"/>
  <c r="B9" i="23"/>
  <c r="C9" i="23"/>
  <c r="D9" i="23"/>
  <c r="E9" i="23"/>
  <c r="F9" i="23"/>
  <c r="G9" i="23"/>
  <c r="H9" i="23"/>
  <c r="I9" i="23"/>
  <c r="J9" i="23"/>
  <c r="K9" i="23"/>
  <c r="L9" i="23"/>
  <c r="M9" i="23"/>
  <c r="N9" i="23"/>
  <c r="O9" i="23"/>
  <c r="P9" i="23"/>
  <c r="Q9" i="23"/>
  <c r="R9" i="23"/>
  <c r="S9" i="23"/>
  <c r="T9" i="23"/>
  <c r="U9" i="23"/>
  <c r="V9" i="23"/>
  <c r="W9" i="23"/>
  <c r="X9" i="23"/>
  <c r="Y9" i="23"/>
  <c r="Z9" i="23"/>
  <c r="AA9" i="23"/>
  <c r="AB9" i="23"/>
  <c r="AC9" i="23"/>
  <c r="AD9" i="23"/>
  <c r="AE9" i="23"/>
  <c r="AF9" i="23"/>
  <c r="AG9" i="23"/>
  <c r="AH9" i="23"/>
  <c r="AI9" i="23"/>
  <c r="AJ9" i="23"/>
  <c r="AK9" i="23"/>
  <c r="AL9" i="23"/>
  <c r="AM9" i="23"/>
  <c r="AN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Z10" i="23"/>
  <c r="AA10" i="23"/>
  <c r="AB10" i="23"/>
  <c r="AC10" i="23"/>
  <c r="AD10" i="23"/>
  <c r="AE10" i="23"/>
  <c r="AF10" i="23"/>
  <c r="AG10" i="23"/>
  <c r="AH10" i="23"/>
  <c r="AI10" i="23"/>
  <c r="AJ10" i="23"/>
  <c r="AK10" i="23"/>
  <c r="AL10" i="23"/>
  <c r="AM10" i="23"/>
  <c r="AN10" i="23"/>
  <c r="H35" i="20" l="1"/>
  <c r="I35" i="20"/>
  <c r="J35" i="20"/>
  <c r="K35" i="20"/>
  <c r="G36" i="20"/>
  <c r="H36" i="20"/>
  <c r="I36" i="20"/>
  <c r="J36" i="20"/>
  <c r="K36" i="20"/>
  <c r="G37" i="20"/>
  <c r="H37" i="20"/>
  <c r="I37" i="20"/>
  <c r="J37" i="20"/>
  <c r="K37" i="20"/>
  <c r="G38" i="20"/>
  <c r="H38" i="20"/>
  <c r="I38" i="20"/>
  <c r="J38" i="20"/>
  <c r="K38" i="20"/>
  <c r="G39" i="20"/>
  <c r="H39" i="20"/>
  <c r="I39" i="20"/>
  <c r="J39" i="20"/>
  <c r="K39" i="20"/>
  <c r="G40" i="20"/>
  <c r="H40" i="20"/>
  <c r="I40" i="20"/>
  <c r="J40" i="20"/>
  <c r="K40" i="20"/>
  <c r="G41" i="20"/>
  <c r="H41" i="20"/>
  <c r="I41" i="20"/>
  <c r="J41" i="20"/>
  <c r="K41" i="20"/>
  <c r="G42" i="20"/>
  <c r="H42" i="20"/>
  <c r="I42" i="20"/>
  <c r="J42" i="20"/>
  <c r="K42" i="20"/>
  <c r="G43" i="20"/>
  <c r="H43" i="20"/>
  <c r="I43" i="20"/>
  <c r="J43" i="20"/>
  <c r="K43" i="20"/>
  <c r="G44" i="20"/>
  <c r="H44" i="20"/>
  <c r="I44" i="20"/>
  <c r="J44" i="20"/>
  <c r="K44" i="20"/>
  <c r="E3" i="16"/>
  <c r="F3" i="16"/>
  <c r="G3" i="16"/>
  <c r="E4" i="16"/>
  <c r="F4" i="16"/>
  <c r="G4" i="16"/>
  <c r="E5" i="16"/>
  <c r="F5" i="16"/>
  <c r="G5" i="16"/>
  <c r="E6" i="16"/>
  <c r="F6" i="16"/>
  <c r="G6" i="16"/>
  <c r="E7" i="16"/>
  <c r="F7" i="16"/>
  <c r="G7" i="16"/>
  <c r="E8" i="16"/>
  <c r="F8" i="16"/>
  <c r="G8" i="16"/>
  <c r="E9" i="16"/>
  <c r="F9" i="16"/>
  <c r="G9" i="16"/>
  <c r="E10" i="16"/>
  <c r="F10" i="16"/>
  <c r="G10" i="16"/>
  <c r="E11" i="16"/>
  <c r="F11" i="16"/>
  <c r="G11" i="16"/>
  <c r="E12" i="16"/>
  <c r="F12" i="16"/>
  <c r="G12" i="16"/>
  <c r="B15" i="19"/>
  <c r="B10" i="19"/>
  <c r="BN13" i="13"/>
  <c r="BN14" i="13"/>
  <c r="BO2" i="13"/>
  <c r="BO3" i="13"/>
  <c r="BO4" i="13"/>
  <c r="BO5" i="13"/>
  <c r="BO6" i="13"/>
  <c r="BO7" i="13"/>
  <c r="BO8" i="13"/>
  <c r="BO9" i="13"/>
  <c r="BO10" i="13"/>
  <c r="B41" i="19"/>
  <c r="B36" i="19" a="1"/>
  <c r="B36" i="19" s="1"/>
  <c r="B31" i="19"/>
  <c r="B21" i="19"/>
  <c r="B26" i="19"/>
  <c r="BR14" i="13"/>
  <c r="BT14" i="13"/>
  <c r="BV14" i="13"/>
  <c r="BX14" i="13"/>
  <c r="BR13" i="13"/>
  <c r="BT13" i="13"/>
  <c r="BV13" i="13"/>
  <c r="BX13" i="13"/>
  <c r="BL14" i="13"/>
  <c r="BP14" i="13"/>
  <c r="BL13" i="13"/>
  <c r="BP13" i="13"/>
  <c r="AT14" i="13"/>
  <c r="AV14" i="13"/>
  <c r="AX14" i="13"/>
  <c r="AZ14" i="13"/>
  <c r="BB14" i="13"/>
  <c r="BD14" i="13"/>
  <c r="BF14" i="13"/>
  <c r="BH14" i="13"/>
  <c r="BJ14" i="13"/>
  <c r="AT13" i="13"/>
  <c r="AV13" i="13"/>
  <c r="AX13" i="13"/>
  <c r="AZ13" i="13"/>
  <c r="BB13" i="13"/>
  <c r="BD13" i="13"/>
  <c r="BF13" i="13"/>
  <c r="BH13" i="13"/>
  <c r="BJ13" i="13"/>
  <c r="AL14" i="13"/>
  <c r="AN14" i="13"/>
  <c r="AP14" i="13"/>
  <c r="AR14" i="13"/>
  <c r="AL13" i="13"/>
  <c r="AN13" i="13"/>
  <c r="AP13" i="13"/>
  <c r="AR13" i="13"/>
  <c r="AJ14" i="13"/>
  <c r="AJ13" i="13"/>
  <c r="AH14" i="13"/>
  <c r="AH13" i="13"/>
  <c r="AI6" i="13" s="1"/>
  <c r="AF14" i="13"/>
  <c r="AF13" i="13"/>
  <c r="AD14" i="13"/>
  <c r="AD13" i="13"/>
  <c r="AB14" i="13"/>
  <c r="AB13" i="13"/>
  <c r="Z14" i="13"/>
  <c r="Z13" i="13"/>
  <c r="X14" i="13"/>
  <c r="X13" i="13"/>
  <c r="V14" i="13"/>
  <c r="V13" i="13"/>
  <c r="T14" i="13"/>
  <c r="T13" i="13"/>
  <c r="R14" i="13"/>
  <c r="R13" i="13"/>
  <c r="P14" i="13"/>
  <c r="P13" i="13"/>
  <c r="N14" i="13"/>
  <c r="N13" i="13"/>
  <c r="L14" i="13"/>
  <c r="L13" i="13"/>
  <c r="J14" i="13"/>
  <c r="J13" i="13"/>
  <c r="H14" i="13"/>
  <c r="H13" i="13"/>
  <c r="F14" i="13"/>
  <c r="F13" i="13"/>
  <c r="D14" i="13"/>
  <c r="D13" i="13"/>
  <c r="E5" i="13" s="1"/>
  <c r="AC6" i="13" l="1"/>
  <c r="AC5" i="13"/>
  <c r="AC2" i="13"/>
  <c r="AE10" i="13"/>
  <c r="AE4" i="13"/>
  <c r="AK9" i="13"/>
  <c r="AS5" i="13"/>
  <c r="AS2" i="13"/>
  <c r="AS4" i="13"/>
  <c r="AS10" i="13"/>
  <c r="AS9" i="13"/>
  <c r="AS8" i="13"/>
  <c r="AS7" i="13"/>
  <c r="AS6" i="13"/>
  <c r="AQ10" i="13"/>
  <c r="AQ4" i="13"/>
  <c r="AM5" i="13"/>
  <c r="BK3" i="13"/>
  <c r="BK5" i="13"/>
  <c r="BK2" i="13"/>
  <c r="BK4" i="13"/>
  <c r="BK10" i="13"/>
  <c r="BK9" i="13"/>
  <c r="BK8" i="13"/>
  <c r="BK7" i="13"/>
  <c r="BK6" i="13"/>
  <c r="BI5" i="13"/>
  <c r="BI2" i="13"/>
  <c r="BI4" i="13"/>
  <c r="BI10" i="13"/>
  <c r="BI9" i="13"/>
  <c r="BI8" i="13"/>
  <c r="BI7" i="13"/>
  <c r="BI6" i="13"/>
  <c r="BI3" i="13"/>
  <c r="BG5" i="13"/>
  <c r="BG2" i="13"/>
  <c r="BG4" i="13"/>
  <c r="BG10" i="13"/>
  <c r="BG9" i="13"/>
  <c r="BG8" i="13"/>
  <c r="BG7" i="13"/>
  <c r="BG6" i="13"/>
  <c r="BE5" i="13"/>
  <c r="BE2" i="13"/>
  <c r="BE4" i="13"/>
  <c r="BE10" i="13"/>
  <c r="BE9" i="13"/>
  <c r="BE8" i="13"/>
  <c r="BE7" i="13"/>
  <c r="BE6" i="13"/>
  <c r="BC5" i="13"/>
  <c r="BC2" i="13"/>
  <c r="BC4" i="13"/>
  <c r="BC10" i="13"/>
  <c r="BC9" i="13"/>
  <c r="BC8" i="13"/>
  <c r="BC7" i="13"/>
  <c r="BC6" i="13"/>
  <c r="BA3" i="13"/>
  <c r="BA5" i="13"/>
  <c r="BA2" i="13"/>
  <c r="BA4" i="13"/>
  <c r="BA10" i="13"/>
  <c r="BA9" i="13"/>
  <c r="BA8" i="13"/>
  <c r="BA7" i="13"/>
  <c r="BA6" i="13"/>
  <c r="AY5" i="13"/>
  <c r="AY2" i="13"/>
  <c r="AY4" i="13"/>
  <c r="AY10" i="13"/>
  <c r="AY9" i="13"/>
  <c r="AY8" i="13"/>
  <c r="AY7" i="13"/>
  <c r="AY6" i="13"/>
  <c r="AW3" i="13"/>
  <c r="AW5" i="13"/>
  <c r="AW2" i="13"/>
  <c r="AW4" i="13"/>
  <c r="AW10" i="13"/>
  <c r="AW9" i="13"/>
  <c r="AW8" i="13"/>
  <c r="AW7" i="13"/>
  <c r="AW6" i="13"/>
  <c r="AU5" i="13"/>
  <c r="AU2" i="13"/>
  <c r="AU4" i="13"/>
  <c r="AU10" i="13"/>
  <c r="AU9" i="13"/>
  <c r="AU8" i="13"/>
  <c r="AU7" i="13"/>
  <c r="AU6" i="13"/>
  <c r="BQ3" i="13"/>
  <c r="BQ5" i="13"/>
  <c r="BQ2" i="13"/>
  <c r="BQ4" i="13"/>
  <c r="BQ10" i="13"/>
  <c r="BQ9" i="13"/>
  <c r="BQ8" i="13"/>
  <c r="BQ7" i="13"/>
  <c r="BQ6" i="13"/>
  <c r="BM3" i="13"/>
  <c r="BM5" i="13"/>
  <c r="BM2" i="13"/>
  <c r="BM4" i="13"/>
  <c r="BM10" i="13"/>
  <c r="BM9" i="13"/>
  <c r="BM8" i="13"/>
  <c r="BM7" i="13"/>
  <c r="BM6" i="13"/>
  <c r="BY5" i="13"/>
  <c r="BY2" i="13"/>
  <c r="BY4" i="13"/>
  <c r="BY10" i="13"/>
  <c r="BY9" i="13"/>
  <c r="BY8" i="13"/>
  <c r="BY7" i="13"/>
  <c r="BY6" i="13"/>
  <c r="BW5" i="13"/>
  <c r="BW2" i="13"/>
  <c r="BW4" i="13"/>
  <c r="BW10" i="13"/>
  <c r="BW9" i="13"/>
  <c r="BW8" i="13"/>
  <c r="BW7" i="13"/>
  <c r="BW6" i="13"/>
  <c r="BU5" i="13"/>
  <c r="BU2" i="13"/>
  <c r="BU4" i="13"/>
  <c r="BU10" i="13"/>
  <c r="BU9" i="13"/>
  <c r="BU8" i="13"/>
  <c r="BU7" i="13"/>
  <c r="BU6" i="13"/>
  <c r="BS3" i="13"/>
  <c r="BS5" i="13"/>
  <c r="BS2" i="13"/>
  <c r="BS4" i="13"/>
  <c r="BS10" i="13"/>
  <c r="BS9" i="13"/>
  <c r="BS8" i="13"/>
  <c r="BS7" i="13"/>
  <c r="BS6" i="13"/>
  <c r="BW3" i="13"/>
  <c r="AK10" i="13"/>
  <c r="BG3" i="13"/>
  <c r="BU3" i="13"/>
  <c r="BE3" i="13"/>
  <c r="AY3" i="13"/>
  <c r="BC3" i="13"/>
  <c r="BY3" i="13"/>
  <c r="AI7" i="13"/>
  <c r="AM3" i="13"/>
  <c r="AI8" i="13"/>
  <c r="AU3" i="13"/>
  <c r="AC3" i="13"/>
  <c r="AI2" i="13"/>
  <c r="AC7" i="13"/>
  <c r="AI5" i="13"/>
  <c r="AG5" i="13"/>
  <c r="AO6" i="13"/>
  <c r="AC8" i="13"/>
  <c r="AM8" i="13"/>
  <c r="AO7" i="13"/>
  <c r="AQ2" i="13"/>
  <c r="AC9" i="13"/>
  <c r="AS3" i="13"/>
  <c r="AE5" i="13"/>
  <c r="AI9" i="13"/>
  <c r="AK5" i="13"/>
  <c r="AO9" i="13"/>
  <c r="AQ5" i="13"/>
  <c r="AO8" i="13"/>
  <c r="AC10" i="13"/>
  <c r="AG6" i="13"/>
  <c r="AI10" i="13"/>
  <c r="AM6" i="13"/>
  <c r="AO10" i="13"/>
  <c r="AO3" i="13"/>
  <c r="AK4" i="13"/>
  <c r="AQ3" i="13"/>
  <c r="AE2" i="13"/>
  <c r="AK2" i="13"/>
  <c r="AC4" i="13"/>
  <c r="AG7" i="13"/>
  <c r="AI4" i="13"/>
  <c r="AM7" i="13"/>
  <c r="AO4" i="13"/>
  <c r="AG8" i="13"/>
  <c r="AO2" i="13"/>
  <c r="AG9" i="13"/>
  <c r="AM9" i="13"/>
  <c r="AO5" i="13"/>
  <c r="AK6" i="13"/>
  <c r="AE3" i="13"/>
  <c r="AE6" i="13"/>
  <c r="AM10" i="13"/>
  <c r="AG3" i="13"/>
  <c r="AE7" i="13"/>
  <c r="AG4" i="13"/>
  <c r="AK7" i="13"/>
  <c r="AM4" i="13"/>
  <c r="AQ7" i="13"/>
  <c r="AG10" i="13"/>
  <c r="AQ6" i="13"/>
  <c r="AI3" i="13"/>
  <c r="AE8" i="13"/>
  <c r="AG2" i="13"/>
  <c r="AK8" i="13"/>
  <c r="AM2" i="13"/>
  <c r="AQ8" i="13"/>
  <c r="AK3" i="13"/>
  <c r="AE9" i="13"/>
  <c r="AQ9" i="13"/>
  <c r="Q10" i="13"/>
  <c r="O7" i="13"/>
  <c r="Y10" i="13"/>
  <c r="M4" i="13"/>
  <c r="I10" i="13"/>
  <c r="U2" i="13"/>
  <c r="K2" i="13"/>
  <c r="W6" i="13"/>
  <c r="AA2" i="13"/>
  <c r="S5" i="13"/>
  <c r="Y6" i="13"/>
  <c r="O3" i="13"/>
  <c r="AA8" i="13"/>
  <c r="O6" i="13"/>
  <c r="AA9" i="13"/>
  <c r="K9" i="13"/>
  <c r="S9" i="13"/>
  <c r="K10" i="13"/>
  <c r="M2" i="13"/>
  <c r="M5" i="13"/>
  <c r="AA6" i="13"/>
  <c r="Y7" i="13"/>
  <c r="AA7" i="13"/>
  <c r="W7" i="13"/>
  <c r="O8" i="13"/>
  <c r="AA4" i="13"/>
  <c r="O5" i="13"/>
  <c r="Q6" i="13"/>
  <c r="AA5" i="13"/>
  <c r="O2" i="13"/>
  <c r="I6" i="13"/>
  <c r="Q7" i="13"/>
  <c r="K5" i="13"/>
  <c r="AA10" i="13"/>
  <c r="I7" i="13"/>
  <c r="Q8" i="13"/>
  <c r="U5" i="13"/>
  <c r="Y4" i="13"/>
  <c r="I2" i="13"/>
  <c r="M6" i="13"/>
  <c r="O9" i="13"/>
  <c r="Q2" i="13"/>
  <c r="U6" i="13"/>
  <c r="W9" i="13"/>
  <c r="Y2" i="13"/>
  <c r="S10" i="13"/>
  <c r="I4" i="13"/>
  <c r="Q4" i="13"/>
  <c r="W8" i="13"/>
  <c r="I5" i="13"/>
  <c r="M7" i="13"/>
  <c r="O10" i="13"/>
  <c r="Q5" i="13"/>
  <c r="U7" i="13"/>
  <c r="W10" i="13"/>
  <c r="Y5" i="13"/>
  <c r="M3" i="13"/>
  <c r="U3" i="13"/>
  <c r="K3" i="13"/>
  <c r="M8" i="13"/>
  <c r="O4" i="13"/>
  <c r="S3" i="13"/>
  <c r="U8" i="13"/>
  <c r="W4" i="13"/>
  <c r="AA3" i="13"/>
  <c r="K6" i="13"/>
  <c r="M9" i="13"/>
  <c r="S6" i="13"/>
  <c r="U9" i="13"/>
  <c r="W2" i="13"/>
  <c r="K7" i="13"/>
  <c r="M10" i="13"/>
  <c r="S7" i="13"/>
  <c r="U10" i="13"/>
  <c r="W5" i="13"/>
  <c r="I3" i="13"/>
  <c r="K8" i="13"/>
  <c r="Q3" i="13"/>
  <c r="S8" i="13"/>
  <c r="U4" i="13"/>
  <c r="Y3" i="13"/>
  <c r="I8" i="13"/>
  <c r="K4" i="13"/>
  <c r="S4" i="13"/>
  <c r="W3" i="13"/>
  <c r="Y8" i="13"/>
  <c r="I9" i="13"/>
  <c r="Q9" i="13"/>
  <c r="S2" i="13"/>
  <c r="Y9" i="13"/>
  <c r="G5" i="13"/>
  <c r="G2" i="13"/>
  <c r="E2" i="13"/>
  <c r="G7" i="13"/>
  <c r="G6" i="13"/>
  <c r="G8" i="13"/>
  <c r="G3" i="13"/>
  <c r="G10" i="13"/>
  <c r="G9" i="13"/>
  <c r="G4" i="13"/>
  <c r="E8" i="13"/>
  <c r="E10" i="13"/>
  <c r="E3" i="13"/>
  <c r="E4" i="13"/>
  <c r="E6" i="13"/>
  <c r="E9" i="13"/>
  <c r="E7"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tc={06225B93-85FD-4278-8328-C5454EF3A7B3}</author>
  </authors>
  <commentList>
    <comment ref="P1" authorId="0" shapeId="0" xr:uid="{06225B93-85FD-4278-8328-C5454EF3A7B3}">
      <text>
        <t>[Threaded comment]
Your version of Excel allows you to read this threaded comment; however, any edits to it will get removed if the file is opened in a newer version of Excel. Learn more: https://go.microsoft.com/fwlink/?linkid=870924
Comment:
    IS this in minutes? Please check and let me know na.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819C3FB-6618-46B0-8D6C-CF18785ACAE3}" keepAlive="1" name="ModelConnection_ExternalData_1" description="Data Model" type="5" refreshedVersion="8" minRefreshableVersion="5" saveData="1">
    <dbPr connection="Data Model Connection" command="Table9  2" commandType="3"/>
    <extLst>
      <ext xmlns:x15="http://schemas.microsoft.com/office/spreadsheetml/2010/11/main" uri="{DE250136-89BD-433C-8126-D09CA5730AF9}">
        <x15:connection id="" model="1"/>
      </ext>
    </extLst>
  </connection>
  <connection id="2" xr16:uid="{E0D039F5-2405-47A7-94F8-91CE202AFFE2}" keepAlive="1" name="ModelConnection_ExternalData_11" description="Data Model" type="5" refreshedVersion="8" minRefreshableVersion="5" saveData="1">
    <dbPr connection="Data Model Connection" command="Normalized_Value" commandType="3"/>
    <extLst>
      <ext xmlns:x15="http://schemas.microsoft.com/office/spreadsheetml/2010/11/main" uri="{DE250136-89BD-433C-8126-D09CA5730AF9}">
        <x15:connection id="" model="1"/>
      </ext>
    </extLst>
  </connection>
  <connection id="3" xr16:uid="{61E2A567-2D89-4366-A697-113BD7B889B3}" keepAlive="1" name="ModelConnection_ExternalData_2" description="Data Model" type="5" refreshedVersion="8" minRefreshableVersion="5" saveData="1">
    <dbPr connection="Data Model Connection" command="Quality_Life_1 1" commandType="3"/>
    <extLst>
      <ext xmlns:x15="http://schemas.microsoft.com/office/spreadsheetml/2010/11/main" uri="{DE250136-89BD-433C-8126-D09CA5730AF9}">
        <x15:connection id="" model="1"/>
      </ext>
    </extLst>
  </connection>
  <connection id="4" xr16:uid="{DFA13766-53B5-45CA-B8D4-102C1A4F9266}" keepAlive="1" name="ModelConnection_ExternalData_21" description="Data Model" type="5" refreshedVersion="8" minRefreshableVersion="5" saveData="1">
    <dbPr connection="Data Model Connection" command="HC_1" commandType="3"/>
    <extLst>
      <ext xmlns:x15="http://schemas.microsoft.com/office/spreadsheetml/2010/11/main" uri="{DE250136-89BD-433C-8126-D09CA5730AF9}">
        <x15:connection id="" model="1"/>
      </ext>
    </extLst>
  </connection>
  <connection id="5" xr16:uid="{9B23CA10-27D9-49D2-BFA7-344BBE5E63A3}" keepAlive="1" name="ModelConnection_ExternalData_22" description="Data Model" type="5" refreshedVersion="8" minRefreshableVersion="5" saveData="1">
    <dbPr connection="Data Model Connection" command="Cost_Of_living_query" commandType="3"/>
    <extLst>
      <ext xmlns:x15="http://schemas.microsoft.com/office/spreadsheetml/2010/11/main" uri="{DE250136-89BD-433C-8126-D09CA5730AF9}">
        <x15:connection id="" model="1"/>
      </ext>
    </extLst>
  </connection>
  <connection id="6" xr16:uid="{181A4F82-E0C4-4E8C-AE2A-A24B4C2EB044}" keepAlive="1" name="ModelConnection_ExternalData_23" description="Data Model" type="5" refreshedVersion="8" minRefreshableVersion="5" saveData="1">
    <dbPr connection="Data Model Connection" command="Table9" commandType="3"/>
    <extLst>
      <ext xmlns:x15="http://schemas.microsoft.com/office/spreadsheetml/2010/11/main" uri="{DE250136-89BD-433C-8126-D09CA5730AF9}">
        <x15:connection id="" model="1"/>
      </ext>
    </extLst>
  </connection>
  <connection id="7" xr16:uid="{6608E066-C8C9-4638-96B0-68E37E5148E8}" name="Query - Cost_Of_living_query" description="Connection to the 'Cost_Of_living_query' query in the workbook." type="100" refreshedVersion="8" minRefreshableVersion="5">
    <extLst>
      <ext xmlns:x15="http://schemas.microsoft.com/office/spreadsheetml/2010/11/main" uri="{DE250136-89BD-433C-8126-D09CA5730AF9}">
        <x15:connection id="df86521e-b6c0-4376-8eba-1d2b96522f1d">
          <x15:oledbPr connection="Provider=Microsoft.Mashup.OleDb.1;Data Source=$Workbook$;Location=Cost_Of_living_query;Extended Properties=&quot;&quot;">
            <x15:dbTables>
              <x15:dbTable name="Cost_Of_living_query"/>
            </x15:dbTables>
          </x15:oledbPr>
        </x15:connection>
      </ext>
    </extLst>
  </connection>
  <connection id="8" xr16:uid="{F881CA65-7D6A-4C3D-ABB0-11FEC7B6B972}" keepAlive="1" name="Query - Final Merged" description="Connection to the 'Final Merged' query in the workbook." type="5" refreshedVersion="8" background="1" saveData="1">
    <dbPr connection="Provider=Microsoft.Mashup.OleDb.1;Data Source=$Workbook$;Location=&quot;Final Merged&quot;;Extended Properties=&quot;&quot;" command="SELECT * FROM [Final Merged]"/>
  </connection>
  <connection id="9" xr16:uid="{5AA8E527-8323-4F5C-8767-7C60F4D6EB9F}" keepAlive="1" name="Query - FullandFinal_Project" description="Connection to the 'FullandFinal_Project' query in the workbook." type="5" refreshedVersion="8" background="1" saveData="1">
    <dbPr connection="Provider=Microsoft.Mashup.OleDb.1;Data Source=$Workbook$;Location=FullandFinal_Project;Extended Properties=&quot;&quot;" command="SELECT * FROM [FullandFinal_Project]"/>
  </connection>
  <connection id="10" xr16:uid="{CA25DFCF-CFA9-4193-AAA8-363C85735B67}" name="Query - HC_1" description="Connection to the 'HC_1' query in the workbook." type="100" refreshedVersion="8" minRefreshableVersion="5">
    <extLst>
      <ext xmlns:x15="http://schemas.microsoft.com/office/spreadsheetml/2010/11/main" uri="{DE250136-89BD-433C-8126-D09CA5730AF9}">
        <x15:connection id="4d1e3081-8681-4f8d-875c-bd04b143fdd6">
          <x15:oledbPr connection="Provider=Microsoft.Mashup.OleDb.1;Data Source=$Workbook$;Location=HC_1;Extended Properties=&quot;&quot;">
            <x15:dbTables>
              <x15:dbTable name="HC_1"/>
            </x15:dbTables>
          </x15:oledbPr>
        </x15:connection>
      </ext>
    </extLst>
  </connection>
  <connection id="11" xr16:uid="{BB4CEC31-054E-45B9-B964-1E88252BB810}" name="Query - Normalized_Value" description="Connection to the 'Normalized_Value' query in the workbook." type="100" refreshedVersion="8" minRefreshableVersion="5">
    <extLst>
      <ext xmlns:x15="http://schemas.microsoft.com/office/spreadsheetml/2010/11/main" uri="{DE250136-89BD-433C-8126-D09CA5730AF9}">
        <x15:connection id="5f5fc194-03d4-4d2b-8d88-8045a85ef973"/>
      </ext>
    </extLst>
  </connection>
  <connection id="12" xr16:uid="{BF702AA4-AE64-40F1-B3E3-188CBF5C86AF}" keepAlive="1" name="Query - QLnCL_query" description="Connection to the 'QLnCL_query' query in the workbook." type="5" refreshedVersion="8" background="1" saveData="1">
    <dbPr connection="Provider=Microsoft.Mashup.OleDb.1;Data Source=$Workbook$;Location=QLnCL_query;Extended Properties=&quot;&quot;" command="SELECT * FROM [QLnCL_query]"/>
  </connection>
  <connection id="13" xr16:uid="{37BC5824-AFC6-4A81-9610-680EED9B9126}" keepAlive="1" name="Query - QLnCLnHC" description="Connection to the 'QLnCLnHC' query in the workbook." type="5" refreshedVersion="8" background="1" saveData="1">
    <dbPr connection="Provider=Microsoft.Mashup.OleDb.1;Data Source=$Workbook$;Location=QLnCLnHC;Extended Properties=&quot;&quot;" command="SELECT * FROM [QLnCLnHC]"/>
  </connection>
  <connection id="14" xr16:uid="{C2DFA18E-BEDA-42A9-AE33-4722B6A7BB12}" name="Query - Quality_Life_1" description="Connection to the 'Quality_Life_1' query in the workbook." type="100" refreshedVersion="8" minRefreshableVersion="5">
    <extLst>
      <ext xmlns:x15="http://schemas.microsoft.com/office/spreadsheetml/2010/11/main" uri="{DE250136-89BD-433C-8126-D09CA5730AF9}">
        <x15:connection id="a0ed9b01-e1d3-420a-8085-8fffd8b96732">
          <x15:oledbPr connection="Provider=Microsoft.Mashup.OleDb.1;Data Source=$Workbook$;Location=Quality_Life_1;Extended Properties=&quot;&quot;">
            <x15:dbTables>
              <x15:dbTable name="Quality_Life_1"/>
            </x15:dbTables>
          </x15:oledbPr>
        </x15:connection>
      </ext>
    </extLst>
  </connection>
  <connection id="15" xr16:uid="{F28F221D-C4EF-4DAE-9B91-A43F44898545}" name="Query - Table9" description="Connection to the 'Table9' query in the workbook." type="100" refreshedVersion="8" minRefreshableVersion="5">
    <extLst>
      <ext xmlns:x15="http://schemas.microsoft.com/office/spreadsheetml/2010/11/main" uri="{DE250136-89BD-433C-8126-D09CA5730AF9}">
        <x15:connection id="6f667f87-ef7d-44ce-9960-a7e4633b8f9b"/>
      </ext>
    </extLst>
  </connection>
  <connection id="16" xr16:uid="{B53571F0-2FB5-4D70-97B3-B2BC962C22F0}" name="Query - Table9 (2)" description="Connection to the 'Table9 (2)' query in the workbook." type="100" refreshedVersion="8" minRefreshableVersion="5">
    <extLst>
      <ext xmlns:x15="http://schemas.microsoft.com/office/spreadsheetml/2010/11/main" uri="{DE250136-89BD-433C-8126-D09CA5730AF9}">
        <x15:connection id="0602f20b-1b08-434e-b1ff-31e7c4c750e6"/>
      </ext>
    </extLst>
  </connection>
  <connection id="17" xr16:uid="{DA390FFF-3D46-4C17-8FBF-7BF809AFE83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CCCCCE3F-2D03-443A-95D1-251C350A0430}" name="WorksheetConnection_Table9_1" type="102" refreshedVersion="8" minRefreshableVersion="5">
    <extLst>
      <ext xmlns:x15="http://schemas.microsoft.com/office/spreadsheetml/2010/11/main" uri="{DE250136-89BD-433C-8126-D09CA5730AF9}">
        <x15:connection id="Table9_1">
          <x15:rangePr sourceName="_xlcn.WorksheetConnection_Table9_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<sst xmlns="http://schemas.openxmlformats.org/spreadsheetml/2006/main" count="804" uniqueCount="237">
  <si>
    <t>Please select City</t>
  </si>
  <si>
    <t>Atlanta</t>
  </si>
  <si>
    <t>Quality of Life Index</t>
  </si>
  <si>
    <t>Cost of Living Index</t>
  </si>
  <si>
    <t>Pollution Index</t>
  </si>
  <si>
    <t>Purchasing Power Index</t>
  </si>
  <si>
    <t>HealthCare Index</t>
  </si>
  <si>
    <t>Population</t>
  </si>
  <si>
    <t>State Tax Rate</t>
  </si>
  <si>
    <t>City</t>
  </si>
  <si>
    <t>StateAbb</t>
  </si>
  <si>
    <t>State FullName</t>
  </si>
  <si>
    <t>Normalised QoL</t>
  </si>
  <si>
    <t>Normalised PPI</t>
  </si>
  <si>
    <t>Safety Index</t>
  </si>
  <si>
    <t>Normalised SI</t>
  </si>
  <si>
    <t>Health Care Index</t>
  </si>
  <si>
    <t>Normalised HCI</t>
  </si>
  <si>
    <t>Normalised CLI</t>
  </si>
  <si>
    <t>Property Price to Income Ratio</t>
  </si>
  <si>
    <t>Normalised PPIR</t>
  </si>
  <si>
    <t>Traffic Commute Time Index</t>
  </si>
  <si>
    <t>Normalised TCTI</t>
  </si>
  <si>
    <t>Normalised PI</t>
  </si>
  <si>
    <t>Climate Index</t>
  </si>
  <si>
    <t>Normalised CI</t>
  </si>
  <si>
    <t>Rent Index</t>
  </si>
  <si>
    <t>Normalised RI</t>
  </si>
  <si>
    <t>Restaurant Price Index</t>
  </si>
  <si>
    <t>Normalised RPI</t>
  </si>
  <si>
    <t>Local Purchasing Power Index</t>
  </si>
  <si>
    <t>Normalised LPPI</t>
  </si>
  <si>
    <t>Health Care Index.1</t>
  </si>
  <si>
    <t>Normalised HCI 1</t>
  </si>
  <si>
    <t>Health Care Exp. Index</t>
  </si>
  <si>
    <t>Normalised HCEI</t>
  </si>
  <si>
    <t>Traffic Index</t>
  </si>
  <si>
    <t>Normalised TI</t>
  </si>
  <si>
    <t>Time Index (in minutes)</t>
  </si>
  <si>
    <t>Normalised TI2</t>
  </si>
  <si>
    <t>Time Exp. Index</t>
  </si>
  <si>
    <t>Normalised TEI</t>
  </si>
  <si>
    <t>Insufficiency Index</t>
  </si>
  <si>
    <t>Normalised II</t>
  </si>
  <si>
    <t>CO2 Emission Index</t>
  </si>
  <si>
    <t>Normalised CEI</t>
  </si>
  <si>
    <t>Temperature-High (°F)</t>
  </si>
  <si>
    <t>Normalised TH</t>
  </si>
  <si>
    <t>Temperature-Low (°F)</t>
  </si>
  <si>
    <t>Normalised TL</t>
  </si>
  <si>
    <t>population</t>
  </si>
  <si>
    <t>Normalised P</t>
  </si>
  <si>
    <t>total_crime</t>
  </si>
  <si>
    <t>Normalised TC</t>
  </si>
  <si>
    <t>murder</t>
  </si>
  <si>
    <t>Normalised M</t>
  </si>
  <si>
    <t>rape</t>
  </si>
  <si>
    <t>Normalised R</t>
  </si>
  <si>
    <t>robbery</t>
  </si>
  <si>
    <t>Normalised Robbery</t>
  </si>
  <si>
    <t>aggravated_assault</t>
  </si>
  <si>
    <t>Normalised AA</t>
  </si>
  <si>
    <t>tot_violent_crime</t>
  </si>
  <si>
    <t>Normalised TVC</t>
  </si>
  <si>
    <t>burglary</t>
  </si>
  <si>
    <t>Normalised Burglary</t>
  </si>
  <si>
    <t>larceny</t>
  </si>
  <si>
    <t>Normalised Larceny</t>
  </si>
  <si>
    <t>vehicle_theft</t>
  </si>
  <si>
    <t>Normalised VT</t>
  </si>
  <si>
    <t>total_property_crim</t>
  </si>
  <si>
    <t>Normalised TPC</t>
  </si>
  <si>
    <t>Median Household Income</t>
  </si>
  <si>
    <t>Normalised MHI</t>
  </si>
  <si>
    <t>AQI</t>
  </si>
  <si>
    <t>Normalised AQI</t>
  </si>
  <si>
    <t>Normalised STR</t>
  </si>
  <si>
    <t>Avg local total rate</t>
  </si>
  <si>
    <t>Normalised ALTR</t>
  </si>
  <si>
    <t>Combined Rate</t>
  </si>
  <si>
    <t>Normalised CR</t>
  </si>
  <si>
    <t xml:space="preserve"> GA</t>
  </si>
  <si>
    <t>Georgia</t>
  </si>
  <si>
    <t>Boston</t>
  </si>
  <si>
    <t xml:space="preserve"> MA</t>
  </si>
  <si>
    <t xml:space="preserve"> Massachusetts</t>
  </si>
  <si>
    <t>Chicago</t>
  </si>
  <si>
    <t xml:space="preserve"> IL</t>
  </si>
  <si>
    <t xml:space="preserve"> Illinois</t>
  </si>
  <si>
    <t>Denver</t>
  </si>
  <si>
    <t xml:space="preserve"> CO</t>
  </si>
  <si>
    <t xml:space="preserve"> Colorado</t>
  </si>
  <si>
    <t>Las Vegas</t>
  </si>
  <si>
    <t xml:space="preserve"> NV</t>
  </si>
  <si>
    <t xml:space="preserve"> Nevada</t>
  </si>
  <si>
    <t>New York</t>
  </si>
  <si>
    <t xml:space="preserve"> NY</t>
  </si>
  <si>
    <t xml:space="preserve"> New York</t>
  </si>
  <si>
    <t>San Francisco</t>
  </si>
  <si>
    <t xml:space="preserve"> CA</t>
  </si>
  <si>
    <t xml:space="preserve"> California</t>
  </si>
  <si>
    <t>Seattle</t>
  </si>
  <si>
    <t xml:space="preserve"> WA</t>
  </si>
  <si>
    <t xml:space="preserve"> Washington</t>
  </si>
  <si>
    <t>Tampa</t>
  </si>
  <si>
    <t xml:space="preserve"> FL</t>
  </si>
  <si>
    <t xml:space="preserve"> Florida</t>
  </si>
  <si>
    <t>Min</t>
  </si>
  <si>
    <t>Max</t>
  </si>
  <si>
    <t>agrv_assault</t>
  </si>
  <si>
    <t>tot_prop_crim</t>
  </si>
  <si>
    <t>Sum of population</t>
  </si>
  <si>
    <t>685 Total</t>
  </si>
  <si>
    <t>3387 Total</t>
  </si>
  <si>
    <t>59 Total</t>
  </si>
  <si>
    <t>294 Total</t>
  </si>
  <si>
    <t>704 Total</t>
  </si>
  <si>
    <t>Atlanta Total</t>
  </si>
  <si>
    <t>Grand Total</t>
  </si>
  <si>
    <t>Houston</t>
  </si>
  <si>
    <t xml:space="preserve"> TX</t>
  </si>
  <si>
    <t>Texas</t>
  </si>
  <si>
    <t>Sacramento</t>
  </si>
  <si>
    <t>San Antonio</t>
  </si>
  <si>
    <t>San Diego</t>
  </si>
  <si>
    <t>Dallas</t>
  </si>
  <si>
    <t>Miami</t>
  </si>
  <si>
    <t>Orlando</t>
  </si>
  <si>
    <t>Los Angeles</t>
  </si>
  <si>
    <t>San Jose</t>
  </si>
  <si>
    <t>StateFullName</t>
  </si>
  <si>
    <t>State Full Name</t>
  </si>
  <si>
    <t>Cost of Living Plus Rent Index</t>
  </si>
  <si>
    <t>Groceries Index</t>
  </si>
  <si>
    <t>State Abb</t>
  </si>
  <si>
    <t xml:space="preserve"> Georgia</t>
  </si>
  <si>
    <t>Austin</t>
  </si>
  <si>
    <t xml:space="preserve"> Texas</t>
  </si>
  <si>
    <t>(All)</t>
  </si>
  <si>
    <t>Row Labels</t>
  </si>
  <si>
    <t>High Temperature (°F)</t>
  </si>
  <si>
    <t>Low Temperature (°F)</t>
  </si>
  <si>
    <t xml:space="preserve"> AQI</t>
  </si>
  <si>
    <t xml:space="preserve"> total_crime</t>
  </si>
  <si>
    <t>total_violent_crime</t>
  </si>
  <si>
    <t xml:space="preserve">Pollution Index </t>
  </si>
  <si>
    <t xml:space="preserve">Traffic Index </t>
  </si>
  <si>
    <t>New York City</t>
  </si>
  <si>
    <t xml:space="preserve">murder </t>
  </si>
  <si>
    <t xml:space="preserve">rape </t>
  </si>
  <si>
    <t xml:space="preserve">robbery </t>
  </si>
  <si>
    <t xml:space="preserve">agrv_assault </t>
  </si>
  <si>
    <t>Cities</t>
  </si>
  <si>
    <t>Weights</t>
  </si>
  <si>
    <t>Score</t>
  </si>
  <si>
    <t>Scores</t>
  </si>
  <si>
    <t>Cost of Living Score</t>
  </si>
  <si>
    <t>Healthcare Index</t>
  </si>
  <si>
    <t>Crime Rate</t>
  </si>
  <si>
    <t>Average High Temperature</t>
  </si>
  <si>
    <t>AQI Score</t>
  </si>
  <si>
    <t>Average Low Temperature</t>
  </si>
  <si>
    <t>Conclusion</t>
  </si>
  <si>
    <t>Customise your Conclusion</t>
  </si>
  <si>
    <t>Normalised Quality of Life</t>
  </si>
  <si>
    <t>Normalised Purchasing Power index</t>
  </si>
  <si>
    <t>Normalised HealthCare Index</t>
  </si>
  <si>
    <t>Normalised Cost of Living Index</t>
  </si>
  <si>
    <t>Normalised Safety Index</t>
  </si>
  <si>
    <t>Normalised Property Price to Income Ratio</t>
  </si>
  <si>
    <t>Normalised Traffic Commute Time Index</t>
  </si>
  <si>
    <t>Normalised Pollution Index</t>
  </si>
  <si>
    <t>Normalised Climatre Index</t>
  </si>
  <si>
    <t>Normalised Rent Index</t>
  </si>
  <si>
    <t>Normalised Restaurant Price Index</t>
  </si>
  <si>
    <t>Normalised Local Purchasing Power Index</t>
  </si>
  <si>
    <t>Normalised HealthCare Index 1</t>
  </si>
  <si>
    <t>Normalised HealthCare Exp Index</t>
  </si>
  <si>
    <t>Normalised Traffic Index</t>
  </si>
  <si>
    <t>Normalised Time Index (in Min)</t>
  </si>
  <si>
    <t>Normalised Time Expected Index</t>
  </si>
  <si>
    <t>Normalised Insufficiency Index</t>
  </si>
  <si>
    <t>Normalised Co2 Emission Index</t>
  </si>
  <si>
    <t>Normalised Temperatyre High (F)</t>
  </si>
  <si>
    <t>Normalised Temperature Low (F)</t>
  </si>
  <si>
    <t>Normalised Population</t>
  </si>
  <si>
    <t>Normalised Total Crime</t>
  </si>
  <si>
    <t>Normalised Murder</t>
  </si>
  <si>
    <t>Normalised Rape</t>
  </si>
  <si>
    <t>Normalised Aggr Assualt</t>
  </si>
  <si>
    <t>Normalised Total violent Crimes</t>
  </si>
  <si>
    <t>Normalised Vehical Theft</t>
  </si>
  <si>
    <t>Normalised Total Property Crime</t>
  </si>
  <si>
    <t>Normalised Median Household Income</t>
  </si>
  <si>
    <t>Normalised State Tax Rate</t>
  </si>
  <si>
    <t>Normalised Avg Local Tax Rate</t>
  </si>
  <si>
    <t>Normalised Combined Tax Rate</t>
  </si>
  <si>
    <t>Normalised Health Care Index</t>
  </si>
  <si>
    <t>Normalised Cost Of Living Index</t>
  </si>
  <si>
    <t>Normalised Rent index</t>
  </si>
  <si>
    <t>Normalised Temperature-High</t>
  </si>
  <si>
    <t>Normalised Temperature-Low</t>
  </si>
  <si>
    <t>Normalised Tax Rate</t>
  </si>
  <si>
    <t>Normalised Total Crime Rate</t>
  </si>
  <si>
    <t>Normalised Purchasing Power Index</t>
  </si>
  <si>
    <t>Tax Rate</t>
  </si>
  <si>
    <t>Numbeo</t>
  </si>
  <si>
    <t>Kaggle</t>
  </si>
  <si>
    <t>Crime</t>
  </si>
  <si>
    <t>Average Income</t>
  </si>
  <si>
    <t>Cost of Living</t>
  </si>
  <si>
    <t>Health Care</t>
  </si>
  <si>
    <t>Quality of Life</t>
  </si>
  <si>
    <t>Taxes</t>
  </si>
  <si>
    <t>Quality of Life in United States</t>
  </si>
  <si>
    <t>URL</t>
  </si>
  <si>
    <t>Dataset Fetched</t>
  </si>
  <si>
    <t>Name of the Website</t>
  </si>
  <si>
    <t>Average Income in 20 most populated cities in US</t>
  </si>
  <si>
    <t>Statista.com</t>
  </si>
  <si>
    <t>Taxes in the US</t>
  </si>
  <si>
    <t>AQI - US Environmental Protection Agency</t>
  </si>
  <si>
    <t>Health Care in the US</t>
  </si>
  <si>
    <t>US Cost of Living</t>
  </si>
  <si>
    <t>US States Annual Average Temperature</t>
  </si>
  <si>
    <t>Temperature</t>
  </si>
  <si>
    <t>Current Results.com</t>
  </si>
  <si>
    <t>Crime Rates in Cities, US</t>
  </si>
  <si>
    <t>Traffic in the US</t>
  </si>
  <si>
    <t xml:space="preserve">Traffic </t>
  </si>
  <si>
    <t>+</t>
  </si>
  <si>
    <t>.</t>
  </si>
  <si>
    <t>Name</t>
  </si>
  <si>
    <t>Renu Sree</t>
  </si>
  <si>
    <t>Namrata</t>
  </si>
  <si>
    <t>Ruthvik</t>
  </si>
  <si>
    <t>Swarnima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</si>
</sst>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
    <numFmt numFmtId="165" formatCode="_([$$-409]* #,##0.00_);_([$$-409]* \(#,##0.00\);_([$$-409]* &quot;-&quot;??_);_(@_)"/>
    <numFmt numFmtId="166" formatCode="_([$$-409]* #,##0_);_([$$-409]* \(#,##0\);_([$$-409]* &quot;-&quot;??_);_(@_)"/>
    <numFmt numFmtId="167" formatCode="_(* #,##0_);_(* \(#,##0\);_(* &quot;-&quot;??_);_(@_)"/>
    <numFmt numFmtId="168" formatCode="0.0"/>
    <numFmt numFmtId="169" formatCode="&quot;$&quot;#,##0"/>
  </numFmts>
  <fonts count="18" x14ac:knownFonts="1">
    <font>
      <sz val="11"/>
      <color theme="1"/>
      <name val="Calibri"/>
      <family val="2"/>
      <scheme val="minor"/>
    </font>
    <font>
      <sz val="8"/>
      <name val="Calibri"/>
      <family val="2"/>
      <scheme val="minor"/>
    </font>
    <font>
      <b/>
      <sz val="11"/>
      <color theme="0"/>
      <name val="Calibri"/>
      <family val="2"/>
      <scheme val="minor"/>
    </font>
    <font>
      <sz val="11"/>
      <color rgb="FF3F3F76"/>
      <name val="Calibri"/>
      <family val="2"/>
      <scheme val="minor"/>
    </font>
    <font>
      <b/>
      <sz val="11"/>
      <color rgb="FFFA7D0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6"/>
      <color theme="3"/>
      <name val="Calibri"/>
      <family val="2"/>
      <scheme val="minor"/>
    </font>
    <font>
      <sz val="12"/>
      <color rgb="FF3F3F76"/>
      <name val="Times New Roman"/>
      <family val="1"/>
    </font>
    <font>
      <b/>
      <sz val="12"/>
      <color rgb="FFFA7D00"/>
      <name val="Times New Roman"/>
      <family val="1"/>
    </font>
    <font>
      <sz val="11"/>
      <color theme="1"/>
      <name val="Times New Roman"/>
      <family val="1"/>
    </font>
    <font>
      <sz val="18"/>
      <color theme="3"/>
      <name val="Times New Roman"/>
      <family val="1"/>
    </font>
    <font>
      <b/>
      <sz val="11"/>
      <color theme="1"/>
      <name val="Times New Roman"/>
      <family val="1"/>
    </font>
    <font>
      <sz val="18"/>
      <color rgb="FF000000"/>
      <name val="Times New Roman"/>
      <family val="1"/>
    </font>
    <font>
      <u/>
      <sz val="11"/>
      <color theme="10"/>
      <name val="Calibri"/>
      <family val="2"/>
      <scheme val="minor"/>
    </font>
    <font>
      <sz val="12"/>
      <color theme="1"/>
      <name val="Calibri"/>
      <family val="2"/>
      <scheme val="minor"/>
    </font>
    <font>
      <u/>
      <sz val="11"/>
      <color theme="5" tint="-0.499984740745262"/>
      <name val="Calibri"/>
      <family val="2"/>
      <scheme val="minor"/>
    </font>
  </fonts>
  <fills count="9">
    <fill>
      <patternFill patternType="none"/>
    </fill>
    <fill>
      <patternFill patternType="gray125"/>
    </fill>
    <fill>
      <patternFill patternType="solid">
        <fgColor theme="9" tint="0.79998168889431442"/>
        <bgColor theme="9" tint="0.79998168889431442"/>
      </patternFill>
    </fill>
    <fill>
      <patternFill patternType="solid">
        <fgColor theme="9"/>
        <bgColor theme="9"/>
      </patternFill>
    </fill>
    <fill>
      <patternFill patternType="solid">
        <fgColor rgb="FFFFCC99"/>
      </patternFill>
    </fill>
    <fill>
      <patternFill patternType="solid">
        <fgColor rgb="FFF2F2F2"/>
      </patternFill>
    </fill>
    <fill>
      <patternFill patternType="solid">
        <fgColor theme="0"/>
        <bgColor indexed="64"/>
      </patternFill>
    </fill>
    <fill>
      <patternFill patternType="solid">
        <fgColor theme="2" tint="-0.249977111117893"/>
        <bgColor indexed="64"/>
      </patternFill>
    </fill>
    <fill>
      <patternFill patternType="solid">
        <fgColor theme="8" tint="0.79998168889431442"/>
        <bgColor indexed="64"/>
      </patternFill>
    </fill>
  </fills>
  <borders count="23">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top style="thin">
        <color theme="9" tint="0.39997558519241921"/>
      </top>
      <bottom/>
      <diagonal/>
    </border>
    <border>
      <left style="thin">
        <color rgb="FF7F7F7F"/>
      </left>
      <right style="thin">
        <color rgb="FF7F7F7F"/>
      </right>
      <top style="thin">
        <color rgb="FF7F7F7F"/>
      </top>
      <bottom style="thin">
        <color rgb="FF7F7F7F"/>
      </bottom>
      <diagonal/>
    </border>
    <border>
      <left style="thin">
        <color theme="9" tint="0.39997558519241921"/>
      </left>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rgb="FF7F7F7F"/>
      </bottom>
      <diagonal/>
    </border>
    <border>
      <left style="thin">
        <color indexed="64"/>
      </left>
      <right style="thin">
        <color indexed="64"/>
      </right>
      <top/>
      <bottom/>
      <diagonal/>
    </border>
    <border>
      <left style="thin">
        <color indexed="64"/>
      </left>
      <right style="thin">
        <color indexed="64"/>
      </right>
      <top style="thin">
        <color rgb="FF7F7F7F"/>
      </top>
      <bottom style="thin">
        <color indexed="64"/>
      </bottom>
      <diagonal/>
    </border>
    <border>
      <left style="thin">
        <color indexed="64"/>
      </left>
      <right style="thin">
        <color indexed="64"/>
      </right>
      <top style="thin">
        <color rgb="FF7F7F7F"/>
      </top>
      <bottom/>
      <diagonal/>
    </border>
    <border>
      <left/>
      <right/>
      <top/>
      <bottom style="thick">
        <color theme="4"/>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s>
  <cellStyleXfs count="8">
    <xf numFmtId="0" fontId="0" fillId="0" borderId="0"/>
    <xf numFmtId="0" fontId="3" fillId="4" borderId="10" applyNumberFormat="0" applyAlignment="0" applyProtection="0"/>
    <xf numFmtId="0" fontId="4" fillId="5" borderId="10" applyNumberFormat="0" applyAlignment="0" applyProtection="0"/>
    <xf numFmtId="9" fontId="5" fillId="0" borderId="0" applyFont="0" applyFill="0" applyBorder="0" applyAlignment="0" applyProtection="0"/>
    <xf numFmtId="43" fontId="5" fillId="0" borderId="0" applyFont="0" applyFill="0" applyBorder="0" applyAlignment="0" applyProtection="0"/>
    <xf numFmtId="0" fontId="6" fillId="0" borderId="0" applyNumberFormat="0" applyFill="0" applyBorder="0" applyAlignment="0" applyProtection="0"/>
    <xf numFmtId="0" fontId="7" fillId="0" borderId="18" applyNumberFormat="0" applyFill="0" applyAlignment="0" applyProtection="0"/>
    <xf numFmtId="0" fontId="15" fillId="0" borderId="0" applyNumberFormat="0" applyFill="0" applyBorder="0" applyAlignment="0" applyProtection="0"/>
  </cellStyleXfs>
  <cellXfs count="75">
    <xf numFmtId="0" fontId="0" fillId="0" borderId="0" xfId="0"/>
    <xf numFmtId="2" fontId="0" fillId="0" borderId="0" xfId="0" applyNumberFormat="1"/>
    <xf numFmtId="0" fontId="0" fillId="0" borderId="0" xfId="0" pivotButton="1"/>
    <xf numFmtId="0" fontId="0" fillId="0" borderId="0" xfId="0" applyAlignment="1">
      <alignment horizontal="left"/>
    </xf>
    <xf numFmtId="10" fontId="0" fillId="0" borderId="0" xfId="0" applyNumberFormat="1"/>
    <xf numFmtId="164" fontId="0" fillId="0" borderId="0" xfId="0" applyNumberFormat="1"/>
    <xf numFmtId="165" fontId="0" fillId="0" borderId="0" xfId="0" applyNumberFormat="1"/>
    <xf numFmtId="166" fontId="0" fillId="0" borderId="0" xfId="0" applyNumberFormat="1"/>
    <xf numFmtId="1" fontId="0" fillId="0" borderId="0" xfId="0" applyNumberFormat="1"/>
    <xf numFmtId="167" fontId="0" fillId="0" borderId="0" xfId="0" applyNumberFormat="1"/>
    <xf numFmtId="168" fontId="0" fillId="0" borderId="0" xfId="0" applyNumberFormat="1"/>
    <xf numFmtId="169" fontId="0" fillId="0" borderId="0" xfId="0" applyNumberFormat="1"/>
    <xf numFmtId="0" fontId="0" fillId="0" borderId="1" xfId="0" applyBorder="1"/>
    <xf numFmtId="1" fontId="0" fillId="0" borderId="2" xfId="0" applyNumberFormat="1" applyBorder="1"/>
    <xf numFmtId="0" fontId="0" fillId="0" borderId="2" xfId="0" applyBorder="1"/>
    <xf numFmtId="168" fontId="0" fillId="0" borderId="2" xfId="0" applyNumberFormat="1" applyBorder="1"/>
    <xf numFmtId="169" fontId="0" fillId="0" borderId="2" xfId="0" applyNumberFormat="1" applyBorder="1"/>
    <xf numFmtId="167" fontId="0" fillId="0" borderId="2" xfId="0" applyNumberFormat="1" applyBorder="1"/>
    <xf numFmtId="166" fontId="0" fillId="0" borderId="2" xfId="0" applyNumberFormat="1" applyBorder="1"/>
    <xf numFmtId="164" fontId="0" fillId="0" borderId="2" xfId="0" applyNumberFormat="1" applyBorder="1"/>
    <xf numFmtId="10" fontId="0" fillId="0" borderId="2" xfId="0" applyNumberFormat="1" applyBorder="1"/>
    <xf numFmtId="10" fontId="0" fillId="0" borderId="3" xfId="0" applyNumberFormat="1" applyBorder="1"/>
    <xf numFmtId="0" fontId="0" fillId="0" borderId="4" xfId="0" applyBorder="1"/>
    <xf numFmtId="1" fontId="0" fillId="0" borderId="5" xfId="0" applyNumberFormat="1" applyBorder="1"/>
    <xf numFmtId="0" fontId="0" fillId="0" borderId="5" xfId="0" applyBorder="1"/>
    <xf numFmtId="168" fontId="0" fillId="0" borderId="5" xfId="0" applyNumberFormat="1" applyBorder="1"/>
    <xf numFmtId="169" fontId="0" fillId="0" borderId="5" xfId="0" applyNumberFormat="1" applyBorder="1"/>
    <xf numFmtId="167" fontId="0" fillId="0" borderId="5" xfId="0" applyNumberFormat="1" applyBorder="1"/>
    <xf numFmtId="166" fontId="0" fillId="0" borderId="5" xfId="0" applyNumberFormat="1" applyBorder="1"/>
    <xf numFmtId="164" fontId="0" fillId="0" borderId="5" xfId="0" applyNumberFormat="1" applyBorder="1"/>
    <xf numFmtId="10" fontId="0" fillId="0" borderId="5" xfId="0" applyNumberFormat="1" applyBorder="1"/>
    <xf numFmtId="10" fontId="0" fillId="0" borderId="6" xfId="0" applyNumberFormat="1" applyBorder="1"/>
    <xf numFmtId="167" fontId="0" fillId="2" borderId="7" xfId="0" applyNumberFormat="1" applyFill="1" applyBorder="1"/>
    <xf numFmtId="167" fontId="0" fillId="0" borderId="7" xfId="0" applyNumberFormat="1" applyBorder="1"/>
    <xf numFmtId="1" fontId="0" fillId="2" borderId="7" xfId="0" applyNumberFormat="1" applyFill="1" applyBorder="1"/>
    <xf numFmtId="1" fontId="0" fillId="0" borderId="7" xfId="0" applyNumberFormat="1" applyBorder="1"/>
    <xf numFmtId="0" fontId="0" fillId="2" borderId="7" xfId="0" applyFill="1" applyBorder="1"/>
    <xf numFmtId="0" fontId="0" fillId="0" borderId="7" xfId="0" applyBorder="1"/>
    <xf numFmtId="0" fontId="2" fillId="3" borderId="8" xfId="0" applyFont="1" applyFill="1" applyBorder="1"/>
    <xf numFmtId="0" fontId="0" fillId="2" borderId="9" xfId="0" applyFill="1" applyBorder="1"/>
    <xf numFmtId="167" fontId="0" fillId="2" borderId="9" xfId="0" applyNumberFormat="1" applyFill="1" applyBorder="1"/>
    <xf numFmtId="1" fontId="0" fillId="2" borderId="9" xfId="0" applyNumberFormat="1" applyFill="1" applyBorder="1"/>
    <xf numFmtId="0" fontId="0" fillId="2" borderId="11" xfId="0" applyFill="1" applyBorder="1"/>
    <xf numFmtId="0" fontId="0" fillId="0" borderId="11" xfId="0" applyBorder="1"/>
    <xf numFmtId="0" fontId="0" fillId="2" borderId="12" xfId="0" applyFill="1" applyBorder="1"/>
    <xf numFmtId="0" fontId="0" fillId="0" borderId="15" xfId="0" applyBorder="1"/>
    <xf numFmtId="0" fontId="0" fillId="0" borderId="17" xfId="0" applyBorder="1"/>
    <xf numFmtId="0" fontId="0" fillId="0" borderId="0" xfId="0" applyAlignment="1">
      <alignment horizontal="center"/>
    </xf>
    <xf numFmtId="0" fontId="8" fillId="0" borderId="18" xfId="6" applyFont="1" applyAlignment="1">
      <alignment horizontal="center"/>
    </xf>
    <xf numFmtId="2" fontId="0" fillId="0" borderId="0" xfId="0" applyNumberFormat="1" applyAlignment="1">
      <alignment horizontal="center"/>
    </xf>
    <xf numFmtId="164" fontId="0" fillId="0" borderId="0" xfId="0" applyNumberFormat="1" applyAlignment="1">
      <alignment horizontal="center"/>
    </xf>
    <xf numFmtId="10" fontId="0" fillId="0" borderId="0" xfId="3" applyNumberFormat="1" applyFont="1" applyAlignment="1">
      <alignment horizontal="center"/>
    </xf>
    <xf numFmtId="0" fontId="9" fillId="4" borderId="14" xfId="1" applyFont="1" applyBorder="1" applyAlignment="1">
      <alignment horizontal="center"/>
    </xf>
    <xf numFmtId="0" fontId="10" fillId="5" borderId="16" xfId="2" applyFont="1" applyBorder="1" applyAlignment="1">
      <alignment horizontal="center"/>
    </xf>
    <xf numFmtId="0" fontId="9" fillId="4" borderId="10" xfId="1" applyFont="1" applyAlignment="1">
      <alignment horizontal="center"/>
    </xf>
    <xf numFmtId="0" fontId="10" fillId="5" borderId="13" xfId="2" applyFont="1" applyBorder="1" applyAlignment="1">
      <alignment horizontal="center"/>
    </xf>
    <xf numFmtId="0" fontId="9" fillId="4" borderId="13" xfId="1" applyFont="1" applyBorder="1" applyAlignment="1">
      <alignment horizontal="center"/>
    </xf>
    <xf numFmtId="1" fontId="10" fillId="5" borderId="13" xfId="2" applyNumberFormat="1" applyFont="1" applyBorder="1" applyAlignment="1">
      <alignment horizontal="center"/>
    </xf>
    <xf numFmtId="167" fontId="10" fillId="5" borderId="13" xfId="4" applyNumberFormat="1" applyFont="1" applyFill="1" applyBorder="1" applyAlignment="1">
      <alignment horizontal="center"/>
    </xf>
    <xf numFmtId="10" fontId="10" fillId="5" borderId="13" xfId="3" applyNumberFormat="1" applyFont="1" applyFill="1" applyBorder="1" applyAlignment="1">
      <alignment horizontal="center"/>
    </xf>
    <xf numFmtId="0" fontId="11" fillId="0" borderId="0" xfId="0" pivotButton="1" applyFont="1"/>
    <xf numFmtId="0" fontId="11" fillId="0" borderId="0" xfId="0" applyFont="1"/>
    <xf numFmtId="0" fontId="11" fillId="0" borderId="0" xfId="0" applyFont="1" applyAlignment="1">
      <alignment horizontal="left"/>
    </xf>
    <xf numFmtId="0" fontId="11" fillId="0" borderId="0" xfId="0" applyFont="1" applyAlignment="1">
      <alignment horizontal="center"/>
    </xf>
    <xf numFmtId="0" fontId="13" fillId="6" borderId="19" xfId="0" applyFont="1" applyFill="1" applyBorder="1" applyAlignment="1">
      <alignment horizontal="center"/>
    </xf>
    <xf numFmtId="0" fontId="13" fillId="6" borderId="13" xfId="0" applyFont="1" applyFill="1" applyBorder="1" applyAlignment="1">
      <alignment horizontal="center"/>
    </xf>
    <xf numFmtId="0" fontId="16" fillId="0" borderId="0" xfId="0" applyFont="1"/>
    <xf numFmtId="0" fontId="17" fillId="0" borderId="0" xfId="7" applyFont="1"/>
    <xf numFmtId="2" fontId="13" fillId="6" borderId="13" xfId="0" applyNumberFormat="1" applyFont="1" applyFill="1" applyBorder="1" applyAlignment="1">
      <alignment horizontal="center"/>
    </xf>
    <xf numFmtId="2" fontId="13" fillId="6" borderId="13" xfId="4" applyNumberFormat="1" applyFont="1" applyFill="1" applyBorder="1" applyAlignment="1">
      <alignment horizontal="center"/>
    </xf>
    <xf numFmtId="2" fontId="13" fillId="6" borderId="13" xfId="3" applyNumberFormat="1" applyFont="1" applyFill="1" applyBorder="1" applyAlignment="1">
      <alignment horizontal="center"/>
    </xf>
    <xf numFmtId="0" fontId="0" fillId="0" borderId="20" xfId="0" applyBorder="1"/>
    <xf numFmtId="0" fontId="0" fillId="0" borderId="21" xfId="0" applyBorder="1"/>
    <xf numFmtId="0" fontId="0" fillId="8" borderId="22" xfId="0" applyFill="1" applyBorder="1" applyAlignment="1">
      <alignment horizontal="center"/>
    </xf>
    <xf numFmtId="0" fontId="12" fillId="7" borderId="0" xfId="5" applyFont="1" applyFill="1" applyAlignment="1">
      <alignment horizontal="center"/>
    </xf>
  </cellXfs>
  <cellStyles count="8">
    <cellStyle name="Calculation" xfId="2" builtinId="22"/>
    <cellStyle name="Comma" xfId="4" builtinId="3"/>
    <cellStyle name="Heading 1" xfId="6" builtinId="16"/>
    <cellStyle name="Hyperlink" xfId="7" builtinId="8"/>
    <cellStyle name="Input" xfId="1" builtinId="20"/>
    <cellStyle name="Normal" xfId="0" builtinId="0"/>
    <cellStyle name="Percent" xfId="3" builtinId="5"/>
    <cellStyle name="Title" xfId="5" builtinId="15"/>
  </cellStyles>
  <dxfs count="232">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dxf>
    <dxf>
      <numFmt numFmtId="1" formatCode="0"/>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 formatCode="0"/>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67"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numFmt numFmtId="2" formatCode="0.00"/>
    </dxf>
    <dxf>
      <numFmt numFmtId="14" formatCode="0.00%"/>
    </dxf>
    <dxf>
      <numFmt numFmtId="14" formatCode="0.00%"/>
    </dxf>
    <dxf>
      <numFmt numFmtId="2" formatCode="0.00"/>
    </dxf>
    <dxf>
      <numFmt numFmtId="14" formatCode="0.00%"/>
    </dxf>
    <dxf>
      <numFmt numFmtId="14" formatCode="0.00%"/>
    </dxf>
    <dxf>
      <numFmt numFmtId="2" formatCode="0.00"/>
    </dxf>
    <dxf>
      <numFmt numFmtId="14" formatCode="0.00%"/>
    </dxf>
    <dxf>
      <numFmt numFmtId="14" formatCode="0.00%"/>
    </dxf>
    <dxf>
      <numFmt numFmtId="2" formatCode="0.00"/>
    </dxf>
    <dxf>
      <numFmt numFmtId="164" formatCode="0.000"/>
    </dxf>
    <dxf>
      <numFmt numFmtId="2" formatCode="0.00"/>
    </dxf>
    <dxf>
      <numFmt numFmtId="166" formatCode="_([$$-409]* #,##0_);_([$$-409]* \(#,##0\);_([$$-409]* &quot;-&quot;??_);_(@_)"/>
    </dxf>
    <dxf>
      <numFmt numFmtId="166" formatCode="_([$$-409]* #,##0_);_([$$-409]* \(#,##0\);_([$$-409]* &quot;-&quot;??_);_(@_)"/>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fill>
        <patternFill patternType="none">
          <fgColor indexed="64"/>
          <bgColor auto="1"/>
        </patternFill>
      </fill>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67" formatCode="_(* #,##0_);_(* \(#,##0\);_(* &quot;-&quot;??_);_(@_)"/>
    </dxf>
    <dxf>
      <numFmt numFmtId="167" formatCode="_(* #,##0_);_(* \(#,##0\);_(* &quot;-&quot;??_);_(@_)"/>
    </dxf>
    <dxf>
      <numFmt numFmtId="2" formatCode="0.00"/>
    </dxf>
    <dxf>
      <fill>
        <patternFill patternType="none">
          <fgColor indexed="64"/>
          <bgColor indexed="65"/>
        </patternFill>
      </fill>
    </dxf>
    <dxf>
      <fill>
        <patternFill patternType="none">
          <fgColor indexed="64"/>
          <bgColor auto="1"/>
        </patternFill>
      </fill>
    </dxf>
    <dxf>
      <numFmt numFmtId="2" formatCode="0.00"/>
    </dxf>
    <dxf>
      <fill>
        <patternFill patternType="none">
          <fgColor indexed="64"/>
          <bgColor indexed="65"/>
        </patternFill>
      </fill>
    </dxf>
    <dxf>
      <fill>
        <patternFill patternType="none">
          <fgColor indexed="64"/>
          <bgColor auto="1"/>
        </patternFill>
      </fill>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69" formatCode="&quot;$&quot;#,##0"/>
    </dxf>
    <dxf>
      <numFmt numFmtId="169" formatCode="&quot;$&quot;#,##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fill>
        <patternFill patternType="none">
          <fgColor indexed="64"/>
          <bgColor rgb="FFFFFF00"/>
        </patternFill>
      </fill>
    </dxf>
    <dxf>
      <numFmt numFmtId="2" formatCode="0.00"/>
    </dxf>
    <dxf>
      <numFmt numFmtId="0" formatCode="General"/>
    </dxf>
    <dxf>
      <numFmt numFmtId="2" formatCode="0.00"/>
    </dxf>
    <dxf>
      <numFmt numFmtId="1" formatCode="0"/>
    </dxf>
    <dxf>
      <numFmt numFmtId="1" formatCode="0"/>
    </dxf>
    <dxf>
      <numFmt numFmtId="2" formatCode="0.00"/>
    </dxf>
    <dxf>
      <numFmt numFmtId="168" formatCode="0.0"/>
    </dxf>
    <dxf>
      <numFmt numFmtId="168" formatCode="0.0"/>
    </dxf>
    <dxf>
      <numFmt numFmtId="2"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C6EFCE"/>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rgb="FF006100"/>
      </font>
      <fill>
        <patternFill>
          <bgColor rgb="FFC6EFCE"/>
        </patternFill>
      </fill>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powerPivotData" Target="model/item.data"/><Relationship Id="rId39" Type="http://schemas.openxmlformats.org/officeDocument/2006/relationships/customXml" Target="../customXml/item11.xml"/><Relationship Id="rId21" Type="http://schemas.openxmlformats.org/officeDocument/2006/relationships/theme" Target="theme/theme1.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openxmlformats.org/officeDocument/2006/relationships/customXml" Target="../customXml/item22.xml"/><Relationship Id="rId55" Type="http://schemas.openxmlformats.org/officeDocument/2006/relationships/customXml" Target="../customXml/item2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ustomXml" Target="../customXml/item1.xml"/><Relationship Id="rId11" Type="http://schemas.openxmlformats.org/officeDocument/2006/relationships/worksheet" Target="worksheets/sheet11.xml"/><Relationship Id="rId24" Type="http://schemas.openxmlformats.org/officeDocument/2006/relationships/sharedStrings" Target="sharedString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17/10/relationships/person" Target="persons/person.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microsoft.com/office/2007/relationships/slicerCache" Target="slicerCaches/slicerCache1.xml"/><Relationship Id="rId41" Type="http://schemas.openxmlformats.org/officeDocument/2006/relationships/customXml" Target="../customXml/item13.xml"/><Relationship Id="rId54" Type="http://schemas.openxmlformats.org/officeDocument/2006/relationships/customXml" Target="../customXml/item2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alcChain" Target="calcChain.xml"/><Relationship Id="rId36" Type="http://schemas.openxmlformats.org/officeDocument/2006/relationships/customXml" Target="../customXml/item8.xml"/><Relationship Id="rId49"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[Group 1 Dashboard (1).xlsm]Traffic Chart!PivotTable3</c:name>
    <c:fmtId val="10"/>
  </c:pivotSource>
  <c:chart>
    <c:title>
      <c:tx>
        <c:rich>
          <a:bodyPr rot="0" spcFirstLastPara="1" vertOverflow="ellipsis" vert="horz" wrap="square" anchor="ctr" anchorCtr="1"/>
          <a:lstStyle/>
          <a:p>
            <a:pPr>
              <a:defRPr sz="1400" b="1" i="0" u="none" strike="noStrike" kern="1200" cap="all" spc="120" normalizeH="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IN" sz="1400">
                <a:latin typeface="Times New Roman" panose="02020603050405020304" pitchFamily="18" charset="0"/>
                <a:cs typeface="Times New Roman" panose="02020603050405020304" pitchFamily="18" charset="0"/>
              </a:rPr>
              <a:t>Traffic and Pollution Chart</a:t>
            </a:r>
          </a:p>
        </c:rich>
      </c:tx>
      <c:overlay val="0"/>
      <c:spPr>
        <a:noFill/>
        <a:ln>
          <a:noFill/>
        </a:ln>
        <a:effectLst/>
      </c:spPr>
      <c:txPr>
        <a:bodyPr rot="0" spcFirstLastPara="1" vertOverflow="ellipsis" vert="horz" wrap="square" anchor="ctr" anchorCtr="1"/>
        <a:lstStyle/>
        <a:p>
          <a:pPr>
            <a:defRPr sz="1400" b="1" i="0" u="none" strike="noStrike" kern="1200" cap="all" spc="120" normalizeH="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hade val="76000"/>
            </a:schemeClr>
          </a:solidFill>
          <a:ln>
            <a:noFill/>
          </a:ln>
          <a:effectLst/>
        </c:spPr>
        <c:dLbl>
          <c:idx val="0"/>
          <c:layout>
            <c:manualLayout>
              <c:x val="1.9667224013942752E-6"/>
              <c:y val="-3.7499999999999999E-2"/>
            </c:manualLayout>
          </c:layout>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'Traffic Chart'!$B$3</c:f>
              <c:strCache>
                <c:ptCount val="1"/>
                <c:pt idx="0">
                  <c:v>Pollution Index </c:v>
                </c:pt>
              </c:strCache>
            </c:strRef>
          </c:tx>
          <c:spPr>
            <a:solidFill>
              <a:schemeClr val="accent2">
                <a:tint val="77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'Traffic Chart'!$A$4:$A$13</c:f>
              <c:strCache>
                <c:ptCount val="9"/>
                <c:pt idx="0">
                  <c:v>Atlanta</c:v>
                </c:pt>
                <c:pt idx="1">
                  <c:v>Boston</c:v>
                </c:pt>
                <c:pt idx="2">
                  <c:v>Chicago</c:v>
                </c:pt>
                <c:pt idx="3">
                  <c:v>Denver</c:v>
                </c:pt>
                <c:pt idx="4">
                  <c:v>Las Vegas</c:v>
                </c:pt>
                <c:pt idx="5">
                  <c:v>New York</c:v>
                </c:pt>
                <c:pt idx="6">
                  <c:v>San Francisco</c:v>
                </c:pt>
                <c:pt idx="7">
                  <c:v>Seattle</c:v>
                </c:pt>
                <c:pt idx="8">
                  <c:v>Tampa</c:v>
                </c:pt>
              </c:strCache>
            </c:strRef>
          </c:cat>
          <c:val>
            <c:numRef>
              <c:f>'Traffic Chart'!$B$4:$B$13</c:f>
              <c:numCache>
                <c:formatCode>0.00</c:formatCode>
                <c:ptCount val="9"/>
                <c:pt idx="0">
                  <c:v>3.068965517241379</c:v>
                </c:pt>
                <c:pt idx="1">
                  <c:v>1</c:v>
                </c:pt>
                <c:pt idx="2">
                  <c:v>3.789272030651341</c:v>
                </c:pt>
                <c:pt idx="3">
                  <c:v>2.946360153256705</c:v>
                </c:pt>
                <c:pt idx="4">
                  <c:v>4.2337164750957852</c:v>
                </c:pt>
                <c:pt idx="5">
                  <c:v>5</c:v>
                </c:pt>
                <c:pt idx="6">
                  <c:v>4.1724137931034484</c:v>
                </c:pt>
                <c:pt idx="7">
                  <c:v>1.85823754789272</c:v>
                </c:pt>
                <c:pt idx="8">
                  <c:v>1.2605363984674329</c:v>
                </c:pt>
              </c:numCache>
            </c:numRef>
          </c:val>
          <c:extLst>
            <c:ext xmlns:c16="http://schemas.microsoft.com/office/drawing/2014/chart" uri="{C3380CC4-5D6E-409C-BE32-E72D297353CC}">
              <c16:uniqueId val="{00000000-2D54-4D91-852E-F7B39F4E908E}"/>
            </c:ext>
          </c:extLst>
        </c:ser>
        <c:ser>
          <c:idx val="1"/>
          <c:order val="1"/>
          <c:tx>
            <c:strRef>
              <c:f>'Traffic Chart'!$C$3</c:f>
              <c:strCache>
                <c:ptCount val="1"/>
                <c:pt idx="0">
                  <c:v>Traffic Index </c:v>
                </c:pt>
              </c:strCache>
            </c:strRef>
          </c:tx>
          <c:spPr>
            <a:solidFill>
              <a:schemeClr val="accent2">
                <a:shade val="76000"/>
              </a:schemeClr>
            </a:solidFill>
            <a:ln>
              <a:noFill/>
            </a:ln>
            <a:effectLst/>
          </c:spPr>
          <c:invertIfNegative val="0"/>
          <c:dPt>
            <c:idx val="0"/>
            <c:invertIfNegative val="0"/>
            <c:bubble3D val="0"/>
            <c:spPr>
              <a:solidFill>
                <a:schemeClr val="accent2">
                  <a:shade val="76000"/>
                </a:schemeClr>
              </a:solidFill>
              <a:ln>
                <a:noFill/>
              </a:ln>
              <a:effectLst/>
            </c:spPr>
            <c:extLst>
              <c:ext xmlns:c16="http://schemas.microsoft.com/office/drawing/2014/chart" uri="{C3380CC4-5D6E-409C-BE32-E72D297353CC}">
                <c16:uniqueId val="{00000000-180F-4601-BE02-DD5BC14AD574}"/>
              </c:ext>
            </c:extLst>
          </c:dPt>
          <c:dLbls>
            <c:dLbl>
              <c:idx val="0"/>
              <c:layout>
                <c:manualLayout>
                  <c:x val="1.9667224013942752E-6"/>
                  <c:y val="-3.749999999999999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80F-4601-BE02-DD5BC14AD574}"/>
                </c:ext>
              </c:extLst>
            </c:dLbl>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'Traffic Chart'!$A$4:$A$13</c:f>
              <c:strCache>
                <c:ptCount val="9"/>
                <c:pt idx="0">
                  <c:v>Atlanta</c:v>
                </c:pt>
                <c:pt idx="1">
                  <c:v>Boston</c:v>
                </c:pt>
                <c:pt idx="2">
                  <c:v>Chicago</c:v>
                </c:pt>
                <c:pt idx="3">
                  <c:v>Denver</c:v>
                </c:pt>
                <c:pt idx="4">
                  <c:v>Las Vegas</c:v>
                </c:pt>
                <c:pt idx="5">
                  <c:v>New York</c:v>
                </c:pt>
                <c:pt idx="6">
                  <c:v>San Francisco</c:v>
                </c:pt>
                <c:pt idx="7">
                  <c:v>Seattle</c:v>
                </c:pt>
                <c:pt idx="8">
                  <c:v>Tampa</c:v>
                </c:pt>
              </c:strCache>
            </c:strRef>
          </c:cat>
          <c:val>
            <c:numRef>
              <c:f>'Traffic Chart'!$C$4:$C$13</c:f>
              <c:numCache>
                <c:formatCode>0.00</c:formatCode>
                <c:ptCount val="9"/>
                <c:pt idx="0">
                  <c:v>3.1319648093841637</c:v>
                </c:pt>
                <c:pt idx="1">
                  <c:v>3.6246334310850439</c:v>
                </c:pt>
                <c:pt idx="2">
                  <c:v>2.9208211143695015</c:v>
                </c:pt>
                <c:pt idx="3">
                  <c:v>2.4193548387096775</c:v>
                </c:pt>
                <c:pt idx="4">
                  <c:v>1</c:v>
                </c:pt>
                <c:pt idx="5">
                  <c:v>2.2170087976539588</c:v>
                </c:pt>
                <c:pt idx="6">
                  <c:v>5</c:v>
                </c:pt>
                <c:pt idx="7">
                  <c:v>3.8533724340175945</c:v>
                </c:pt>
                <c:pt idx="8">
                  <c:v>2.4809384164222874</c:v>
                </c:pt>
              </c:numCache>
            </c:numRef>
          </c:val>
          <c:extLst>
            <c:ext xmlns:c16="http://schemas.microsoft.com/office/drawing/2014/chart" uri="{C3380CC4-5D6E-409C-BE32-E72D297353CC}">
              <c16:uniqueId val="{00000001-2D54-4D91-852E-F7B39F4E908E}"/>
            </c:ext>
          </c:extLst>
        </c:ser>
        <c:dLbls>
          <c:dLblPos val="outEnd"/>
          <c:showLegendKey val="0"/>
          <c:showVal val="1"/>
          <c:showCatName val="0"/>
          <c:showSerName val="0"/>
          <c:showPercent val="0"/>
          <c:showBubbleSize val="0"/>
        </c:dLbls>
        <c:gapWidth val="444"/>
        <c:overlap val="-90"/>
        <c:axId val="1072034703"/>
        <c:axId val="704255664"/>
      </c:barChart>
      <c:catAx>
        <c:axId val="1072034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704255664"/>
        <c:crosses val="autoZero"/>
        <c:auto val="1"/>
        <c:lblAlgn val="ctr"/>
        <c:lblOffset val="100"/>
        <c:noMultiLvlLbl val="0"/>
      </c:catAx>
      <c:valAx>
        <c:axId val="704255664"/>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IN">
                    <a:latin typeface="Times New Roman" panose="02020603050405020304" pitchFamily="18" charset="0"/>
                    <a:cs typeface="Times New Roman" panose="02020603050405020304" pitchFamily="18" charset="0"/>
                  </a:rPr>
                  <a:t>Pollution and Traffic Index</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 sourceLinked="1"/>
        <c:majorTickMark val="none"/>
        <c:minorTickMark val="none"/>
        <c:tickLblPos val="nextTo"/>
        <c:crossAx val="1072034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[Group 1 Dashboard (1).xlsm]Crime chart!PivotTable5</c:name>
    <c:fmtId val="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latin typeface="Times New Roman" panose="02020603050405020304" pitchFamily="18" charset="0"/>
                <a:cs typeface="Times New Roman" panose="02020603050405020304" pitchFamily="18" charset="0"/>
              </a:rPr>
              <a:t>Crime</a:t>
            </a:r>
            <a:r>
              <a:rPr lang="en-US" baseline="0">
                <a:latin typeface="Times New Roman" panose="02020603050405020304" pitchFamily="18" charset="0"/>
                <a:cs typeface="Times New Roman" panose="02020603050405020304" pitchFamily="18" charset="0"/>
              </a:rPr>
              <a:t> Rate by Cities</a:t>
            </a:r>
            <a:endParaRPr lang="en-US">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31750" cap="rnd">
            <a:solidFill>
              <a:schemeClr val="accent2"/>
            </a:solidFill>
            <a:round/>
          </a:ln>
          <a:effectLst/>
        </c:spPr>
        <c:marker>
          <c:symbol val="circle"/>
          <c:size val="17"/>
          <c:spPr>
            <a:solidFill>
              <a:schemeClr val="accent2">
                <a:tint val="77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31750" cap="rnd">
            <a:solidFill>
              <a:schemeClr val="accent2"/>
            </a:solidFill>
            <a:round/>
          </a:ln>
          <a:effectLst/>
        </c:spPr>
        <c:marker>
          <c:symbol val="circle"/>
          <c:size val="17"/>
          <c:spPr>
            <a:solidFill>
              <a:schemeClr val="accent2">
                <a:shade val="76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'Crime chart'!$B$3</c:f>
              <c:strCache>
                <c:ptCount val="1"/>
                <c:pt idx="0">
                  <c:v> total_crime</c:v>
                </c:pt>
              </c:strCache>
            </c:strRef>
          </c:tx>
          <c:spPr>
            <a:ln w="31750" cap="rnd">
              <a:solidFill>
                <a:schemeClr val="accent2">
                  <a:shade val="76000"/>
                </a:schemeClr>
              </a:solidFill>
              <a:round/>
            </a:ln>
            <a:effectLst/>
          </c:spPr>
          <c:marker>
            <c:symbol val="circle"/>
            <c:size val="17"/>
            <c:spPr>
              <a:solidFill>
                <a:schemeClr val="accent2">
                  <a:shade val="76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'Crime chart'!$A$4:$A$13</c:f>
              <c:strCache>
                <c:ptCount val="9"/>
                <c:pt idx="0">
                  <c:v>Atlanta</c:v>
                </c:pt>
                <c:pt idx="1">
                  <c:v>Boston</c:v>
                </c:pt>
                <c:pt idx="2">
                  <c:v>Chicago</c:v>
                </c:pt>
                <c:pt idx="3">
                  <c:v>Denver</c:v>
                </c:pt>
                <c:pt idx="4">
                  <c:v>Las Vegas</c:v>
                </c:pt>
                <c:pt idx="5">
                  <c:v>New York</c:v>
                </c:pt>
                <c:pt idx="6">
                  <c:v>San Francisco</c:v>
                </c:pt>
                <c:pt idx="7">
                  <c:v>Seattle</c:v>
                </c:pt>
                <c:pt idx="8">
                  <c:v>Tampa</c:v>
                </c:pt>
              </c:strCache>
            </c:strRef>
          </c:cat>
          <c:val>
            <c:numRef>
              <c:f>'Crime chart'!$B$4:$B$13</c:f>
              <c:numCache>
                <c:formatCode>0</c:formatCode>
                <c:ptCount val="9"/>
                <c:pt idx="0">
                  <c:v>5727.52</c:v>
                </c:pt>
                <c:pt idx="1">
                  <c:v>2758.22</c:v>
                </c:pt>
                <c:pt idx="2">
                  <c:v>4381.6499999999996</c:v>
                </c:pt>
                <c:pt idx="3">
                  <c:v>4360.93</c:v>
                </c:pt>
                <c:pt idx="4">
                  <c:v>3567.87</c:v>
                </c:pt>
                <c:pt idx="5">
                  <c:v>1987.49</c:v>
                </c:pt>
                <c:pt idx="6">
                  <c:v>6917.4</c:v>
                </c:pt>
                <c:pt idx="7">
                  <c:v>5911.99</c:v>
                </c:pt>
                <c:pt idx="8">
                  <c:v>2218.2399999999998</c:v>
                </c:pt>
              </c:numCache>
            </c:numRef>
          </c:val>
          <c:smooth val="0"/>
          <c:extLst>
            <c:ext xmlns:c16="http://schemas.microsoft.com/office/drawing/2014/chart" uri="{C3380CC4-5D6E-409C-BE32-E72D297353CC}">
              <c16:uniqueId val="{00000000-2D0F-4016-8883-F07CBAD9FD65}"/>
            </c:ext>
          </c:extLst>
        </c:ser>
        <c:ser>
          <c:idx val="1"/>
          <c:order val="1"/>
          <c:tx>
            <c:strRef>
              <c:f>'Crime chart'!$C$3</c:f>
              <c:strCache>
                <c:ptCount val="1"/>
                <c:pt idx="0">
                  <c:v>total_violent_crime</c:v>
                </c:pt>
              </c:strCache>
            </c:strRef>
          </c:tx>
          <c:spPr>
            <a:ln w="31750" cap="rnd">
              <a:solidFill>
                <a:schemeClr val="accent2">
                  <a:tint val="77000"/>
                </a:schemeClr>
              </a:solidFill>
              <a:round/>
            </a:ln>
            <a:effectLst/>
          </c:spPr>
          <c:marker>
            <c:symbol val="circle"/>
            <c:size val="17"/>
            <c:spPr>
              <a:solidFill>
                <a:schemeClr val="accent2">
                  <a:tint val="77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'Crime chart'!$A$4:$A$13</c:f>
              <c:strCache>
                <c:ptCount val="9"/>
                <c:pt idx="0">
                  <c:v>Atlanta</c:v>
                </c:pt>
                <c:pt idx="1">
                  <c:v>Boston</c:v>
                </c:pt>
                <c:pt idx="2">
                  <c:v>Chicago</c:v>
                </c:pt>
                <c:pt idx="3">
                  <c:v>Denver</c:v>
                </c:pt>
                <c:pt idx="4">
                  <c:v>Las Vegas</c:v>
                </c:pt>
                <c:pt idx="5">
                  <c:v>New York</c:v>
                </c:pt>
                <c:pt idx="6">
                  <c:v>San Francisco</c:v>
                </c:pt>
                <c:pt idx="7">
                  <c:v>Seattle</c:v>
                </c:pt>
                <c:pt idx="8">
                  <c:v>Tampa</c:v>
                </c:pt>
              </c:strCache>
            </c:strRef>
          </c:cat>
          <c:val>
            <c:numRef>
              <c:f>'Crime chart'!$C$4:$C$13</c:f>
              <c:numCache>
                <c:formatCode>0</c:formatCode>
                <c:ptCount val="9"/>
                <c:pt idx="0">
                  <c:v>935.72</c:v>
                </c:pt>
                <c:pt idx="1">
                  <c:v>669.2</c:v>
                </c:pt>
                <c:pt idx="2">
                  <c:v>1098.8599999999999</c:v>
                </c:pt>
                <c:pt idx="3">
                  <c:v>675.61</c:v>
                </c:pt>
                <c:pt idx="4">
                  <c:v>618.9</c:v>
                </c:pt>
                <c:pt idx="5">
                  <c:v>538.9</c:v>
                </c:pt>
                <c:pt idx="6">
                  <c:v>715</c:v>
                </c:pt>
                <c:pt idx="7">
                  <c:v>632.69000000000005</c:v>
                </c:pt>
                <c:pt idx="8">
                  <c:v>464.41</c:v>
                </c:pt>
              </c:numCache>
            </c:numRef>
          </c:val>
          <c:smooth val="0"/>
          <c:extLst>
            <c:ext xmlns:c16="http://schemas.microsoft.com/office/drawing/2014/chart" uri="{C3380CC4-5D6E-409C-BE32-E72D297353CC}">
              <c16:uniqueId val="{00000001-2D0F-4016-8883-F07CBAD9FD65}"/>
            </c:ext>
          </c:extLst>
        </c:ser>
        <c:dLbls>
          <c:dLblPos val="ctr"/>
          <c:showLegendKey val="0"/>
          <c:showVal val="1"/>
          <c:showCatName val="0"/>
          <c:showSerName val="0"/>
          <c:showPercent val="0"/>
          <c:showBubbleSize val="0"/>
        </c:dLbls>
        <c:marker val="1"/>
        <c:smooth val="0"/>
        <c:axId val="1206979936"/>
        <c:axId val="1383897504"/>
      </c:lineChart>
      <c:catAx>
        <c:axId val="120697993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Cities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800" b="0" i="0" u="none" strike="noStrike" kern="1200" cap="all" baseline="0">
                <a:solidFill>
                  <a:schemeClr val="dk1">
                    <a:lumMod val="75000"/>
                    <a:lumOff val="25000"/>
                  </a:schemeClr>
                </a:solidFill>
                <a:latin typeface="Times New Roman" panose="02020603050405020304" pitchFamily="18" charset="0"/>
                <a:ea typeface="+mn-ea"/>
                <a:cs typeface="Times New Roman" panose="02020603050405020304" pitchFamily="18" charset="0"/>
              </a:defRPr>
            </a:pPr>
            <a:endParaRPr lang="en-US"/>
          </a:p>
        </c:txPr>
        <c:crossAx val="1383897504"/>
        <c:crosses val="autoZero"/>
        <c:auto val="1"/>
        <c:lblAlgn val="ctr"/>
        <c:lblOffset val="100"/>
        <c:noMultiLvlLbl val="0"/>
      </c:catAx>
      <c:valAx>
        <c:axId val="1383897504"/>
        <c:scaling>
          <c:orientation val="minMax"/>
        </c:scaling>
        <c:delete val="1"/>
        <c:axPos val="l"/>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No. Of Crimes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1"/>
        <c:majorTickMark val="none"/>
        <c:minorTickMark val="none"/>
        <c:tickLblPos val="nextTo"/>
        <c:crossAx val="120697993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400">
                <a:latin typeface="Times New Roman" panose="02020603050405020304" pitchFamily="18" charset="0"/>
                <a:cs typeface="Times New Roman" panose="02020603050405020304" pitchFamily="18" charset="0"/>
              </a:rPr>
              <a:t>Purchasing Power Index to Rent Index by City</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radarChart>
        <c:radarStyle val="marker"/>
        <c:varyColors val="0"/>
        <c:ser>
          <c:idx val="0"/>
          <c:order val="0"/>
          <c:tx>
            <c:strRef>
              <c:f>Dataset!$F$1</c:f>
              <c:strCache>
                <c:ptCount val="1"/>
                <c:pt idx="0">
                  <c:v>Purchasing Power Index</c:v>
                </c:pt>
              </c:strCache>
            </c:strRef>
          </c:tx>
          <c:spPr>
            <a:ln w="34925" cap="rnd">
              <a:solidFill>
                <a:schemeClr val="accent2">
                  <a:lumMod val="75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hade val="76000"/>
                      <a:satMod val="103000"/>
                      <a:lumMod val="102000"/>
                      <a:tint val="94000"/>
                    </a:schemeClr>
                  </a:gs>
                  <a:gs pos="50000">
                    <a:schemeClr val="accent2">
                      <a:shade val="76000"/>
                      <a:satMod val="110000"/>
                      <a:lumMod val="100000"/>
                      <a:shade val="100000"/>
                    </a:schemeClr>
                  </a:gs>
                  <a:gs pos="100000">
                    <a:schemeClr val="accent2">
                      <a:shade val="76000"/>
                      <a:lumMod val="99000"/>
                      <a:satMod val="120000"/>
                      <a:shade val="78000"/>
                    </a:schemeClr>
                  </a:gs>
                </a:gsLst>
                <a:lin ang="5400000" scaled="0"/>
              </a:gradFill>
              <a:ln w="9525">
                <a:solidFill>
                  <a:schemeClr val="accent2">
                    <a:shade val="76000"/>
                  </a:schemeClr>
                </a:solidFill>
                <a:round/>
              </a:ln>
              <a:effectLst>
                <a:outerShdw blurRad="57150" dist="19050" dir="5400000" algn="ctr" rotWithShape="0">
                  <a:srgbClr val="000000">
                    <a:alpha val="63000"/>
                  </a:srgbClr>
                </a:outerShdw>
              </a:effectLst>
            </c:spPr>
          </c:marker>
          <c:cat>
            <c:strRef>
              <c:f>Dataset!$A$2:$A$10</c:f>
              <c:strCache>
                <c:ptCount val="9"/>
                <c:pt idx="0">
                  <c:v>Atlanta</c:v>
                </c:pt>
                <c:pt idx="1">
                  <c:v>Boston</c:v>
                </c:pt>
                <c:pt idx="2">
                  <c:v>Chicago</c:v>
                </c:pt>
                <c:pt idx="3">
                  <c:v>Denver</c:v>
                </c:pt>
                <c:pt idx="4">
                  <c:v>Las Vegas</c:v>
                </c:pt>
                <c:pt idx="5">
                  <c:v>New York City</c:v>
                </c:pt>
                <c:pt idx="6">
                  <c:v>San Francisco</c:v>
                </c:pt>
                <c:pt idx="7">
                  <c:v>Seattle</c:v>
                </c:pt>
                <c:pt idx="8">
                  <c:v>Tampa</c:v>
                </c:pt>
              </c:strCache>
            </c:strRef>
          </c:cat>
          <c:val>
            <c:numRef>
              <c:f>Dataset!$F$2:$F$10</c:f>
              <c:numCache>
                <c:formatCode>0</c:formatCode>
                <c:ptCount val="9"/>
                <c:pt idx="0">
                  <c:v>106.7</c:v>
                </c:pt>
                <c:pt idx="1">
                  <c:v>110.1</c:v>
                </c:pt>
                <c:pt idx="2">
                  <c:v>111.4</c:v>
                </c:pt>
                <c:pt idx="3">
                  <c:v>112.4</c:v>
                </c:pt>
                <c:pt idx="4">
                  <c:v>106.1</c:v>
                </c:pt>
                <c:pt idx="5">
                  <c:v>100</c:v>
                </c:pt>
                <c:pt idx="6">
                  <c:v>109.2</c:v>
                </c:pt>
                <c:pt idx="7">
                  <c:v>107.6</c:v>
                </c:pt>
                <c:pt idx="8">
                  <c:v>103.8</c:v>
                </c:pt>
              </c:numCache>
            </c:numRef>
          </c:val>
          <c:extLst>
            <c:ext xmlns:c16="http://schemas.microsoft.com/office/drawing/2014/chart" uri="{C3380CC4-5D6E-409C-BE32-E72D297353CC}">
              <c16:uniqueId val="{00000014-35EC-4533-B37F-0147F17A3190}"/>
            </c:ext>
          </c:extLst>
        </c:ser>
        <c:ser>
          <c:idx val="1"/>
          <c:order val="1"/>
          <c:tx>
            <c:strRef>
              <c:f>Dataset!$V$1</c:f>
              <c:strCache>
                <c:ptCount val="1"/>
                <c:pt idx="0">
                  <c:v>Rent Index</c:v>
                </c:pt>
              </c:strCache>
            </c:strRef>
          </c:tx>
          <c:spPr>
            <a:ln w="34925" cap="rnd">
              <a:solidFill>
                <a:schemeClr val="accent2">
                  <a:lumMod val="40000"/>
                  <a:lumOff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tint val="77000"/>
                      <a:satMod val="103000"/>
                      <a:lumMod val="102000"/>
                      <a:tint val="94000"/>
                    </a:schemeClr>
                  </a:gs>
                  <a:gs pos="50000">
                    <a:schemeClr val="accent2">
                      <a:tint val="77000"/>
                      <a:satMod val="110000"/>
                      <a:lumMod val="100000"/>
                      <a:shade val="100000"/>
                    </a:schemeClr>
                  </a:gs>
                  <a:gs pos="100000">
                    <a:schemeClr val="accent2">
                      <a:tint val="77000"/>
                      <a:lumMod val="99000"/>
                      <a:satMod val="120000"/>
                      <a:shade val="78000"/>
                    </a:schemeClr>
                  </a:gs>
                </a:gsLst>
                <a:lin ang="5400000" scaled="0"/>
              </a:gradFill>
              <a:ln w="9525">
                <a:solidFill>
                  <a:schemeClr val="accent2">
                    <a:tint val="77000"/>
                  </a:schemeClr>
                </a:solidFill>
                <a:round/>
              </a:ln>
              <a:effectLst>
                <a:outerShdw blurRad="57150" dist="19050" dir="5400000" algn="ctr" rotWithShape="0">
                  <a:srgbClr val="000000">
                    <a:alpha val="63000"/>
                  </a:srgbClr>
                </a:outerShdw>
              </a:effectLst>
            </c:spPr>
          </c:marker>
          <c:cat>
            <c:strRef>
              <c:f>Dataset!$A$2:$A$10</c:f>
              <c:strCache>
                <c:ptCount val="9"/>
                <c:pt idx="0">
                  <c:v>Atlanta</c:v>
                </c:pt>
                <c:pt idx="1">
                  <c:v>Boston</c:v>
                </c:pt>
                <c:pt idx="2">
                  <c:v>Chicago</c:v>
                </c:pt>
                <c:pt idx="3">
                  <c:v>Denver</c:v>
                </c:pt>
                <c:pt idx="4">
                  <c:v>Las Vegas</c:v>
                </c:pt>
                <c:pt idx="5">
                  <c:v>New York City</c:v>
                </c:pt>
                <c:pt idx="6">
                  <c:v>San Francisco</c:v>
                </c:pt>
                <c:pt idx="7">
                  <c:v>Seattle</c:v>
                </c:pt>
                <c:pt idx="8">
                  <c:v>Tampa</c:v>
                </c:pt>
              </c:strCache>
            </c:strRef>
          </c:cat>
          <c:val>
            <c:numRef>
              <c:f>Dataset!$V$2:$V$10</c:f>
              <c:numCache>
                <c:formatCode>0</c:formatCode>
                <c:ptCount val="9"/>
                <c:pt idx="0">
                  <c:v>57.7</c:v>
                </c:pt>
                <c:pt idx="1">
                  <c:v>75.099999999999994</c:v>
                </c:pt>
                <c:pt idx="2">
                  <c:v>65.3</c:v>
                </c:pt>
                <c:pt idx="3">
                  <c:v>57.2</c:v>
                </c:pt>
                <c:pt idx="4">
                  <c:v>41</c:v>
                </c:pt>
                <c:pt idx="5">
                  <c:v>100</c:v>
                </c:pt>
                <c:pt idx="6">
                  <c:v>92.9</c:v>
                </c:pt>
                <c:pt idx="7">
                  <c:v>74.3</c:v>
                </c:pt>
                <c:pt idx="8">
                  <c:v>55.3</c:v>
                </c:pt>
              </c:numCache>
            </c:numRef>
          </c:val>
          <c:extLst>
            <c:ext xmlns:c16="http://schemas.microsoft.com/office/drawing/2014/chart" uri="{C3380CC4-5D6E-409C-BE32-E72D297353CC}">
              <c16:uniqueId val="{00000016-35EC-4533-B37F-0147F17A3190}"/>
            </c:ext>
          </c:extLst>
        </c:ser>
        <c:dLbls>
          <c:showLegendKey val="0"/>
          <c:showVal val="0"/>
          <c:showCatName val="0"/>
          <c:showSerName val="0"/>
          <c:showPercent val="0"/>
          <c:showBubbleSize val="0"/>
        </c:dLbls>
        <c:axId val="398499847"/>
        <c:axId val="398501895"/>
      </c:radarChart>
      <c:catAx>
        <c:axId val="398499847"/>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398501895"/>
        <c:crosses val="autoZero"/>
        <c:auto val="1"/>
        <c:lblAlgn val="ctr"/>
        <c:lblOffset val="100"/>
        <c:noMultiLvlLbl val="0"/>
      </c:catAx>
      <c:valAx>
        <c:axId val="39850189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49984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Types of Crimes in cities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col"/>
        <c:grouping val="clustered"/>
        <c:varyColors val="0"/>
        <c:ser>
          <c:idx val="2"/>
          <c:order val="2"/>
          <c:tx>
            <c:strRef>
              <c:f>CrimeRate_Data!$J$35</c:f>
              <c:strCache>
                <c:ptCount val="1"/>
                <c:pt idx="0">
                  <c:v>robbery </c:v>
                </c:pt>
              </c:strCache>
            </c:strRef>
          </c:tx>
          <c:spPr>
            <a:gradFill rotWithShape="1">
              <a:gsLst>
                <a:gs pos="0">
                  <a:schemeClr val="accent2">
                    <a:shade val="86000"/>
                    <a:satMod val="103000"/>
                    <a:lumMod val="102000"/>
                    <a:tint val="94000"/>
                  </a:schemeClr>
                </a:gs>
                <a:gs pos="50000">
                  <a:schemeClr val="accent2">
                    <a:shade val="86000"/>
                    <a:satMod val="110000"/>
                    <a:lumMod val="100000"/>
                    <a:shade val="100000"/>
                  </a:schemeClr>
                </a:gs>
                <a:gs pos="100000">
                  <a:schemeClr val="accent2">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CrimeRate_Data!$G$36:$G$44</c:f>
              <c:strCache>
                <c:ptCount val="9"/>
                <c:pt idx="0">
                  <c:v>Atlanta</c:v>
                </c:pt>
                <c:pt idx="1">
                  <c:v>Boston</c:v>
                </c:pt>
                <c:pt idx="2">
                  <c:v>Chicago</c:v>
                </c:pt>
                <c:pt idx="3">
                  <c:v>Denver</c:v>
                </c:pt>
                <c:pt idx="4">
                  <c:v>Las Vegas</c:v>
                </c:pt>
                <c:pt idx="5">
                  <c:v>New York</c:v>
                </c:pt>
                <c:pt idx="6">
                  <c:v>San Francisco</c:v>
                </c:pt>
                <c:pt idx="7">
                  <c:v>Seattle</c:v>
                </c:pt>
                <c:pt idx="8">
                  <c:v>Tampa</c:v>
                </c:pt>
              </c:strCache>
            </c:strRef>
          </c:cat>
          <c:val>
            <c:numRef>
              <c:f>CrimeRate_Data!$J$36:$J$44</c:f>
              <c:numCache>
                <c:formatCode>General</c:formatCode>
                <c:ptCount val="9"/>
                <c:pt idx="0">
                  <c:v>293.55</c:v>
                </c:pt>
                <c:pt idx="1">
                  <c:v>205.59</c:v>
                </c:pt>
                <c:pt idx="2">
                  <c:v>439.26</c:v>
                </c:pt>
                <c:pt idx="3">
                  <c:v>174.35</c:v>
                </c:pt>
                <c:pt idx="4">
                  <c:v>211.15</c:v>
                </c:pt>
                <c:pt idx="5">
                  <c:v>162.41999999999999</c:v>
                </c:pt>
                <c:pt idx="6">
                  <c:v>365.39</c:v>
                </c:pt>
                <c:pt idx="7">
                  <c:v>210.02</c:v>
                </c:pt>
                <c:pt idx="8">
                  <c:v>105.63</c:v>
                </c:pt>
              </c:numCache>
            </c:numRef>
          </c:val>
          <c:extLst>
            <c:ext xmlns:c16="http://schemas.microsoft.com/office/drawing/2014/chart" uri="{C3380CC4-5D6E-409C-BE32-E72D297353CC}">
              <c16:uniqueId val="{00000000-7635-476F-A786-B5EEE4126BE4}"/>
            </c:ext>
          </c:extLst>
        </c:ser>
        <c:ser>
          <c:idx val="3"/>
          <c:order val="3"/>
          <c:tx>
            <c:strRef>
              <c:f>CrimeRate_Data!$K$35</c:f>
              <c:strCache>
                <c:ptCount val="1"/>
                <c:pt idx="0">
                  <c:v>agrv_assault </c:v>
                </c:pt>
              </c:strCache>
            </c:strRef>
          </c:tx>
          <c:spPr>
            <a:gradFill rotWithShape="1">
              <a:gsLst>
                <a:gs pos="0">
                  <a:schemeClr val="accent2">
                    <a:shade val="58000"/>
                    <a:satMod val="103000"/>
                    <a:lumMod val="102000"/>
                    <a:tint val="94000"/>
                  </a:schemeClr>
                </a:gs>
                <a:gs pos="50000">
                  <a:schemeClr val="accent2">
                    <a:shade val="58000"/>
                    <a:satMod val="110000"/>
                    <a:lumMod val="100000"/>
                    <a:shade val="100000"/>
                  </a:schemeClr>
                </a:gs>
                <a:gs pos="100000">
                  <a:schemeClr val="accent2">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CrimeRate_Data!$G$36:$G$44</c:f>
              <c:strCache>
                <c:ptCount val="9"/>
                <c:pt idx="0">
                  <c:v>Atlanta</c:v>
                </c:pt>
                <c:pt idx="1">
                  <c:v>Boston</c:v>
                </c:pt>
                <c:pt idx="2">
                  <c:v>Chicago</c:v>
                </c:pt>
                <c:pt idx="3">
                  <c:v>Denver</c:v>
                </c:pt>
                <c:pt idx="4">
                  <c:v>Las Vegas</c:v>
                </c:pt>
                <c:pt idx="5">
                  <c:v>New York</c:v>
                </c:pt>
                <c:pt idx="6">
                  <c:v>San Francisco</c:v>
                </c:pt>
                <c:pt idx="7">
                  <c:v>Seattle</c:v>
                </c:pt>
                <c:pt idx="8">
                  <c:v>Tampa</c:v>
                </c:pt>
              </c:strCache>
            </c:strRef>
          </c:cat>
          <c:val>
            <c:numRef>
              <c:f>CrimeRate_Data!$K$36:$K$44</c:f>
              <c:numCache>
                <c:formatCode>General</c:formatCode>
                <c:ptCount val="9"/>
                <c:pt idx="0">
                  <c:v>567.16</c:v>
                </c:pt>
                <c:pt idx="1">
                  <c:v>412.8</c:v>
                </c:pt>
                <c:pt idx="2">
                  <c:v>570.36</c:v>
                </c:pt>
                <c:pt idx="3">
                  <c:v>393.99</c:v>
                </c:pt>
                <c:pt idx="4">
                  <c:v>315.5</c:v>
                </c:pt>
                <c:pt idx="5">
                  <c:v>345.52</c:v>
                </c:pt>
                <c:pt idx="6">
                  <c:v>301.62</c:v>
                </c:pt>
                <c:pt idx="7">
                  <c:v>382.05</c:v>
                </c:pt>
                <c:pt idx="8">
                  <c:v>317.14999999999998</c:v>
                </c:pt>
              </c:numCache>
            </c:numRef>
          </c:val>
          <c:extLst>
            <c:ext xmlns:c16="http://schemas.microsoft.com/office/drawing/2014/chart" uri="{C3380CC4-5D6E-409C-BE32-E72D297353CC}">
              <c16:uniqueId val="{00000001-7635-476F-A786-B5EEE4126BE4}"/>
            </c:ext>
          </c:extLst>
        </c:ser>
        <c:dLbls>
          <c:showLegendKey val="0"/>
          <c:showVal val="0"/>
          <c:showCatName val="0"/>
          <c:showSerName val="0"/>
          <c:showPercent val="0"/>
          <c:showBubbleSize val="0"/>
        </c:dLbls>
        <c:gapWidth val="219"/>
        <c:axId val="71209295"/>
        <c:axId val="85072287"/>
      </c:barChart>
      <c:lineChart>
        <c:grouping val="standard"/>
        <c:varyColors val="0"/>
        <c:ser>
          <c:idx val="0"/>
          <c:order val="0"/>
          <c:tx>
            <c:strRef>
              <c:f>CrimeRate_Data!$H$35</c:f>
              <c:strCache>
                <c:ptCount val="1"/>
                <c:pt idx="0">
                  <c:v>murder </c:v>
                </c:pt>
              </c:strCache>
            </c:strRef>
          </c:tx>
          <c:spPr>
            <a:ln w="34925" cap="rnd">
              <a:solidFill>
                <a:schemeClr val="accent2">
                  <a:tint val="58000"/>
                </a:schemeClr>
              </a:solidFill>
              <a:round/>
            </a:ln>
            <a:effectLst>
              <a:outerShdw blurRad="57150" dist="19050" dir="5400000" algn="ctr" rotWithShape="0">
                <a:srgbClr val="000000">
                  <a:alpha val="63000"/>
                </a:srgbClr>
              </a:outerShdw>
            </a:effectLst>
          </c:spPr>
          <c:marker>
            <c:symbol val="none"/>
          </c:marker>
          <c:cat>
            <c:strRef>
              <c:f>CrimeRate_Data!$G$36:$G$44</c:f>
              <c:strCache>
                <c:ptCount val="9"/>
                <c:pt idx="0">
                  <c:v>Atlanta</c:v>
                </c:pt>
                <c:pt idx="1">
                  <c:v>Boston</c:v>
                </c:pt>
                <c:pt idx="2">
                  <c:v>Chicago</c:v>
                </c:pt>
                <c:pt idx="3">
                  <c:v>Denver</c:v>
                </c:pt>
                <c:pt idx="4">
                  <c:v>Las Vegas</c:v>
                </c:pt>
                <c:pt idx="5">
                  <c:v>New York</c:v>
                </c:pt>
                <c:pt idx="6">
                  <c:v>San Francisco</c:v>
                </c:pt>
                <c:pt idx="7">
                  <c:v>Seattle</c:v>
                </c:pt>
                <c:pt idx="8">
                  <c:v>Tampa</c:v>
                </c:pt>
              </c:strCache>
            </c:strRef>
          </c:cat>
          <c:val>
            <c:numRef>
              <c:f>CrimeRate_Data!$H$36:$H$44</c:f>
              <c:numCache>
                <c:formatCode>General</c:formatCode>
                <c:ptCount val="9"/>
                <c:pt idx="0">
                  <c:v>16.41</c:v>
                </c:pt>
                <c:pt idx="1">
                  <c:v>8.35</c:v>
                </c:pt>
                <c:pt idx="2">
                  <c:v>18.260000000000002</c:v>
                </c:pt>
                <c:pt idx="3">
                  <c:v>8.35</c:v>
                </c:pt>
                <c:pt idx="4">
                  <c:v>12.6</c:v>
                </c:pt>
                <c:pt idx="5">
                  <c:v>3.39</c:v>
                </c:pt>
                <c:pt idx="6">
                  <c:v>6.35</c:v>
                </c:pt>
                <c:pt idx="7">
                  <c:v>3.74</c:v>
                </c:pt>
                <c:pt idx="8">
                  <c:v>10.15</c:v>
                </c:pt>
              </c:numCache>
            </c:numRef>
          </c:val>
          <c:smooth val="0"/>
          <c:extLst>
            <c:ext xmlns:c16="http://schemas.microsoft.com/office/drawing/2014/chart" uri="{C3380CC4-5D6E-409C-BE32-E72D297353CC}">
              <c16:uniqueId val="{00000002-7635-476F-A786-B5EEE4126BE4}"/>
            </c:ext>
          </c:extLst>
        </c:ser>
        <c:ser>
          <c:idx val="1"/>
          <c:order val="1"/>
          <c:tx>
            <c:strRef>
              <c:f>CrimeRate_Data!$I$35</c:f>
              <c:strCache>
                <c:ptCount val="1"/>
                <c:pt idx="0">
                  <c:v>rape </c:v>
                </c:pt>
              </c:strCache>
            </c:strRef>
          </c:tx>
          <c:spPr>
            <a:ln w="34925" cap="rnd">
              <a:solidFill>
                <a:schemeClr val="accent2">
                  <a:lumMod val="50000"/>
                </a:schemeClr>
              </a:solidFill>
              <a:round/>
            </a:ln>
            <a:effectLst>
              <a:outerShdw blurRad="57150" dist="19050" dir="5400000" algn="ctr" rotWithShape="0">
                <a:srgbClr val="000000">
                  <a:alpha val="63000"/>
                </a:srgbClr>
              </a:outerShdw>
            </a:effectLst>
          </c:spPr>
          <c:marker>
            <c:symbol val="none"/>
          </c:marker>
          <c:cat>
            <c:strRef>
              <c:f>CrimeRate_Data!$G$36:$G$44</c:f>
              <c:strCache>
                <c:ptCount val="9"/>
                <c:pt idx="0">
                  <c:v>Atlanta</c:v>
                </c:pt>
                <c:pt idx="1">
                  <c:v>Boston</c:v>
                </c:pt>
                <c:pt idx="2">
                  <c:v>Chicago</c:v>
                </c:pt>
                <c:pt idx="3">
                  <c:v>Denver</c:v>
                </c:pt>
                <c:pt idx="4">
                  <c:v>Las Vegas</c:v>
                </c:pt>
                <c:pt idx="5">
                  <c:v>New York</c:v>
                </c:pt>
                <c:pt idx="6">
                  <c:v>San Francisco</c:v>
                </c:pt>
                <c:pt idx="7">
                  <c:v>Seattle</c:v>
                </c:pt>
                <c:pt idx="8">
                  <c:v>Tampa</c:v>
                </c:pt>
              </c:strCache>
            </c:strRef>
          </c:cat>
          <c:val>
            <c:numRef>
              <c:f>CrimeRate_Data!$I$36:$I$44</c:f>
              <c:numCache>
                <c:formatCode>General</c:formatCode>
                <c:ptCount val="9"/>
                <c:pt idx="0">
                  <c:v>58.59</c:v>
                </c:pt>
                <c:pt idx="1">
                  <c:v>42.47</c:v>
                </c:pt>
                <c:pt idx="2">
                  <c:v>65.11</c:v>
                </c:pt>
                <c:pt idx="3">
                  <c:v>98.92</c:v>
                </c:pt>
                <c:pt idx="4">
                  <c:v>79.64</c:v>
                </c:pt>
                <c:pt idx="5">
                  <c:v>27.56</c:v>
                </c:pt>
                <c:pt idx="6">
                  <c:v>41.65</c:v>
                </c:pt>
                <c:pt idx="7">
                  <c:v>36.869999999999997</c:v>
                </c:pt>
                <c:pt idx="8">
                  <c:v>31.48</c:v>
                </c:pt>
              </c:numCache>
            </c:numRef>
          </c:val>
          <c:smooth val="0"/>
          <c:extLst>
            <c:ext xmlns:c16="http://schemas.microsoft.com/office/drawing/2014/chart" uri="{C3380CC4-5D6E-409C-BE32-E72D297353CC}">
              <c16:uniqueId val="{00000003-7635-476F-A786-B5EEE4126BE4}"/>
            </c:ext>
          </c:extLst>
        </c:ser>
        <c:dLbls>
          <c:showLegendKey val="0"/>
          <c:showVal val="0"/>
          <c:showCatName val="0"/>
          <c:showSerName val="0"/>
          <c:showPercent val="0"/>
          <c:showBubbleSize val="0"/>
        </c:dLbls>
        <c:marker val="1"/>
        <c:smooth val="0"/>
        <c:axId val="71216015"/>
        <c:axId val="85075759"/>
      </c:lineChart>
      <c:catAx>
        <c:axId val="7120929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85072287"/>
        <c:crosses val="autoZero"/>
        <c:auto val="1"/>
        <c:lblAlgn val="ctr"/>
        <c:lblOffset val="100"/>
        <c:noMultiLvlLbl val="0"/>
      </c:catAx>
      <c:valAx>
        <c:axId val="85072287"/>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Robbery and aggravated assault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09295"/>
        <c:crosses val="autoZero"/>
        <c:crossBetween val="between"/>
      </c:valAx>
      <c:valAx>
        <c:axId val="85075759"/>
        <c:scaling>
          <c:orientation val="minMax"/>
        </c:scaling>
        <c:delete val="0"/>
        <c:axPos val="r"/>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Murder and Rape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16015"/>
        <c:crosses val="max"/>
        <c:crossBetween val="between"/>
      </c:valAx>
      <c:catAx>
        <c:axId val="71216015"/>
        <c:scaling>
          <c:orientation val="minMax"/>
        </c:scaling>
        <c:delete val="1"/>
        <c:axPos val="b"/>
        <c:numFmt formatCode="General" sourceLinked="1"/>
        <c:majorTickMark val="none"/>
        <c:minorTickMark val="none"/>
        <c:tickLblPos val="nextTo"/>
        <c:crossAx val="8507575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data id="1">
      <cx:strDim type="cat">
        <cx:f>_xlchart.v1.0</cx:f>
      </cx:strDim>
      <cx:numDim type="size">
        <cx:f>_xlchart.v1.4</cx:f>
      </cx:numDim>
    </cx:data>
  </cx:chartData>
  <cx:chart>
    <cx:title pos="t" align="ctr" overlay="0">
      <cx:tx>
        <cx:txData>
          <cx:v>Average Low and High temperatures</cx:v>
        </cx:txData>
      </cx:tx>
      <cx:txPr>
        <a:bodyPr spcFirstLastPara="1" vertOverflow="ellipsis" horzOverflow="overflow" wrap="square" lIns="0" tIns="0" rIns="0" bIns="0" anchor="ctr" anchorCtr="1"/>
        <a:lstStyle/>
        <a:p>
          <a:pPr algn="ctr" rtl="0">
            <a:defRPr sz="1200"/>
          </a:pPr>
          <a:r>
            <a:rPr lang="en-US" sz="1200" b="0" i="0" u="none" strike="noStrike" baseline="0">
              <a:solidFill>
                <a:sysClr val="windowText" lastClr="000000">
                  <a:lumMod val="65000"/>
                  <a:lumOff val="35000"/>
                </a:sysClr>
              </a:solidFill>
              <a:latin typeface="Times New Roman" panose="02020603050405020304" pitchFamily="18" charset="0"/>
              <a:cs typeface="Times New Roman" panose="02020603050405020304" pitchFamily="18" charset="0"/>
            </a:rPr>
            <a:t>Average Low and High temperatures</a:t>
          </a:r>
        </a:p>
      </cx:txPr>
    </cx:title>
    <cx:plotArea>
      <cx:plotAreaRegion>
        <cx:series layoutId="treemap" uniqueId="{88B5E763-DBFB-4250-BF89-17287B894F98}" formatIdx="0">
          <cx:tx>
            <cx:txData>
              <cx:f>_xlchart.v1.1</cx:f>
              <cx:v>High Temperature (°F)</cx:v>
            </cx:txData>
          </cx:tx>
          <cx:dataLabels pos="ctr">
            <cx:txPr>
              <a:bodyPr spcFirstLastPara="1" vertOverflow="ellipsis" horzOverflow="overflow" wrap="square" lIns="0" tIns="0" rIns="0" bIns="0" anchor="ctr" anchorCtr="1"/>
              <a:lstStyle/>
              <a:p>
                <a:pPr algn="ctr" rtl="0">
                  <a:defRPr>
                    <a:latin typeface="Times New Roman" panose="02020603050405020304" pitchFamily="18" charset="0"/>
                    <a:ea typeface="Times New Roman" panose="02020603050405020304" pitchFamily="18" charset="0"/>
                    <a:cs typeface="Times New Roman" panose="02020603050405020304" pitchFamily="18" charset="0"/>
                  </a:defRPr>
                </a:pPr>
                <a:endParaRPr lang="en-US" sz="1000" b="1" i="0" u="none" strike="noStrike" baseline="0">
                  <a:solidFill>
                    <a:sysClr val="window" lastClr="FFFFFF"/>
                  </a:solidFill>
                  <a:latin typeface="Times New Roman" panose="02020603050405020304" pitchFamily="18" charset="0"/>
                  <a:cs typeface="Times New Roman" panose="02020603050405020304" pitchFamily="18" charset="0"/>
                </a:endParaRPr>
              </a:p>
            </cx:txPr>
            <cx:visibility seriesName="0" categoryName="1" value="1"/>
            <cx:separator>, </cx:separator>
          </cx:dataLabels>
          <cx:dataId val="0"/>
          <cx:layoutPr>
            <cx:parentLabelLayout val="overlapping"/>
          </cx:layoutPr>
        </cx:series>
        <cx:series layoutId="treemap" hidden="1" uniqueId="{527FE3CB-1BEB-4D71-AFB2-1BF0E907771E}" formatIdx="1">
          <cx:tx>
            <cx:txData>
              <cx:f>_xlchart.v1.3</cx:f>
              <cx:v>Low Temperature (°F)</cx:v>
            </cx:txData>
          </cx:tx>
          <cx:dataLabels pos="ctr">
            <cx:visibility seriesName="0" categoryName="1" value="0"/>
          </cx:dataLabels>
          <cx:dataId val="1"/>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withinLinearReversed" id="22">
  <a:schemeClr val="accent2"/>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5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3" Type="http://schemas.openxmlformats.org/officeDocument/2006/relationships/chart" Target="../charts/chart2.xml"/><Relationship Id="rId21" Type="http://schemas.openxmlformats.org/officeDocument/2006/relationships/image" Target="../media/image16.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 Type="http://schemas.openxmlformats.org/officeDocument/2006/relationships/chart" Target="../charts/chart1.xml"/><Relationship Id="rId16" Type="http://schemas.openxmlformats.org/officeDocument/2006/relationships/image" Target="../media/image11.svg"/><Relationship Id="rId20" Type="http://schemas.openxmlformats.org/officeDocument/2006/relationships/image" Target="../media/image15.svg"/><Relationship Id="rId1" Type="http://schemas.microsoft.com/office/2014/relationships/chartEx" Target="../charts/chartEx1.xml"/><Relationship Id="rId6" Type="http://schemas.openxmlformats.org/officeDocument/2006/relationships/chart" Target="../charts/chart4.xml"/><Relationship Id="rId11" Type="http://schemas.openxmlformats.org/officeDocument/2006/relationships/image" Target="../media/image6.png"/><Relationship Id="rId5" Type="http://schemas.openxmlformats.org/officeDocument/2006/relationships/image" Target="../media/image1.png"/><Relationship Id="rId15" Type="http://schemas.openxmlformats.org/officeDocument/2006/relationships/image" Target="../media/image10.png"/><Relationship Id="rId10" Type="http://schemas.openxmlformats.org/officeDocument/2006/relationships/image" Target="../media/image5.svg"/><Relationship Id="rId19" Type="http://schemas.openxmlformats.org/officeDocument/2006/relationships/image" Target="../media/image14.png"/><Relationship Id="rId4" Type="http://schemas.openxmlformats.org/officeDocument/2006/relationships/chart" Target="../charts/chart3.xml"/><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17.svg"/></Relationships>
</file>

<file path=xl/drawings/drawing1.xml><?xml version="1.0" encoding="utf-8"?>
<xdr:wsDr xmlns:xdr="http://schemas.openxmlformats.org/drawingml/2006/spreadsheetDrawing" xmlns:a="http://schemas.openxmlformats.org/drawingml/2006/main">
  <xdr:twoCellAnchor>
    <xdr:from>
      <xdr:col>7</xdr:col>
      <xdr:colOff>1</xdr:colOff>
      <xdr:row>16</xdr:row>
      <xdr:rowOff>187992</xdr:rowOff>
    </xdr:from>
    <xdr:to>
      <xdr:col>16</xdr:col>
      <xdr:colOff>0</xdr:colOff>
      <xdr:row>34</xdr:row>
      <xdr:rowOff>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410326" y="3293142"/>
              <a:ext cx="5486399" cy="330768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589045</xdr:colOff>
      <xdr:row>17</xdr:row>
      <xdr:rowOff>0</xdr:rowOff>
    </xdr:from>
    <xdr:to>
      <xdr:col>26</xdr:col>
      <xdr:colOff>0</xdr:colOff>
      <xdr:row>34</xdr:row>
      <xdr:rowOff>12533</xdr:rowOff>
    </xdr:to>
    <xdr:graphicFrame macro="">
      <xdr:nvGraphicFramePr>
        <xdr:cNvPr id="3" name="Chart 5">
          <a:extLst>
            <a:ext uri="{FF2B5EF4-FFF2-40B4-BE49-F238E27FC236}">
              <a16:creationId xmlns:a16="http://schemas.microsoft.com/office/drawing/2014/main" id="{00000000-0008-0000-0000-000003000000}"/>
            </a:ext>
            <a:ext uri="{147F2762-F138-4A5C-976F-8EAC2B608ADB}">
              <a16:predDERef xmlns:a16="http://schemas.microsoft.com/office/drawing/2014/main" pred="{E024B97E-0732-8BA3-FA7D-72D9075E4D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13034</xdr:colOff>
      <xdr:row>0</xdr:row>
      <xdr:rowOff>185234</xdr:rowOff>
    </xdr:from>
    <xdr:to>
      <xdr:col>17</xdr:col>
      <xdr:colOff>0</xdr:colOff>
      <xdr:row>16</xdr:row>
      <xdr:rowOff>187992</xdr:rowOff>
    </xdr:to>
    <xdr:graphicFrame macro="">
      <xdr:nvGraphicFramePr>
        <xdr:cNvPr id="7" name="Chart 4">
          <a:extLst>
            <a:ext uri="{FF2B5EF4-FFF2-40B4-BE49-F238E27FC236}">
              <a16:creationId xmlns:a16="http://schemas.microsoft.com/office/drawing/2014/main" id="{00000000-0008-0000-0000-000007000000}"/>
            </a:ext>
            <a:ext uri="{147F2762-F138-4A5C-976F-8EAC2B608ADB}">
              <a16:predDERef xmlns:a16="http://schemas.microsoft.com/office/drawing/2014/main" pred="{90952CE4-7AE4-2C8D-851B-AF6FCDFD94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6067</xdr:colOff>
      <xdr:row>34</xdr:row>
      <xdr:rowOff>0</xdr:rowOff>
    </xdr:from>
    <xdr:to>
      <xdr:col>15</xdr:col>
      <xdr:colOff>6067</xdr:colOff>
      <xdr:row>49</xdr:row>
      <xdr:rowOff>78640</xdr:rowOff>
    </xdr:to>
    <xdr:graphicFrame macro="">
      <xdr:nvGraphicFramePr>
        <xdr:cNvPr id="8" name="Chart 7" descr="Chart type: Line. 'Purchasing Power Index', 'Rent Index' by 'City'&#10;&#10;Description automatically generated">
          <a:extLst>
            <a:ext uri="{FF2B5EF4-FFF2-40B4-BE49-F238E27FC236}">
              <a16:creationId xmlns:a16="http://schemas.microsoft.com/office/drawing/2014/main" id="{00000000-0008-0000-0000-000008000000}"/>
            </a:ext>
            <a:ext uri="{147F2762-F138-4A5C-976F-8EAC2B608ADB}">
              <a16:predDERef xmlns:a16="http://schemas.microsoft.com/office/drawing/2014/main" pred="{0B61F385-1197-4FE9-9AEF-9D4EB7F2D4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34</xdr:row>
      <xdr:rowOff>0</xdr:rowOff>
    </xdr:from>
    <xdr:to>
      <xdr:col>26</xdr:col>
      <xdr:colOff>2405</xdr:colOff>
      <xdr:row>63</xdr:row>
      <xdr:rowOff>123514</xdr:rowOff>
    </xdr:to>
    <xdr:pic>
      <xdr:nvPicPr>
        <xdr:cNvPr id="6" name="Picture 5" descr="A map of the united states with green dots&#10;&#10;Description automatically generated">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stretch>
          <a:fillRect/>
        </a:stretch>
      </xdr:blipFill>
      <xdr:spPr>
        <a:xfrm>
          <a:off x="10778289" y="6203783"/>
          <a:ext cx="6755231" cy="5575323"/>
        </a:xfrm>
        <a:prstGeom prst="rect">
          <a:avLst/>
        </a:prstGeom>
      </xdr:spPr>
    </xdr:pic>
    <xdr:clientData/>
  </xdr:twoCellAnchor>
  <xdr:twoCellAnchor editAs="oneCell">
    <xdr:from>
      <xdr:col>2</xdr:col>
      <xdr:colOff>614111</xdr:colOff>
      <xdr:row>3</xdr:row>
      <xdr:rowOff>0</xdr:rowOff>
    </xdr:from>
    <xdr:to>
      <xdr:col>5</xdr:col>
      <xdr:colOff>204810</xdr:colOff>
      <xdr:row>13</xdr:row>
      <xdr:rowOff>1165</xdr:rowOff>
    </xdr:to>
    <mc:AlternateContent xmlns:mc="http://schemas.openxmlformats.org/markup-compatibility/2006" xmlns:a14="http://schemas.microsoft.com/office/drawing/2010/main">
      <mc:Choice Requires="a14">
        <xdr:graphicFrame macro="">
          <xdr:nvGraphicFramePr>
            <xdr:cNvPr id="9" name="City">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2729221" y="588309"/>
              <a:ext cx="2525706" cy="19621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0</xdr:colOff>
      <xdr:row>0</xdr:row>
      <xdr:rowOff>187992</xdr:rowOff>
    </xdr:from>
    <xdr:to>
      <xdr:col>26</xdr:col>
      <xdr:colOff>0</xdr:colOff>
      <xdr:row>16</xdr:row>
      <xdr:rowOff>187992</xdr:rowOff>
    </xdr:to>
    <xdr:graphicFrame macro="">
      <xdr:nvGraphicFramePr>
        <xdr:cNvPr id="10" name="Chart 4">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343716</xdr:colOff>
      <xdr:row>12</xdr:row>
      <xdr:rowOff>18804</xdr:rowOff>
    </xdr:from>
    <xdr:to>
      <xdr:col>1</xdr:col>
      <xdr:colOff>1258116</xdr:colOff>
      <xdr:row>13</xdr:row>
      <xdr:rowOff>187387</xdr:rowOff>
    </xdr:to>
    <xdr:pic>
      <xdr:nvPicPr>
        <xdr:cNvPr id="12" name="Graphic 11" descr="Flying Money with solid fill">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957549" y="2304804"/>
          <a:ext cx="914400" cy="359083"/>
        </a:xfrm>
        <a:prstGeom prst="rect">
          <a:avLst/>
        </a:prstGeom>
      </xdr:spPr>
    </xdr:pic>
    <xdr:clientData/>
  </xdr:twoCellAnchor>
  <xdr:twoCellAnchor editAs="oneCell">
    <xdr:from>
      <xdr:col>1</xdr:col>
      <xdr:colOff>448839</xdr:colOff>
      <xdr:row>17</xdr:row>
      <xdr:rowOff>67837</xdr:rowOff>
    </xdr:from>
    <xdr:to>
      <xdr:col>1</xdr:col>
      <xdr:colOff>1060112</xdr:colOff>
      <xdr:row>20</xdr:row>
      <xdr:rowOff>10584</xdr:rowOff>
    </xdr:to>
    <xdr:pic>
      <xdr:nvPicPr>
        <xdr:cNvPr id="14" name="Graphic 13" descr="Power Plant with solid fill">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62672" y="3306337"/>
          <a:ext cx="611273" cy="514247"/>
        </a:xfrm>
        <a:prstGeom prst="rect">
          <a:avLst/>
        </a:prstGeom>
      </xdr:spPr>
    </xdr:pic>
    <xdr:clientData/>
  </xdr:twoCellAnchor>
  <xdr:twoCellAnchor editAs="oneCell">
    <xdr:from>
      <xdr:col>1</xdr:col>
      <xdr:colOff>379960</xdr:colOff>
      <xdr:row>22</xdr:row>
      <xdr:rowOff>109304</xdr:rowOff>
    </xdr:from>
    <xdr:to>
      <xdr:col>1</xdr:col>
      <xdr:colOff>1134673</xdr:colOff>
      <xdr:row>25</xdr:row>
      <xdr:rowOff>109989</xdr:rowOff>
    </xdr:to>
    <xdr:pic>
      <xdr:nvPicPr>
        <xdr:cNvPr id="16" name="Graphic 15" descr="Full battery with solid fill">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88935" y="4346107"/>
          <a:ext cx="754713" cy="578431"/>
        </a:xfrm>
        <a:prstGeom prst="rect">
          <a:avLst/>
        </a:prstGeom>
      </xdr:spPr>
    </xdr:pic>
    <xdr:clientData/>
  </xdr:twoCellAnchor>
  <xdr:twoCellAnchor editAs="oneCell">
    <xdr:from>
      <xdr:col>1</xdr:col>
      <xdr:colOff>536812</xdr:colOff>
      <xdr:row>28</xdr:row>
      <xdr:rowOff>7808</xdr:rowOff>
    </xdr:from>
    <xdr:to>
      <xdr:col>1</xdr:col>
      <xdr:colOff>1031615</xdr:colOff>
      <xdr:row>30</xdr:row>
      <xdr:rowOff>36957</xdr:rowOff>
    </xdr:to>
    <xdr:pic>
      <xdr:nvPicPr>
        <xdr:cNvPr id="18" name="Graphic 17" descr="IV with solid fill">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50645" y="5341808"/>
          <a:ext cx="494803" cy="410149"/>
        </a:xfrm>
        <a:prstGeom prst="rect">
          <a:avLst/>
        </a:prstGeom>
      </xdr:spPr>
    </xdr:pic>
    <xdr:clientData/>
  </xdr:twoCellAnchor>
  <xdr:twoCellAnchor editAs="oneCell">
    <xdr:from>
      <xdr:col>1</xdr:col>
      <xdr:colOff>563682</xdr:colOff>
      <xdr:row>32</xdr:row>
      <xdr:rowOff>151290</xdr:rowOff>
    </xdr:from>
    <xdr:to>
      <xdr:col>1</xdr:col>
      <xdr:colOff>1078633</xdr:colOff>
      <xdr:row>35</xdr:row>
      <xdr:rowOff>57601</xdr:rowOff>
    </xdr:to>
    <xdr:pic>
      <xdr:nvPicPr>
        <xdr:cNvPr id="20" name="Graphic 19" descr="Universal access with solid fill">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77515" y="6247290"/>
          <a:ext cx="514951" cy="477811"/>
        </a:xfrm>
        <a:prstGeom prst="rect">
          <a:avLst/>
        </a:prstGeom>
      </xdr:spPr>
    </xdr:pic>
    <xdr:clientData/>
  </xdr:twoCellAnchor>
  <xdr:twoCellAnchor editAs="oneCell">
    <xdr:from>
      <xdr:col>1</xdr:col>
      <xdr:colOff>501060</xdr:colOff>
      <xdr:row>38</xdr:row>
      <xdr:rowOff>5202</xdr:rowOff>
    </xdr:from>
    <xdr:to>
      <xdr:col>1</xdr:col>
      <xdr:colOff>1063191</xdr:colOff>
      <xdr:row>40</xdr:row>
      <xdr:rowOff>20817</xdr:rowOff>
    </xdr:to>
    <xdr:pic>
      <xdr:nvPicPr>
        <xdr:cNvPr id="22" name="Graphic 21" descr="Tax with solid fill">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114893" y="7244202"/>
          <a:ext cx="562131" cy="396615"/>
        </a:xfrm>
        <a:prstGeom prst="rect">
          <a:avLst/>
        </a:prstGeom>
      </xdr:spPr>
    </xdr:pic>
    <xdr:clientData/>
  </xdr:twoCellAnchor>
  <xdr:twoCellAnchor editAs="oneCell">
    <xdr:from>
      <xdr:col>1</xdr:col>
      <xdr:colOff>328605</xdr:colOff>
      <xdr:row>6</xdr:row>
      <xdr:rowOff>146259</xdr:rowOff>
    </xdr:from>
    <xdr:to>
      <xdr:col>1</xdr:col>
      <xdr:colOff>1166597</xdr:colOff>
      <xdr:row>9</xdr:row>
      <xdr:rowOff>73389</xdr:rowOff>
    </xdr:to>
    <xdr:pic>
      <xdr:nvPicPr>
        <xdr:cNvPr id="24" name="Graphic 23" descr="Rating Star with solid fill">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942438" y="1289259"/>
          <a:ext cx="837992" cy="498630"/>
        </a:xfrm>
        <a:prstGeom prst="rect">
          <a:avLst/>
        </a:prstGeom>
      </xdr:spPr>
    </xdr:pic>
    <xdr:clientData/>
  </xdr:twoCellAnchor>
  <xdr:twoCellAnchor editAs="oneCell">
    <xdr:from>
      <xdr:col>1</xdr:col>
      <xdr:colOff>317500</xdr:colOff>
      <xdr:row>1</xdr:row>
      <xdr:rowOff>148167</xdr:rowOff>
    </xdr:from>
    <xdr:to>
      <xdr:col>1</xdr:col>
      <xdr:colOff>1132417</xdr:colOff>
      <xdr:row>4</xdr:row>
      <xdr:rowOff>74084</xdr:rowOff>
    </xdr:to>
    <xdr:pic>
      <xdr:nvPicPr>
        <xdr:cNvPr id="26" name="Graphic 25" descr="City with solid fill">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931333" y="338667"/>
          <a:ext cx="814917" cy="497417"/>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238125</xdr:colOff>
          <xdr:row>38</xdr:row>
          <xdr:rowOff>123825</xdr:rowOff>
        </xdr:from>
        <xdr:to>
          <xdr:col>6</xdr:col>
          <xdr:colOff>238125</xdr:colOff>
          <xdr:row>41</xdr:row>
          <xdr:rowOff>104775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800" b="0" i="0" u="none" strike="noStrike" baseline="0">
                  <a:solidFill>
                    <a:srgbClr val="000000"/>
                  </a:solidFill>
                  <a:latin typeface="Times New Roman"/>
                  <a:cs typeface="Times New Roman"/>
                </a:rPr>
                <a:t>Go to Conclusion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45</xdr:row>
          <xdr:rowOff>133350</xdr:rowOff>
        </xdr:from>
        <xdr:to>
          <xdr:col>6</xdr:col>
          <xdr:colOff>219075</xdr:colOff>
          <xdr:row>48</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800" b="0" i="0" u="none" strike="noStrike" baseline="0">
                  <a:solidFill>
                    <a:srgbClr val="000000"/>
                  </a:solidFill>
                  <a:latin typeface="Times New Roman"/>
                  <a:cs typeface="Times New Roman"/>
                </a:rPr>
                <a:t>Customise Your Conclusion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3983797" cy="937629"/>
    <xdr:sp macro="" textlink="">
      <xdr:nvSpPr>
        <xdr:cNvPr id="2" name="Rectangle 1">
          <a:extLst>
            <a:ext uri="{FF2B5EF4-FFF2-40B4-BE49-F238E27FC236}">
              <a16:creationId xmlns:a16="http://schemas.microsoft.com/office/drawing/2014/main" id="{00000000-0008-0000-0400-000002000000}"/>
            </a:ext>
          </a:extLst>
        </xdr:cNvPr>
        <xdr:cNvSpPr/>
      </xdr:nvSpPr>
      <xdr:spPr>
        <a:xfrm>
          <a:off x="0" y="0"/>
          <a:ext cx="3983797" cy="937629"/>
        </a:xfrm>
        <a:prstGeom prst="rect">
          <a:avLst/>
        </a:prstGeom>
        <a:noFill/>
      </xdr:spPr>
      <xdr:txBody>
        <a:bodyPr wrap="square" lIns="91440" tIns="45720" rIns="91440" bIns="45720">
          <a:spAutoFit/>
          <a:scene3d>
            <a:camera prst="orthographicFront"/>
            <a:lightRig rig="soft" dir="t">
              <a:rot lat="0" lon="0" rev="15600000"/>
            </a:lightRig>
          </a:scene3d>
          <a:sp3d extrusionH="57150" prstMaterial="softEdge">
            <a:bevelT w="25400" h="38100"/>
          </a:sp3d>
        </a:bodyPr>
        <a:lstStyle/>
        <a:p>
          <a:pPr algn="ctr"/>
          <a:r>
            <a:rPr lang="en-US" sz="5400" b="1" cap="none" spc="0">
              <a:ln w="22225">
                <a:solidFill>
                  <a:schemeClr val="accent2"/>
                </a:solidFill>
                <a:prstDash val="solid"/>
              </a:ln>
              <a:solidFill>
                <a:srgbClr val="FFC000"/>
              </a:solidFill>
              <a:effectLst/>
            </a:rPr>
            <a:t>Bibliography</a:t>
          </a:r>
          <a:endParaRPr lang="en-US" sz="5400" b="1" cap="none" spc="0">
            <a:ln/>
            <a:solidFill>
              <a:srgbClr val="FFC000"/>
            </a:solidFill>
            <a:effectLst/>
          </a:endParaRPr>
        </a:p>
      </xdr:txBody>
    </xdr:sp>
    <xdr:clientData/>
  </xdr:oneCellAnchor>
</xdr:wsDr>
</file>

<file path=xl/persons/person.xml><?xml version="1.0" encoding="utf-8"?>
<personList xmlns="http://schemas.microsoft.com/office/spreadsheetml/2018/threadedcomments" xmlns:x="http://schemas.openxmlformats.org/spreadsheetml/2006/main">
  <person displayName="Namrata Rane" id="{BA4D6D9E-36D4-4395-9EC2-D16F6CFB97EE}" userId="S::nrane@umass.edu::c6d21dad-0813-4989-8073-a4a36cdd832f"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255.585868287038" createdVersion="8" refreshedVersion="8" minRefreshableVersion="3" recordCount="9" xr:uid="{EB2BE9BE-7D52-4D27-9F92-7E5617CA3DC6}">
  <cacheSource type="worksheet">
    <worksheetSource name="Table3"/>
  </cacheSource>
  <cacheFields count="12">
    <cacheField name="City" numFmtId="0">
      <sharedItems count="9">
        <s v="Atlanta"/>
        <s v="Boston"/>
        <s v="Chicago"/>
        <s v="Denver"/>
        <s v="Las Vegas"/>
        <s v="New York"/>
        <s v="San Francisco"/>
        <s v="Seattle"/>
        <s v="Tampa"/>
      </sharedItems>
    </cacheField>
    <cacheField name="population" numFmtId="167">
      <sharedItems containsSemiMixedTypes="0" containsString="0" containsNumber="1" containsInteger="1" minValue="384360" maxValue="8804190"/>
    </cacheField>
    <cacheField name="total_crime" numFmtId="1">
      <sharedItems containsSemiMixedTypes="0" containsString="0" containsNumber="1" minValue="1987.49" maxValue="6917.4"/>
    </cacheField>
    <cacheField name="murder" numFmtId="1">
      <sharedItems containsSemiMixedTypes="0" containsString="0" containsNumber="1" minValue="3.39" maxValue="18.260000000000002" count="8">
        <n v="16.41"/>
        <n v="8.35"/>
        <n v="18.260000000000002"/>
        <n v="12.6"/>
        <n v="3.39"/>
        <n v="6.35"/>
        <n v="3.74"/>
        <n v="10.15"/>
      </sharedItems>
    </cacheField>
    <cacheField name="rape" numFmtId="1">
      <sharedItems containsSemiMixedTypes="0" containsString="0" containsNumber="1" minValue="27.56" maxValue="98.92" count="9">
        <n v="58.59"/>
        <n v="42.47"/>
        <n v="65.11"/>
        <n v="98.92"/>
        <n v="79.64"/>
        <n v="27.56"/>
        <n v="41.65"/>
        <n v="36.869999999999997"/>
        <n v="31.48"/>
      </sharedItems>
    </cacheField>
    <cacheField name="robbery" numFmtId="1">
      <sharedItems containsSemiMixedTypes="0" containsString="0" containsNumber="1" minValue="105.63" maxValue="439.26" count="9">
        <n v="293.55"/>
        <n v="205.59"/>
        <n v="439.26"/>
        <n v="174.35"/>
        <n v="211.15"/>
        <n v="162.41999999999999"/>
        <n v="365.39"/>
        <n v="210.02"/>
        <n v="105.63"/>
      </sharedItems>
    </cacheField>
    <cacheField name="agrv_assault" numFmtId="1">
      <sharedItems containsSemiMixedTypes="0" containsString="0" containsNumber="1" minValue="301.62" maxValue="570.36"/>
    </cacheField>
    <cacheField name="tot_violent_crime" numFmtId="1">
      <sharedItems containsSemiMixedTypes="0" containsString="0" containsNumber="1" minValue="464.41" maxValue="1098.8599999999999"/>
    </cacheField>
    <cacheField name="burglary" numFmtId="1">
      <sharedItems containsSemiMixedTypes="0" containsString="0" containsNumber="1" minValue="128.87" maxValue="1081.98" count="9">
        <n v="704.28"/>
        <n v="308.83"/>
        <n v="477.13"/>
        <n v="612.91999999999996"/>
        <n v="805.17"/>
        <n v="128.87"/>
        <n v="560"/>
        <n v="1081.98"/>
        <n v="321.31"/>
      </sharedItems>
    </cacheField>
    <cacheField name="larceny" numFmtId="1">
      <sharedItems containsSemiMixedTypes="0" containsString="0" containsNumber="1" minValue="1253.1500000000001" maxValue="5059.49" count="9">
        <n v="3387.19"/>
        <n v="1603.74"/>
        <n v="2358.83"/>
        <n v="2267.29"/>
        <n v="1635.16"/>
        <n v="1253.1500000000001"/>
        <n v="5059.49"/>
        <n v="3673.45"/>
        <n v="1274.8499999999999"/>
      </sharedItems>
    </cacheField>
    <cacheField name="vehicle_theft" numFmtId="1">
      <sharedItems containsSemiMixedTypes="0" containsString="0" containsNumber="1" minValue="66.56" maxValue="786.85" count="9">
        <n v="684.96"/>
        <n v="176.45"/>
        <n v="427.84"/>
        <n v="786.85"/>
        <n v="503.06"/>
        <n v="66.56"/>
        <n v="548.54"/>
        <n v="503.21"/>
        <n v="147.52000000000001"/>
      </sharedItems>
    </cacheField>
    <cacheField name="tot_prop_crim" numFmtId="1">
      <sharedItems containsSemiMixedTypes="0" containsString="0" containsNumber="1" minValue="1448.59" maxValue="6168.02"/>
    </cacheField>
  </cacheFields>
  <extLst>
    <ext xmlns:x14="http://schemas.microsoft.com/office/spreadsheetml/2009/9/main" uri="{725AE2AE-9491-48be-B2B4-4EB974FC3084}">
      <x14:pivotCacheDefinition pivotCacheId="158379825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255.585868287038" createdVersion="8" refreshedVersion="8" minRefreshableVersion="3" recordCount="9" xr:uid="{F15E83E1-AC0B-4202-8239-49FAFA82E48B}">
  <cacheSource type="worksheet">
    <worksheetSource name="FullandFinal_Project"/>
  </cacheSource>
  <cacheFields count="77">
    <cacheField name="City" numFmtId="0">
      <sharedItems count="9">
        <s v="Atlanta"/>
        <s v="Boston"/>
        <s v="Chicago"/>
        <s v="Denver"/>
        <s v="Las Vegas"/>
        <s v="New York"/>
        <s v="San Francisco"/>
        <s v="Seattle"/>
        <s v="Tampa"/>
      </sharedItems>
    </cacheField>
    <cacheField name="StateAbb" numFmtId="0">
      <sharedItems/>
    </cacheField>
    <cacheField name="State FullName" numFmtId="0">
      <sharedItems count="9">
        <s v="Georgia"/>
        <s v=" Massachusetts"/>
        <s v=" Illinois"/>
        <s v=" Colorado"/>
        <s v=" Nevada"/>
        <s v=" New York"/>
        <s v=" California"/>
        <s v=" Washington"/>
        <s v=" Florida"/>
      </sharedItems>
    </cacheField>
    <cacheField name="Quality of Life Index" numFmtId="1">
      <sharedItems containsSemiMixedTypes="0" containsString="0" containsNumber="1" minValue="135.80000000000001" maxValue="169.5"/>
    </cacheField>
    <cacheField name="Normalised QoL" numFmtId="2">
      <sharedItems containsSemiMixedTypes="0" containsString="0" containsNumber="1" minValue="1" maxValue="5"/>
    </cacheField>
    <cacheField name="Purchasing Power Index" numFmtId="1">
      <sharedItems containsSemiMixedTypes="0" containsString="0" containsNumber="1" minValue="100" maxValue="112.4"/>
    </cacheField>
    <cacheField name="Normalised PPI" numFmtId="2">
      <sharedItems containsSemiMixedTypes="0" containsString="0" containsNumber="1" minValue="1" maxValue="5"/>
    </cacheField>
    <cacheField name="Safety Index" numFmtId="1">
      <sharedItems containsSemiMixedTypes="0" containsString="0" containsNumber="1" minValue="34" maxValue="59.2"/>
    </cacheField>
    <cacheField name="Normalised SI" numFmtId="2">
      <sharedItems containsSemiMixedTypes="0" containsString="0" containsNumber="1" minValue="1" maxValue="5"/>
    </cacheField>
    <cacheField name="Health Care Index" numFmtId="168">
      <sharedItems containsSemiMixedTypes="0" containsString="0" containsNumber="1" minValue="54.5" maxValue="73"/>
    </cacheField>
    <cacheField name="Normalised HCI" numFmtId="2">
      <sharedItems containsSemiMixedTypes="0" containsString="0" containsNumber="1" minValue="1" maxValue="5"/>
    </cacheField>
    <cacheField name="Cost of Living Index" numFmtId="1">
      <sharedItems containsSemiMixedTypes="0" containsString="0" containsNumber="1" minValue="73.2" maxValue="106.8"/>
    </cacheField>
    <cacheField name="Normalised CLI" numFmtId="2">
      <sharedItems containsSemiMixedTypes="0" containsString="0" containsNumber="1" minValue="1" maxValue="5"/>
    </cacheField>
    <cacheField name="Property Price to Income Ratio" numFmtId="0">
      <sharedItems containsSemiMixedTypes="0" containsString="0" containsNumber="1" minValue="3.4" maxValue="10.3"/>
    </cacheField>
    <cacheField name="Normalised PPIR" numFmtId="2">
      <sharedItems containsSemiMixedTypes="0" containsString="0" containsNumber="1" minValue="1" maxValue="5"/>
    </cacheField>
    <cacheField name="Traffic Commute Time Index" numFmtId="1">
      <sharedItems containsSemiMixedTypes="0" containsString="0" containsNumber="1" minValue="27" maxValue="52.1"/>
    </cacheField>
    <cacheField name="Normalised TCTI" numFmtId="2">
      <sharedItems containsSemiMixedTypes="0" containsString="0" containsNumber="1" minValue="1" maxValue="5"/>
    </cacheField>
    <cacheField name="Pollution Index" numFmtId="1">
      <sharedItems containsSemiMixedTypes="0" containsString="0" containsNumber="1" minValue="31.8" maxValue="57.9"/>
    </cacheField>
    <cacheField name="Normalised PI" numFmtId="2">
      <sharedItems containsSemiMixedTypes="0" containsString="0" containsNumber="1" minValue="1" maxValue="5"/>
    </cacheField>
    <cacheField name="Climate Index" numFmtId="1">
      <sharedItems containsSemiMixedTypes="0" containsString="0" containsNumber="1" minValue="56.3" maxValue="97.3"/>
    </cacheField>
    <cacheField name="Normalised CI" numFmtId="2">
      <sharedItems containsSemiMixedTypes="0" containsString="0" containsNumber="1" minValue="1" maxValue="5"/>
    </cacheField>
    <cacheField name="Rent Index" numFmtId="1">
      <sharedItems containsSemiMixedTypes="0" containsString="0" containsNumber="1" minValue="41" maxValue="100"/>
    </cacheField>
    <cacheField name="Normalised RI" numFmtId="2">
      <sharedItems containsSemiMixedTypes="0" containsString="0" containsNumber="1" minValue="1" maxValue="5"/>
    </cacheField>
    <cacheField name="Restaurant Price Index" numFmtId="169">
      <sharedItems containsSemiMixedTypes="0" containsString="0" containsNumber="1" minValue="72.3" maxValue="101.1"/>
    </cacheField>
    <cacheField name="Normalised RPI" numFmtId="2">
      <sharedItems containsSemiMixedTypes="0" containsString="0" containsNumber="1" minValue="1" maxValue="5"/>
    </cacheField>
    <cacheField name="Local Purchasing Power Index" numFmtId="1">
      <sharedItems containsSemiMixedTypes="0" containsString="0" containsNumber="1" minValue="100" maxValue="113.5"/>
    </cacheField>
    <cacheField name="Normalised LPPI" numFmtId="2">
      <sharedItems containsSemiMixedTypes="0" containsString="0" containsNumber="1" minValue="1" maxValue="5"/>
    </cacheField>
    <cacheField name="Health Care Index.1" numFmtId="1">
      <sharedItems containsSemiMixedTypes="0" containsString="0" containsNumber="1" minValue="54.5" maxValue="73"/>
    </cacheField>
    <cacheField name="Normalised HCI 1" numFmtId="2">
      <sharedItems containsSemiMixedTypes="0" containsString="0" containsNumber="1" minValue="1" maxValue="5"/>
    </cacheField>
    <cacheField name="Health Care Exp. Index" numFmtId="1">
      <sharedItems containsSemiMixedTypes="0" containsString="0" containsNumber="1" minValue="97.7" maxValue="135"/>
    </cacheField>
    <cacheField name="Normalised HCEI" numFmtId="2">
      <sharedItems containsSemiMixedTypes="0" containsString="0" containsNumber="1" minValue="1" maxValue="5"/>
    </cacheField>
    <cacheField name="Traffic Index" numFmtId="1">
      <sharedItems containsSemiMixedTypes="0" containsString="0" containsNumber="1" minValue="126.4" maxValue="262.8"/>
    </cacheField>
    <cacheField name="Normalised TI" numFmtId="2">
      <sharedItems containsSemiMixedTypes="0" containsString="0" containsNumber="1" minValue="1" maxValue="5"/>
    </cacheField>
    <cacheField name="Time Index (in minutes)" numFmtId="1">
      <sharedItems containsSemiMixedTypes="0" containsString="0" containsNumber="1" minValue="27" maxValue="52.1"/>
    </cacheField>
    <cacheField name="Normalised TI2" numFmtId="2">
      <sharedItems containsSemiMixedTypes="0" containsString="0" containsNumber="1" minValue="1" maxValue="5"/>
    </cacheField>
    <cacheField name="Time Exp. Index" numFmtId="1">
      <sharedItems containsSemiMixedTypes="0" containsString="0" containsNumber="1" minValue="33.5" maxValue="7872.6"/>
    </cacheField>
    <cacheField name="Normalised TEI" numFmtId="2">
      <sharedItems containsSemiMixedTypes="0" containsString="0" containsNumber="1" minValue="1" maxValue="5"/>
    </cacheField>
    <cacheField name="Insufficiency Index" numFmtId="1">
      <sharedItems containsSemiMixedTypes="0" containsString="0" containsNumber="1" minValue="143.30000000000001" maxValue="583.1"/>
    </cacheField>
    <cacheField name="Normalised II" numFmtId="2">
      <sharedItems containsSemiMixedTypes="0" containsString="0" containsNumber="1" minValue="1" maxValue="5"/>
    </cacheField>
    <cacheField name="CO2 Emission Index" numFmtId="1">
      <sharedItems containsSemiMixedTypes="0" containsString="0" containsNumber="1" minValue="3213.7" maxValue="9580.4"/>
    </cacheField>
    <cacheField name="Normalised CEI" numFmtId="2">
      <sharedItems containsSemiMixedTypes="0" containsString="0" containsNumber="1" minValue="0.33855843686682308" maxValue="7.0190679629949582"/>
    </cacheField>
    <cacheField name="Temperature-High (°F)" numFmtId="0">
      <sharedItems containsSemiMixedTypes="0" containsString="0" containsNumber="1" containsInteger="1" minValue="59" maxValue="83"/>
    </cacheField>
    <cacheField name="Normalised TH" numFmtId="2">
      <sharedItems containsSemiMixedTypes="0" containsString="0" containsNumber="1" minValue="1" maxValue="5"/>
    </cacheField>
    <cacheField name="Temperature-Low (°F)" numFmtId="0">
      <sharedItems containsSemiMixedTypes="0" containsString="0" containsNumber="1" containsInteger="1" minValue="37" maxValue="66"/>
    </cacheField>
    <cacheField name="Normalised TL" numFmtId="2">
      <sharedItems containsSemiMixedTypes="0" containsString="0" containsNumber="1" minValue="1" maxValue="5"/>
    </cacheField>
    <cacheField name="population" numFmtId="167">
      <sharedItems containsSemiMixedTypes="0" containsString="0" containsNumber="1" containsInteger="1" minValue="384360" maxValue="8804190"/>
    </cacheField>
    <cacheField name="Normalised P" numFmtId="2">
      <sharedItems containsSemiMixedTypes="0" containsString="0" containsNumber="1" minValue="1" maxValue="5"/>
    </cacheField>
    <cacheField name="total_crime" numFmtId="1">
      <sharedItems containsSemiMixedTypes="0" containsString="0" containsNumber="1" minValue="1987.49" maxValue="6917.4"/>
    </cacheField>
    <cacheField name="Normalised TC" numFmtId="2">
      <sharedItems containsSemiMixedTypes="0" containsString="0" containsNumber="1" minValue="1" maxValue="5"/>
    </cacheField>
    <cacheField name="murder" numFmtId="1">
      <sharedItems containsSemiMixedTypes="0" containsString="0" containsNumber="1" minValue="3.39" maxValue="18.260000000000002"/>
    </cacheField>
    <cacheField name="Normalised M" numFmtId="2">
      <sharedItems containsSemiMixedTypes="0" containsString="0" containsNumber="1" minValue="1" maxValue="5"/>
    </cacheField>
    <cacheField name="rape" numFmtId="1">
      <sharedItems containsSemiMixedTypes="0" containsString="0" containsNumber="1" minValue="27.56" maxValue="98.92"/>
    </cacheField>
    <cacheField name="Normalised R" numFmtId="2">
      <sharedItems containsSemiMixedTypes="0" containsString="0" containsNumber="1" minValue="1" maxValue="5"/>
    </cacheField>
    <cacheField name="robbery" numFmtId="1">
      <sharedItems containsSemiMixedTypes="0" containsString="0" containsNumber="1" minValue="105.63" maxValue="439.26"/>
    </cacheField>
    <cacheField name="Normalised Robbery" numFmtId="2">
      <sharedItems containsSemiMixedTypes="0" containsString="0" containsNumber="1" minValue="1" maxValue="5"/>
    </cacheField>
    <cacheField name="agrv_assault" numFmtId="1">
      <sharedItems containsSemiMixedTypes="0" containsString="0" containsNumber="1" minValue="301.62" maxValue="570.36"/>
    </cacheField>
    <cacheField name="Normalised AA" numFmtId="2">
      <sharedItems containsSemiMixedTypes="0" containsString="0" containsNumber="1" minValue="1" maxValue="5"/>
    </cacheField>
    <cacheField name="tot_violent_crime" numFmtId="1">
      <sharedItems containsSemiMixedTypes="0" containsString="0" containsNumber="1" minValue="464.41" maxValue="1098.8599999999999"/>
    </cacheField>
    <cacheField name="Normalised TVC" numFmtId="2">
      <sharedItems containsSemiMixedTypes="0" containsString="0" containsNumber="1" minValue="1" maxValue="5"/>
    </cacheField>
    <cacheField name="burglary" numFmtId="1">
      <sharedItems containsSemiMixedTypes="0" containsString="0" containsNumber="1" minValue="128.87" maxValue="1081.98"/>
    </cacheField>
    <cacheField name="Normalised Burglary" numFmtId="2">
      <sharedItems containsSemiMixedTypes="0" containsString="0" containsNumber="1" minValue="1" maxValue="5"/>
    </cacheField>
    <cacheField name="larceny" numFmtId="1">
      <sharedItems containsSemiMixedTypes="0" containsString="0" containsNumber="1" minValue="1253.1500000000001" maxValue="5059.49"/>
    </cacheField>
    <cacheField name="Normalised Larceny" numFmtId="2">
      <sharedItems containsSemiMixedTypes="0" containsString="0" containsNumber="1" minValue="1" maxValue="5"/>
    </cacheField>
    <cacheField name="vehicle_theft" numFmtId="1">
      <sharedItems containsSemiMixedTypes="0" containsString="0" containsNumber="1" minValue="66.56" maxValue="786.85"/>
    </cacheField>
    <cacheField name="Normalised VT" numFmtId="2">
      <sharedItems containsSemiMixedTypes="0" containsString="0" containsNumber="1" minValue="1" maxValue="5"/>
    </cacheField>
    <cacheField name="tot_prop_crim" numFmtId="1">
      <sharedItems containsSemiMixedTypes="0" containsString="0" containsNumber="1" minValue="1448.59" maxValue="6168.02"/>
    </cacheField>
    <cacheField name="Normalised TPC" numFmtId="2">
      <sharedItems containsSemiMixedTypes="0" containsString="0" containsNumber="1" minValue="1" maxValue="5"/>
    </cacheField>
    <cacheField name="Median Household Income" numFmtId="166">
      <sharedItems containsSemiMixedTypes="0" containsString="0" containsNumber="1" containsInteger="1" minValue="63893" maxValue="136692"/>
    </cacheField>
    <cacheField name="Normalised MHI" numFmtId="2">
      <sharedItems containsSemiMixedTypes="0" containsString="0" containsNumber="1" minValue="1" maxValue="5"/>
    </cacheField>
    <cacheField name="AQI" numFmtId="164">
      <sharedItems containsSemiMixedTypes="0" containsString="0" containsNumber="1" minValue="44.582417582417584" maxValue="68.205673758865245"/>
    </cacheField>
    <cacheField name="Normalised AQI" numFmtId="2">
      <sharedItems containsSemiMixedTypes="0" containsString="0" containsNumber="1" minValue="1" maxValue="5"/>
    </cacheField>
    <cacheField name="State Tax Rate" numFmtId="10">
      <sharedItems containsSemiMixedTypes="0" containsString="0" containsNumber="1" minValue="0.04" maxValue="7.2499999999999995E-2"/>
    </cacheField>
    <cacheField name="Normalised STR" numFmtId="2">
      <sharedItems containsSemiMixedTypes="0" containsString="0" containsNumber="1" minValue="1" maxValue="5"/>
    </cacheField>
    <cacheField name="Avg local total rate" numFmtId="10">
      <sharedItems containsSemiMixedTypes="0" containsString="0" containsNumber="1" minValue="0" maxValue="4.5319999999999999E-2"/>
    </cacheField>
    <cacheField name="Normalised ALTR" numFmtId="2">
      <sharedItems containsSemiMixedTypes="0" containsString="0" containsNumber="1" minValue="1" maxValue="5"/>
    </cacheField>
    <cacheField name="Combined Rate" numFmtId="10">
      <sharedItems containsSemiMixedTypes="0" containsString="0" containsNumber="1" minValue="6.25E-2" maxValue="9.3969999999999998E-2"/>
    </cacheField>
    <cacheField name="Normalised CR" numFmtId="2">
      <sharedItems containsSemiMixedTypes="0" containsString="0" containsNumber="1" minValue="1" maxValue="5"/>
    </cacheField>
  </cacheFields>
  <extLst>
    <ext xmlns:x14="http://schemas.microsoft.com/office/spreadsheetml/2009/9/main" uri="{725AE2AE-9491-48be-B2B4-4EB974FC3084}">
      <x14:pivotCacheDefinition pivotCacheId="153940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n v="481343"/>
    <n v="5727.52"/>
    <x v="0"/>
    <x v="0"/>
    <x v="0"/>
    <n v="567.16"/>
    <n v="935.72"/>
    <x v="0"/>
    <x v="0"/>
    <x v="0"/>
    <n v="4776.43"/>
  </r>
  <r>
    <x v="1"/>
    <n v="682903"/>
    <n v="2758.22"/>
    <x v="1"/>
    <x v="1"/>
    <x v="1"/>
    <n v="412.8"/>
    <n v="669.2"/>
    <x v="1"/>
    <x v="1"/>
    <x v="1"/>
    <n v="2089.02"/>
  </r>
  <r>
    <x v="2"/>
    <n v="2746388"/>
    <n v="4381.6499999999996"/>
    <x v="2"/>
    <x v="2"/>
    <x v="2"/>
    <n v="570.36"/>
    <n v="1098.8599999999999"/>
    <x v="2"/>
    <x v="2"/>
    <x v="2"/>
    <n v="3263.8"/>
  </r>
  <r>
    <x v="3"/>
    <n v="706616"/>
    <n v="4360.93"/>
    <x v="1"/>
    <x v="3"/>
    <x v="3"/>
    <n v="393.99"/>
    <n v="675.61"/>
    <x v="3"/>
    <x v="3"/>
    <x v="3"/>
    <n v="3667.06"/>
  </r>
  <r>
    <x v="4"/>
    <n v="627244"/>
    <n v="3567.87"/>
    <x v="3"/>
    <x v="4"/>
    <x v="4"/>
    <n v="315.5"/>
    <n v="618.9"/>
    <x v="4"/>
    <x v="4"/>
    <x v="4"/>
    <n v="2943.38"/>
  </r>
  <r>
    <x v="5"/>
    <n v="8804190"/>
    <n v="1987.49"/>
    <x v="4"/>
    <x v="5"/>
    <x v="5"/>
    <n v="345.52"/>
    <n v="538.9"/>
    <x v="5"/>
    <x v="5"/>
    <x v="5"/>
    <n v="1448.59"/>
  </r>
  <r>
    <x v="6"/>
    <n v="881255"/>
    <n v="6917.4"/>
    <x v="5"/>
    <x v="6"/>
    <x v="6"/>
    <n v="301.62"/>
    <n v="715"/>
    <x v="6"/>
    <x v="6"/>
    <x v="6"/>
    <n v="6168.02"/>
  </r>
  <r>
    <x v="7"/>
    <n v="721365"/>
    <n v="5911.99"/>
    <x v="6"/>
    <x v="7"/>
    <x v="7"/>
    <n v="382.05"/>
    <n v="632.69000000000005"/>
    <x v="7"/>
    <x v="7"/>
    <x v="7"/>
    <n v="5258.64"/>
  </r>
  <r>
    <x v="8"/>
    <n v="384360"/>
    <n v="2218.2399999999998"/>
    <x v="7"/>
    <x v="8"/>
    <x v="8"/>
    <n v="317.14999999999998"/>
    <n v="464.41"/>
    <x v="8"/>
    <x v="8"/>
    <x v="8"/>
    <n v="1743.6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s v=" GA"/>
    <x v="0"/>
    <n v="153.19999999999999"/>
    <n v="3.0652818991097903"/>
    <n v="106.7"/>
    <n v="3.161290322580645"/>
    <n v="36.700000000000003"/>
    <n v="1.428571428571429"/>
    <n v="68"/>
    <n v="3.9189189189189189"/>
    <n v="93.4"/>
    <n v="3.4047619047619055"/>
    <n v="4.7"/>
    <n v="1.7536231884057973"/>
    <n v="41.3"/>
    <n v="3.2788844621513937"/>
    <n v="45.3"/>
    <n v="3.068965517241379"/>
    <n v="89.7"/>
    <n v="4.2585365853658548"/>
    <n v="57.7"/>
    <n v="2.1322033898305088"/>
    <n v="86.1"/>
    <n v="2.9166666666666665"/>
    <n v="108.6"/>
    <n v="3.5481481481481465"/>
    <n v="68"/>
    <n v="3.9189189189189189"/>
    <n v="126.6"/>
    <n v="4.0991957104557635"/>
    <n v="199.1"/>
    <n v="3.1319648093841637"/>
    <n v="41.3"/>
    <n v="3.2788844621513937"/>
    <n v="2026.4"/>
    <n v="2.0169024505364135"/>
    <n v="232.7"/>
    <n v="1.8130968622100951"/>
    <n v="9496.9"/>
    <n v="4.9475395416777923"/>
    <n v="73"/>
    <n v="3.3333333333333335"/>
    <n v="54"/>
    <n v="3.3448275862068964"/>
    <n v="481343"/>
    <n v="1.0460736143128782"/>
    <n v="5727.52"/>
    <n v="4.0345624970841261"/>
    <n v="16.41"/>
    <n v="4.5023537323470073"/>
    <n v="58.59"/>
    <n v="2.7393497757847536"/>
    <n v="293.55"/>
    <n v="3.2530347990288644"/>
    <n v="567.16"/>
    <n v="4.9523703207561205"/>
    <n v="935.72"/>
    <n v="3.9714555914571683"/>
    <n v="704.28"/>
    <n v="3.4148734144012756"/>
    <n v="3387.19"/>
    <n v="3.2426162665447649"/>
    <n v="684.96"/>
    <n v="4.4341723472490253"/>
    <n v="4776.43"/>
    <n v="3.8205440063736509"/>
    <n v="89415"/>
    <n v="2.402326955040591"/>
    <n v="51.759124087591239"/>
    <n v="2.2151934435404073"/>
    <n v="7.2499999999999995E-2"/>
    <n v="5"/>
    <n v="1.601E-2"/>
    <n v="2.4130626654898499"/>
    <n v="8.8510000000000005E-2"/>
    <n v="4.3060057197330801"/>
  </r>
  <r>
    <x v="1"/>
    <s v=" MA"/>
    <x v="1"/>
    <n v="165.8"/>
    <n v="4.5608308605341259"/>
    <n v="110.1"/>
    <n v="4.2580645161290285"/>
    <n v="59.2"/>
    <n v="5"/>
    <n v="73"/>
    <n v="5"/>
    <n v="89.8"/>
    <n v="2.9761904761904758"/>
    <n v="8"/>
    <n v="3.6666666666666665"/>
    <n v="45.6"/>
    <n v="3.9641434262948207"/>
    <n v="31.8"/>
    <n v="1"/>
    <n v="71.7"/>
    <n v="2.5024390243902443"/>
    <n v="75.099999999999994"/>
    <n v="3.3118644067796605"/>
    <n v="91.6"/>
    <n v="3.6805555555555554"/>
    <n v="110.1"/>
    <n v="3.9925925925925907"/>
    <n v="73"/>
    <n v="5"/>
    <n v="135"/>
    <n v="5"/>
    <n v="215.9"/>
    <n v="3.6246334310850439"/>
    <n v="45.6"/>
    <n v="3.9641434262948207"/>
    <n v="3794.3"/>
    <n v="2.9189958030896404"/>
    <n v="265.89999999999998"/>
    <n v="2.115052296498408"/>
    <n v="8527.6"/>
    <n v="0.33855843686682308"/>
    <n v="59"/>
    <n v="1"/>
    <n v="45"/>
    <n v="2.103448275862069"/>
    <n v="682903"/>
    <n v="1.1418285167277724"/>
    <n v="2758.22"/>
    <n v="1.6253501585221635"/>
    <n v="8.35"/>
    <n v="2.3342299932750503"/>
    <n v="42.47"/>
    <n v="1.835762331838565"/>
    <n v="205.59"/>
    <n v="2.1984533764949195"/>
    <n v="412.8"/>
    <n v="2.6548336682295153"/>
    <n v="669.2"/>
    <n v="2.2911340531168731"/>
    <n v="308.83"/>
    <n v="1.7552538531753941"/>
    <n v="1603.74"/>
    <n v="1.3684274132105907"/>
    <n v="176.45"/>
    <n v="1.6102542031681684"/>
    <n v="2089.02"/>
    <n v="1.5428028384783756"/>
    <n v="74164"/>
    <n v="1.5643484113792772"/>
    <n v="44.582417582417584"/>
    <n v="1"/>
    <n v="0.06"/>
    <n v="3.4615384615384617"/>
    <n v="1.0189999999999999E-2"/>
    <n v="1.8993821712268315"/>
    <n v="7.0190000000000002E-2"/>
    <n v="1.9774388306323485"/>
  </r>
  <r>
    <x v="2"/>
    <s v=" IL"/>
    <x v="2"/>
    <n v="141.30000000000001"/>
    <n v="1.6528189910979232"/>
    <n v="111.4"/>
    <n v="4.67741935483871"/>
    <n v="34"/>
    <n v="1"/>
    <n v="65.7"/>
    <n v="3.4216216216216222"/>
    <n v="88.8"/>
    <n v="2.8571428571428568"/>
    <n v="5.4"/>
    <n v="2.1594202898550727"/>
    <n v="42"/>
    <n v="3.3904382470119518"/>
    <n v="50"/>
    <n v="3.789272030651341"/>
    <n v="66.099999999999994"/>
    <n v="1.9560975609756095"/>
    <n v="65.3"/>
    <n v="2.6474576271186439"/>
    <n v="84.8"/>
    <n v="2.7361111111111116"/>
    <n v="113.5"/>
    <n v="5"/>
    <n v="65.7"/>
    <n v="3.4216216216216222"/>
    <n v="122.5"/>
    <n v="3.6595174262734584"/>
    <n v="191.9"/>
    <n v="2.9208211143695015"/>
    <n v="42"/>
    <n v="3.3904382470119518"/>
    <n v="2264.1"/>
    <n v="2.1381918842724295"/>
    <n v="240.4"/>
    <n v="1.8831286948613006"/>
    <n v="7524.4"/>
    <n v="5.7273469772409564"/>
    <n v="61"/>
    <n v="1.3333333333333333"/>
    <n v="44"/>
    <n v="1.9655172413793105"/>
    <n v="2746388"/>
    <n v="2.1221262187003775"/>
    <n v="4381.6499999999996"/>
    <n v="2.9425587891056835"/>
    <n v="18.260000000000002"/>
    <n v="5"/>
    <n v="65.11"/>
    <n v="3.1048206278026904"/>
    <n v="439.26"/>
    <n v="5"/>
    <n v="570.36"/>
    <n v="5"/>
    <n v="1098.8599999999999"/>
    <n v="5"/>
    <n v="477.13"/>
    <n v="2.4615731657416244"/>
    <n v="2358.83"/>
    <n v="2.1619350872491685"/>
    <n v="427.84"/>
    <n v="3.0063030168404392"/>
    <n v="3263.8"/>
    <n v="2.5384993526760651"/>
    <n v="74694"/>
    <n v="1.5934696905177268"/>
    <n v="56.21897810218978"/>
    <n v="2.9703567421622128"/>
    <n v="0.04"/>
    <n v="1"/>
    <n v="3.3939999999999998E-2"/>
    <n v="3.9955869373345099"/>
    <n v="7.3940000000000006E-2"/>
    <n v="2.454083253892597"/>
  </r>
  <r>
    <x v="3"/>
    <s v=" CO"/>
    <x v="3"/>
    <n v="157.4"/>
    <n v="3.5637982195845699"/>
    <n v="112.4"/>
    <n v="5"/>
    <n v="53.4"/>
    <n v="4.0793650793650791"/>
    <n v="68.8"/>
    <n v="4.0918918918918914"/>
    <n v="81.7"/>
    <n v="2.0119047619047619"/>
    <n v="4.4000000000000004"/>
    <n v="1.5797101449275366"/>
    <n v="36.799999999999997"/>
    <n v="2.5617529880478083"/>
    <n v="44.5"/>
    <n v="2.946360153256705"/>
    <n v="56.3"/>
    <n v="1"/>
    <n v="57.2"/>
    <n v="2.0983050847457632"/>
    <n v="72.3"/>
    <n v="1"/>
    <n v="112.4"/>
    <n v="4.6740740740740758"/>
    <n v="68.8"/>
    <n v="4.0918918918918914"/>
    <n v="128.80000000000001"/>
    <n v="4.3351206434316367"/>
    <n v="174.8"/>
    <n v="2.4193548387096775"/>
    <n v="36.799999999999997"/>
    <n v="2.5617529880478083"/>
    <n v="856.3"/>
    <n v="1.4198441147580716"/>
    <n v="238.1"/>
    <n v="1.8622100954979535"/>
    <n v="8712.2999999999993"/>
    <n v="6.4736676771325801"/>
    <n v="66"/>
    <n v="2.166666666666667"/>
    <n v="37"/>
    <n v="1"/>
    <n v="706616"/>
    <n v="1.1530938273100526"/>
    <n v="4360.93"/>
    <n v="2.9257471231726342"/>
    <n v="8.35"/>
    <n v="2.3342299932750503"/>
    <n v="98.92"/>
    <n v="5"/>
    <n v="174.35"/>
    <n v="1.8239067230165154"/>
    <n v="393.99"/>
    <n v="2.3748604599240899"/>
    <n v="675.61"/>
    <n v="2.3315470092205848"/>
    <n v="612.91999999999996"/>
    <n v="3.0314549212577768"/>
    <n v="2267.29"/>
    <n v="2.0657376902746467"/>
    <n v="786.85"/>
    <n v="5"/>
    <n v="3667.06"/>
    <n v="2.8802863905174991"/>
    <n v="86331"/>
    <n v="2.2328740779406311"/>
    <n v="68.205673758865245"/>
    <n v="5"/>
    <n v="6.25E-2"/>
    <n v="3.7692307692307696"/>
    <n v="2.588E-2"/>
    <n v="3.2842012356575463"/>
    <n v="8.838E-2"/>
    <n v="4.2894820463933909"/>
  </r>
  <r>
    <x v="4"/>
    <s v=" NV"/>
    <x v="4"/>
    <n v="146.1"/>
    <n v="2.222551928783381"/>
    <n v="106.1"/>
    <n v="2.9677419354838683"/>
    <n v="44.4"/>
    <n v="2.6507936507936503"/>
    <n v="54.5"/>
    <n v="1"/>
    <n v="73.2"/>
    <n v="1"/>
    <n v="3.4"/>
    <n v="1"/>
    <n v="27"/>
    <n v="1"/>
    <n v="52.9"/>
    <n v="4.2337164750957852"/>
    <n v="57.4"/>
    <n v="1.1073170731707318"/>
    <n v="41"/>
    <n v="1"/>
    <n v="74.5"/>
    <n v="1.305555555555556"/>
    <n v="106.1"/>
    <n v="2.807407407407406"/>
    <n v="54.5"/>
    <n v="1"/>
    <n v="97.7"/>
    <n v="1"/>
    <n v="126.4"/>
    <n v="1"/>
    <n v="27"/>
    <n v="1"/>
    <n v="33.5"/>
    <n v="1"/>
    <n v="143.30000000000001"/>
    <n v="1"/>
    <n v="6663"/>
    <n v="5.1861560934235946"/>
    <n v="81"/>
    <n v="4.6666666666666661"/>
    <n v="60"/>
    <n v="4.1724137931034484"/>
    <n v="627244"/>
    <n v="1.1153866526996388"/>
    <n v="3567.87"/>
    <n v="2.282278986837488"/>
    <n v="12.6"/>
    <n v="3.4774714189643574"/>
    <n v="79.64"/>
    <n v="3.9192825112107621"/>
    <n v="211.15"/>
    <n v="2.2651140484968382"/>
    <n v="315.5"/>
    <n v="1.2065937337203243"/>
    <n v="618.9"/>
    <n v="1.9740089841595081"/>
    <n v="805.17"/>
    <n v="3.8382872910786792"/>
    <n v="1635.16"/>
    <n v="1.4014460085016052"/>
    <n v="503.06"/>
    <n v="3.4240236571380973"/>
    <n v="2943.38"/>
    <n v="2.2669241836408212"/>
    <n v="63893"/>
    <n v="1"/>
    <n v="66.142857142857139"/>
    <n v="4.6507142621490551"/>
    <n v="6.25E-2"/>
    <n v="3.7692307692307696"/>
    <n v="0"/>
    <n v="1"/>
    <n v="6.25E-2"/>
    <n v="1"/>
  </r>
  <r>
    <x v="5"/>
    <s v=" NY"/>
    <x v="5"/>
    <n v="135.80000000000001"/>
    <n v="1"/>
    <n v="100"/>
    <n v="1"/>
    <n v="50"/>
    <n v="3.5396825396825395"/>
    <n v="62.5"/>
    <n v="2.7297297297297298"/>
    <n v="100"/>
    <n v="4.1904761904761907"/>
    <n v="10.3"/>
    <n v="5"/>
    <n v="43.6"/>
    <n v="3.645418326693227"/>
    <n v="57.9"/>
    <n v="5"/>
    <n v="79.7"/>
    <n v="3.2829268292682934"/>
    <n v="100"/>
    <n v="5"/>
    <n v="100"/>
    <n v="4.8472222222222232"/>
    <n v="100"/>
    <n v="1"/>
    <n v="62.5"/>
    <n v="2.7297297297297298"/>
    <n v="116.6"/>
    <n v="3.02680965147453"/>
    <n v="167.9"/>
    <n v="2.2170087976539588"/>
    <n v="43.6"/>
    <n v="3.645418326693227"/>
    <n v="2884.5"/>
    <n v="2.4547588371114033"/>
    <n v="191.6"/>
    <n v="1.4392905866302863"/>
    <n v="3213.7"/>
    <n v="3.0190679629949582"/>
    <n v="63"/>
    <n v="1.6666666666666665"/>
    <n v="49"/>
    <n v="2.6551724137931032"/>
    <n v="8804190"/>
    <n v="5"/>
    <n v="1987.49"/>
    <n v="1"/>
    <n v="3.39"/>
    <n v="1"/>
    <n v="27.56"/>
    <n v="1"/>
    <n v="162.41999999999999"/>
    <n v="1.6808740221203129"/>
    <n v="345.52"/>
    <n v="1.6534196621269626"/>
    <n v="538.9"/>
    <n v="1.4696351170304986"/>
    <n v="128.87"/>
    <n v="1"/>
    <n v="1253.1500000000001"/>
    <n v="1"/>
    <n v="66.56"/>
    <n v="1"/>
    <n v="1448.59"/>
    <n v="1"/>
    <n v="115409"/>
    <n v="3.8305883322573111"/>
    <n v="56.335766423357661"/>
    <n v="2.9901318858249768"/>
    <n v="6.8500000000000005E-2"/>
    <n v="4.5076923076923094"/>
    <n v="1.3860000000000001E-2"/>
    <n v="2.2233009708737868"/>
    <n v="8.2360000000000003E-2"/>
    <n v="3.5243088655862733"/>
  </r>
  <r>
    <x v="6"/>
    <s v=" CA"/>
    <x v="6"/>
    <n v="139.9"/>
    <n v="1.4866468842729965"/>
    <n v="109.2"/>
    <n v="3.9677419354838706"/>
    <n v="38"/>
    <n v="1.6349206349206349"/>
    <n v="63.9"/>
    <n v="3.0324324324324321"/>
    <n v="106.8"/>
    <n v="5"/>
    <n v="9"/>
    <n v="4.2463768115942031"/>
    <n v="52.1"/>
    <n v="5"/>
    <n v="52.5"/>
    <n v="4.1724137931034484"/>
    <n v="97.3"/>
    <n v="5"/>
    <n v="92.9"/>
    <n v="4.5186440677966111"/>
    <n v="92.6"/>
    <n v="3.8194444444444442"/>
    <n v="109.2"/>
    <n v="3.7259259259259268"/>
    <n v="63.9"/>
    <n v="3.0324324324324321"/>
    <n v="118"/>
    <n v="3.1769436997319032"/>
    <n v="262.8"/>
    <n v="5"/>
    <n v="52.1"/>
    <n v="5"/>
    <n v="7872.6"/>
    <n v="5"/>
    <n v="583.1"/>
    <n v="5"/>
    <n v="9580.4"/>
    <n v="7.0190679629949582"/>
    <n v="64"/>
    <n v="1.8333333333333335"/>
    <n v="51"/>
    <n v="2.931034482758621"/>
    <n v="881255"/>
    <n v="1.2360593978738288"/>
    <n v="6917.4"/>
    <n v="5"/>
    <n v="6.35"/>
    <n v="1.796234028244788"/>
    <n v="41.65"/>
    <n v="1.7897982062780269"/>
    <n v="365.39"/>
    <n v="4.1143482300752332"/>
    <n v="301.62"/>
    <n v="1"/>
    <n v="715"/>
    <n v="2.5798880920482308"/>
    <n v="560"/>
    <n v="2.8093609342048662"/>
    <n v="5059.49"/>
    <n v="5"/>
    <n v="548.54"/>
    <n v="3.6765885962598399"/>
    <n v="6168.02"/>
    <n v="5"/>
    <n v="136692"/>
    <n v="5"/>
    <n v="46.950819672131146"/>
    <n v="1.4010288966133051"/>
    <n v="0.04"/>
    <n v="1"/>
    <n v="4.5319999999999999E-2"/>
    <n v="5"/>
    <n v="8.5319999999999993E-2"/>
    <n v="3.9005401970130276"/>
  </r>
  <r>
    <x v="7"/>
    <s v=" WA"/>
    <x v="7"/>
    <n v="158"/>
    <n v="3.6350148367952517"/>
    <n v="107.6"/>
    <n v="3.4516129032258034"/>
    <n v="45.7"/>
    <n v="2.8571428571428577"/>
    <n v="66.900000000000006"/>
    <n v="3.6810810810810821"/>
    <n v="104"/>
    <n v="4.666666666666667"/>
    <n v="6.6"/>
    <n v="2.8550724637681157"/>
    <n v="46.5"/>
    <n v="4.1075697211155378"/>
    <n v="37.4"/>
    <n v="1.85823754789272"/>
    <n v="91.7"/>
    <n v="4.4536585365853663"/>
    <n v="74.3"/>
    <n v="3.2576271186440677"/>
    <n v="101.1"/>
    <n v="5"/>
    <n v="107.6"/>
    <n v="3.2518518518518502"/>
    <n v="66.900000000000006"/>
    <n v="3.6810810810810821"/>
    <n v="124.6"/>
    <n v="3.8847184986595167"/>
    <n v="223.7"/>
    <n v="3.8533724340175945"/>
    <n v="46.5"/>
    <n v="4.1075697211155378"/>
    <n v="4247.8999999999996"/>
    <n v="3.1504509446237448"/>
    <n v="341.7"/>
    <n v="2.8044565711687128"/>
    <n v="8742.1"/>
    <n v="6.4923900921984705"/>
    <n v="61"/>
    <n v="1.3333333333333333"/>
    <n v="46"/>
    <n v="2.2413793103448274"/>
    <n v="721365"/>
    <n v="1.1601006196087094"/>
    <n v="5911.99"/>
    <n v="4.1842366290662509"/>
    <n v="3.74"/>
    <n v="1.0941492938802959"/>
    <n v="36.869999999999997"/>
    <n v="1.5218609865470851"/>
    <n v="210.02"/>
    <n v="2.2515661061655128"/>
    <n v="382.05"/>
    <n v="2.1971422192453671"/>
    <n v="632.69000000000005"/>
    <n v="2.0609504295058718"/>
    <n v="1081.98"/>
    <n v="5"/>
    <n v="3673.45"/>
    <n v="3.5434406805487684"/>
    <n v="503.21"/>
    <n v="3.4248566549584196"/>
    <n v="5258.64"/>
    <n v="4.2292459046961177"/>
    <n v="68905"/>
    <n v="1.2753883981922829"/>
    <n v="48.239436619718312"/>
    <n v="1.6192235329432305"/>
    <n v="6.25E-2"/>
    <n v="3.7692307692307696"/>
    <n v="1.9480000000000001E-2"/>
    <n v="2.7193292144748455"/>
    <n v="8.1979999999999997E-2"/>
    <n v="3.4760088973625671"/>
  </r>
  <r>
    <x v="8"/>
    <s v=" FL"/>
    <x v="8"/>
    <n v="169.5"/>
    <n v="5"/>
    <n v="103.8"/>
    <n v="2.2258064516129017"/>
    <n v="53.8"/>
    <n v="4.1428571428571423"/>
    <n v="67"/>
    <n v="3.7027027027027026"/>
    <n v="84.3"/>
    <n v="2.3214285714285712"/>
    <n v="4.8"/>
    <n v="1.8115942028985508"/>
    <n v="36.700000000000003"/>
    <n v="2.5458167330677295"/>
    <n v="33.5"/>
    <n v="1.2605363984674329"/>
    <n v="84.7"/>
    <n v="3.7707317073170739"/>
    <n v="55.3"/>
    <n v="1.9694915254237286"/>
    <n v="78.099999999999994"/>
    <n v="1.8055555555555554"/>
    <n v="103.8"/>
    <n v="2.1259259259259249"/>
    <n v="67"/>
    <n v="3.7027027027027026"/>
    <n v="123.6"/>
    <n v="3.7774798927613933"/>
    <n v="176.9"/>
    <n v="2.4809384164222874"/>
    <n v="36.700000000000003"/>
    <n v="2.5458167330677295"/>
    <n v="844.9"/>
    <n v="1.4140271204602568"/>
    <n v="211.2"/>
    <n v="1.6175534333788084"/>
    <n v="9321.7999999999993"/>
    <n v="6.8565976094365997"/>
    <n v="83"/>
    <n v="5"/>
    <n v="66"/>
    <n v="5"/>
    <n v="384360"/>
    <n v="1"/>
    <n v="2218.2399999999998"/>
    <n v="1.1872245132264077"/>
    <n v="10.15"/>
    <n v="2.8184263618022865"/>
    <n v="31.48"/>
    <n v="1.2197309417040361"/>
    <n v="105.63"/>
    <n v="1"/>
    <n v="317.14999999999998"/>
    <n v="1.2311527870804491"/>
    <n v="464.41"/>
    <n v="1"/>
    <n v="321.31"/>
    <n v="1.8076297594191646"/>
    <n v="1274.8499999999999"/>
    <n v="1.0228040584918845"/>
    <n v="147.52000000000001"/>
    <n v="1.4495966902219939"/>
    <n v="1743.68"/>
    <n v="1.2501064747225832"/>
    <n v="88213"/>
    <n v="2.3362820917869751"/>
    <n v="50.292817679558013"/>
    <n v="1.9669115983822225"/>
    <n v="6.5000000000000002E-2"/>
    <n v="4.0769230769230775"/>
    <n v="2.8969999999999999E-2"/>
    <n v="3.5569285083848192"/>
    <n v="9.3969999999999998E-2"/>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01F499-73F9-4160-A343-CE68E737B2DA}"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D23:E32" firstHeaderRow="1" firstDataRow="1" firstDataCol="1" rowPageCount="1" colPageCount="1"/>
  <pivotFields count="77">
    <pivotField axis="axisRow" showAll="0">
      <items count="10">
        <item x="0"/>
        <item x="1"/>
        <item x="2"/>
        <item x="3"/>
        <item x="4"/>
        <item x="5"/>
        <item x="6"/>
        <item x="7"/>
        <item x="8"/>
        <item t="default"/>
      </items>
    </pivotField>
    <pivotField showAll="0"/>
    <pivotField axis="axisPage" showAll="0">
      <items count="10">
        <item x="6"/>
        <item x="3"/>
        <item x="8"/>
        <item x="2"/>
        <item x="1"/>
        <item x="4"/>
        <item x="5"/>
        <item x="7"/>
        <item x="0"/>
        <item t="default"/>
      </items>
    </pivotField>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dataField="1" showAll="0"/>
    <pivotField numFmtId="2" showAll="0"/>
    <pivotField showAll="0"/>
    <pivotField numFmtId="2" showAll="0"/>
    <pivotField showAll="0"/>
    <pivotField numFmtId="2" showAll="0"/>
    <pivotField showAll="0"/>
    <pivotField numFmtId="2" showAll="0"/>
  </pivotFields>
  <rowFields count="1">
    <field x="0"/>
  </rowFields>
  <rowItems count="9">
    <i>
      <x/>
    </i>
    <i>
      <x v="1"/>
    </i>
    <i>
      <x v="2"/>
    </i>
    <i>
      <x v="3"/>
    </i>
    <i>
      <x v="4"/>
    </i>
    <i>
      <x v="5"/>
    </i>
    <i>
      <x v="6"/>
    </i>
    <i>
      <x v="7"/>
    </i>
    <i>
      <x v="8"/>
    </i>
  </rowItems>
  <colItems count="1">
    <i/>
  </colItems>
  <pageFields count="1">
    <pageField fld="2" hier="-1"/>
  </pageFields>
  <dataFields count="1">
    <dataField name=" AQI" fld="69" baseField="0" baseItem="0"/>
  </dataFields>
  <formats count="6">
    <format dxfId="231">
      <pivotArea field="2" type="button" dataOnly="0" labelOnly="1" outline="0" axis="axisPage" fieldPosition="0"/>
    </format>
    <format dxfId="230">
      <pivotArea dataOnly="0" labelOnly="1" outline="0" fieldPosition="0">
        <references count="1">
          <reference field="2" count="0"/>
        </references>
      </pivotArea>
    </format>
    <format dxfId="229">
      <pivotArea field="0" type="button" dataOnly="0" labelOnly="1" outline="0" axis="axisRow" fieldPosition="0"/>
    </format>
    <format dxfId="228">
      <pivotArea dataOnly="0" labelOnly="1" outline="0" axis="axisValues" fieldPosition="0"/>
    </format>
    <format dxfId="227">
      <pivotArea outline="0" collapsedLevelsAreSubtotals="1" fieldPosition="0"/>
    </format>
    <format dxfId="226">
      <pivotArea dataOnly="0" labelOnly="1" fieldPosition="0">
        <references count="1">
          <reference field="0" count="0"/>
        </references>
      </pivotArea>
    </format>
  </formats>
  <conditionalFormats count="1">
    <conditionalFormat priority="1">
      <pivotAreas count="1">
        <pivotArea type="data" collapsedLevelsAreSubtotals="1" fieldPosition="0">
          <references count="2">
            <reference field="4294967294" count="1" selected="0">
              <x v="0"/>
            </reference>
            <reference field="0" count="9">
              <x v="0"/>
              <x v="1"/>
              <x v="2"/>
              <x v="3"/>
              <x v="4"/>
              <x v="5"/>
              <x v="6"/>
              <x v="7"/>
              <x v="8"/>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0ECE0C3-8007-4295-9FFE-CAB81023B22B}"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A16:H32" firstHeaderRow="1" firstDataRow="1" firstDataCol="7"/>
  <pivotFields count="12">
    <pivotField axis="axisRow" compact="0" outline="0" showAll="0">
      <items count="10">
        <item x="0"/>
        <item sd="0" x="1"/>
        <item sd="0" x="2"/>
        <item sd="0" x="3"/>
        <item sd="0" x="4"/>
        <item sd="0" x="5"/>
        <item sd="0" x="6"/>
        <item sd="0" x="7"/>
        <item sd="0" x="8"/>
        <item t="default" sd="0"/>
      </items>
      <extLst>
        <ext xmlns:x14="http://schemas.microsoft.com/office/spreadsheetml/2009/9/main" uri="{2946ED86-A175-432a-8AC1-64E0C546D7DE}">
          <x14:pivotField fillDownLabels="1"/>
        </ext>
      </extLst>
    </pivotField>
    <pivotField dataField="1" compact="0" numFmtId="167" outline="0" showAll="0"/>
    <pivotField compact="0" numFmtId="1" outline="0" showAll="0"/>
    <pivotField axis="axisRow" compact="0" numFmtId="1" outline="0" showAll="0">
      <items count="9">
        <item x="4"/>
        <item x="6"/>
        <item x="5"/>
        <item x="1"/>
        <item x="7"/>
        <item x="3"/>
        <item x="0"/>
        <item x="2"/>
        <item t="default"/>
      </items>
    </pivotField>
    <pivotField axis="axisRow" compact="0" numFmtId="1" outline="0" showAll="0">
      <items count="10">
        <item x="5"/>
        <item x="8"/>
        <item x="7"/>
        <item x="6"/>
        <item x="1"/>
        <item x="0"/>
        <item x="2"/>
        <item x="4"/>
        <item x="3"/>
        <item t="default"/>
      </items>
    </pivotField>
    <pivotField axis="axisRow" compact="0" numFmtId="1" outline="0" showAll="0">
      <items count="10">
        <item x="8"/>
        <item x="5"/>
        <item x="3"/>
        <item x="1"/>
        <item x="7"/>
        <item x="4"/>
        <item x="0"/>
        <item x="6"/>
        <item x="2"/>
        <item t="default"/>
      </items>
    </pivotField>
    <pivotField compact="0" numFmtId="1" outline="0" showAll="0"/>
    <pivotField compact="0" numFmtId="1" outline="0" showAll="0"/>
    <pivotField axis="axisRow" compact="0" numFmtId="1" outline="0" showAll="0">
      <items count="10">
        <item x="5"/>
        <item x="1"/>
        <item x="8"/>
        <item x="2"/>
        <item x="6"/>
        <item x="3"/>
        <item x="0"/>
        <item x="4"/>
        <item x="7"/>
        <item t="default"/>
      </items>
    </pivotField>
    <pivotField axis="axisRow" compact="0" numFmtId="1" outline="0" showAll="0">
      <items count="10">
        <item x="5"/>
        <item x="8"/>
        <item x="1"/>
        <item x="4"/>
        <item x="3"/>
        <item x="2"/>
        <item x="0"/>
        <item x="7"/>
        <item x="6"/>
        <item t="default"/>
      </items>
    </pivotField>
    <pivotField axis="axisRow" compact="0" numFmtId="1" outline="0" showAll="0">
      <items count="10">
        <item x="5"/>
        <item x="8"/>
        <item x="1"/>
        <item x="2"/>
        <item x="4"/>
        <item x="7"/>
        <item x="6"/>
        <item x="0"/>
        <item x="3"/>
        <item t="default"/>
      </items>
    </pivotField>
    <pivotField compact="0" numFmtId="1" outline="0" showAll="0"/>
  </pivotFields>
  <rowFields count="7">
    <field x="0"/>
    <field x="8"/>
    <field x="5"/>
    <field x="4"/>
    <field x="9"/>
    <field x="10"/>
    <field x="3"/>
  </rowFields>
  <rowItems count="16">
    <i>
      <x/>
      <x v="6"/>
      <x v="6"/>
      <x v="5"/>
      <x v="6"/>
      <x v="7"/>
      <x v="6"/>
    </i>
    <i t="default" r="5">
      <x v="7"/>
    </i>
    <i t="default" r="4">
      <x v="6"/>
    </i>
    <i t="default" r="3">
      <x v="5"/>
    </i>
    <i t="default" r="2">
      <x v="6"/>
    </i>
    <i t="default" r="1">
      <x v="6"/>
    </i>
    <i t="default">
      <x/>
    </i>
    <i>
      <x v="1"/>
    </i>
    <i>
      <x v="2"/>
    </i>
    <i>
      <x v="3"/>
    </i>
    <i>
      <x v="4"/>
    </i>
    <i>
      <x v="5"/>
    </i>
    <i>
      <x v="6"/>
    </i>
    <i>
      <x v="7"/>
    </i>
    <i>
      <x v="8"/>
    </i>
    <i t="grand">
      <x/>
    </i>
  </rowItems>
  <colItems count="1">
    <i/>
  </colItems>
  <dataFields count="1">
    <dataField name="Sum of population" fld="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643C72A-EEBC-4AA4-B550-8C58BB32522F}" name="PivotTable3" cacheId="1"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showHeaders="0" outline="1" outlineData="1" multipleFieldFilters="0">
  <location ref="A35:E44" firstHeaderRow="0" firstDataRow="1" firstDataCol="1"/>
  <pivotFields count="77">
    <pivotField axis="axisRow" showAll="0">
      <items count="10">
        <item x="0"/>
        <item x="1"/>
        <item x="2"/>
        <item x="3"/>
        <item x="4"/>
        <item x="5"/>
        <item x="6"/>
        <item x="7"/>
        <item x="8"/>
        <item t="default"/>
      </items>
    </pivotField>
    <pivotField showAll="0"/>
    <pivotField showAll="0"/>
    <pivotField numFmtId="1" showAll="0"/>
    <pivotField numFmtId="2" showAll="0"/>
    <pivotField numFmtId="1" showAll="0"/>
    <pivotField numFmtId="2" showAll="0"/>
    <pivotField numFmtId="1" showAll="0"/>
    <pivotField numFmtId="2" showAll="0"/>
    <pivotField numFmtId="168" showAll="0"/>
    <pivotField numFmtId="2" showAll="0"/>
    <pivotField numFmtId="1" showAll="0"/>
    <pivotField numFmtId="2" showAll="0"/>
    <pivotField showAll="0"/>
    <pivotField numFmtId="2" showAll="0"/>
    <pivotField numFmtId="1" showAll="0"/>
    <pivotField numFmtId="2" showAll="0"/>
    <pivotField numFmtId="1" showAll="0"/>
    <pivotField numFmtId="2" showAll="0"/>
    <pivotField numFmtId="1" showAll="0"/>
    <pivotField numFmtId="2" showAll="0"/>
    <pivotField numFmtId="1" showAll="0"/>
    <pivotField numFmtId="2" showAll="0"/>
    <pivotField numFmtId="169" showAll="0"/>
    <pivotField numFmtId="2" showAll="0"/>
    <pivotField numFmtId="1" showAll="0"/>
    <pivotField numFmtId="2" showAll="0"/>
    <pivotField numFmtId="1" showAll="0"/>
    <pivotField numFmtId="2" showAll="0"/>
    <pivotField numFmtId="1" showAll="0"/>
    <pivotField numFmtId="2" showAll="0"/>
    <pivotField numFmtId="1" showAll="0"/>
    <pivotField numFmtId="2" showAll="0"/>
    <pivotField numFmtId="1" showAll="0"/>
    <pivotField numFmtId="2" showAll="0"/>
    <pivotField numFmtId="1" showAll="0"/>
    <pivotField numFmtId="2" showAll="0"/>
    <pivotField numFmtId="1" showAll="0"/>
    <pivotField numFmtId="2" showAll="0"/>
    <pivotField numFmtId="1" showAll="0"/>
    <pivotField numFmtId="2" showAll="0"/>
    <pivotField showAll="0"/>
    <pivotField numFmtId="2" showAll="0"/>
    <pivotField showAll="0"/>
    <pivotField numFmtId="2" showAll="0"/>
    <pivotField numFmtId="167" showAll="0"/>
    <pivotField numFmtId="2" showAll="0"/>
    <pivotField numFmtId="1" showAll="0"/>
    <pivotField numFmtId="2" showAll="0"/>
    <pivotField dataField="1" numFmtId="1" showAll="0"/>
    <pivotField numFmtId="2" showAll="0"/>
    <pivotField dataField="1" numFmtId="1" showAll="0"/>
    <pivotField numFmtId="2" showAll="0"/>
    <pivotField dataField="1" numFmtId="1" showAll="0"/>
    <pivotField numFmtId="2" showAll="0"/>
    <pivotField dataField="1" numFmtId="1" showAll="0"/>
    <pivotField numFmtId="2" showAll="0"/>
    <pivotField numFmtId="1" showAll="0"/>
    <pivotField numFmtId="2" showAll="0"/>
    <pivotField numFmtId="1" showAll="0"/>
    <pivotField numFmtId="2" showAll="0"/>
    <pivotField numFmtId="1" showAll="0"/>
    <pivotField numFmtId="2" showAll="0"/>
    <pivotField numFmtId="1" showAll="0"/>
    <pivotField numFmtId="2" showAll="0"/>
    <pivotField numFmtId="1" showAll="0"/>
    <pivotField numFmtId="2" showAll="0"/>
    <pivotField numFmtId="166" showAll="0"/>
    <pivotField numFmtId="2" showAll="0"/>
    <pivotField numFmtId="164" showAll="0"/>
    <pivotField numFmtId="2" showAll="0"/>
    <pivotField numFmtId="10" showAll="0"/>
    <pivotField numFmtId="2" showAll="0"/>
    <pivotField numFmtId="10" showAll="0"/>
    <pivotField numFmtId="2" showAll="0"/>
    <pivotField numFmtId="10" showAll="0"/>
    <pivotField numFmtId="2" showAll="0"/>
  </pivotFields>
  <rowFields count="1">
    <field x="0"/>
  </rowFields>
  <rowItems count="9">
    <i>
      <x/>
    </i>
    <i>
      <x v="1"/>
    </i>
    <i>
      <x v="2"/>
    </i>
    <i>
      <x v="3"/>
    </i>
    <i>
      <x v="4"/>
    </i>
    <i>
      <x v="5"/>
    </i>
    <i>
      <x v="6"/>
    </i>
    <i>
      <x v="7"/>
    </i>
    <i>
      <x v="8"/>
    </i>
  </rowItems>
  <colFields count="1">
    <field x="-2"/>
  </colFields>
  <colItems count="4">
    <i>
      <x/>
    </i>
    <i i="1">
      <x v="1"/>
    </i>
    <i i="2">
      <x v="2"/>
    </i>
    <i i="3">
      <x v="3"/>
    </i>
  </colItems>
  <dataFields count="4">
    <dataField name="murder " fld="49" baseField="0" baseItem="0"/>
    <dataField name="rape " fld="51" baseField="0" baseItem="0"/>
    <dataField name="robbery " fld="53" baseField="0" baseItem="0"/>
    <dataField name="agrv_assault " fld="5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7DA389C-5173-433A-8E00-9122FB91D20D}"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3" firstHeaderRow="0" firstDataRow="1" firstDataCol="1" rowPageCount="1" colPageCount="1"/>
  <pivotFields count="77">
    <pivotField axis="axisRow" showAll="0">
      <items count="10">
        <item x="0"/>
        <item x="1"/>
        <item x="2"/>
        <item x="3"/>
        <item x="4"/>
        <item x="5"/>
        <item x="6"/>
        <item x="7"/>
        <item x="8"/>
        <item t="default"/>
      </items>
    </pivotField>
    <pivotField showAll="0"/>
    <pivotField axis="axisPage" showAll="0">
      <items count="10">
        <item x="6"/>
        <item x="3"/>
        <item x="8"/>
        <item x="2"/>
        <item x="1"/>
        <item x="4"/>
        <item x="5"/>
        <item x="7"/>
        <item x="0"/>
        <item t="default"/>
      </items>
    </pivotField>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dataField="1" showAll="0"/>
    <pivotField numFmtId="2" showAll="0"/>
    <pivotField dataField="1"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s>
  <rowFields count="1">
    <field x="0"/>
  </rowFields>
  <rowItems count="10">
    <i>
      <x/>
    </i>
    <i>
      <x v="1"/>
    </i>
    <i>
      <x v="2"/>
    </i>
    <i>
      <x v="3"/>
    </i>
    <i>
      <x v="4"/>
    </i>
    <i>
      <x v="5"/>
    </i>
    <i>
      <x v="6"/>
    </i>
    <i>
      <x v="7"/>
    </i>
    <i>
      <x v="8"/>
    </i>
    <i t="grand">
      <x/>
    </i>
  </rowItems>
  <colFields count="1">
    <field x="-2"/>
  </colFields>
  <colItems count="2">
    <i>
      <x/>
    </i>
    <i i="1">
      <x v="1"/>
    </i>
  </colItems>
  <pageFields count="1">
    <pageField fld="2" hier="-1"/>
  </pageFields>
  <dataFields count="2">
    <dataField name="High Temperature (°F)" fld="41" baseField="0" baseItem="0"/>
    <dataField name="Low Temperature (°F)" fld="43" baseField="0" baseItem="0"/>
  </dataFields>
  <conditionalFormats count="1">
    <conditionalFormat priority="1">
      <pivotAreas count="1">
        <pivotArea type="data" collapsedLevelsAreSubtotals="1" fieldPosition="0">
          <references count="1">
            <reference field="0" count="9">
              <x v="0"/>
              <x v="1"/>
              <x v="2"/>
              <x v="3"/>
              <x v="4"/>
              <x v="5"/>
              <x v="6"/>
              <x v="7"/>
              <x v="8"/>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E58BB26-2FD7-4B0E-B712-A5BAB4D0B209}"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3:C13" firstHeaderRow="0" firstDataRow="1" firstDataCol="1"/>
  <pivotFields count="77">
    <pivotField axis="axisRow" showAll="0">
      <items count="10">
        <item x="0"/>
        <item x="1"/>
        <item x="2"/>
        <item x="3"/>
        <item x="4"/>
        <item x="5"/>
        <item x="6"/>
        <item x="7"/>
        <item x="8"/>
        <item t="default"/>
      </items>
    </pivotField>
    <pivotField showAll="0"/>
    <pivotField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dataField="1"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dataField="1"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s>
  <rowFields count="1">
    <field x="0"/>
  </rowFields>
  <rowItems count="10">
    <i>
      <x/>
    </i>
    <i>
      <x v="1"/>
    </i>
    <i>
      <x v="2"/>
    </i>
    <i>
      <x v="3"/>
    </i>
    <i>
      <x v="4"/>
    </i>
    <i>
      <x v="5"/>
    </i>
    <i>
      <x v="6"/>
    </i>
    <i>
      <x v="7"/>
    </i>
    <i>
      <x v="8"/>
    </i>
    <i t="grand">
      <x/>
    </i>
  </rowItems>
  <colFields count="1">
    <field x="-2"/>
  </colFields>
  <colItems count="2">
    <i>
      <x/>
    </i>
    <i i="1">
      <x v="1"/>
    </i>
  </colItems>
  <dataFields count="2">
    <dataField name="Pollution Index " fld="18" baseField="0" baseItem="0" numFmtId="2"/>
    <dataField name="Traffic Index " fld="32" baseField="0" baseItem="0" numFmtId="2"/>
  </dataFields>
  <chartFormats count="3">
    <chartFormat chart="10" format="8" series="1">
      <pivotArea type="data" outline="0" fieldPosition="0">
        <references count="1">
          <reference field="4294967294" count="1" selected="0">
            <x v="0"/>
          </reference>
        </references>
      </pivotArea>
    </chartFormat>
    <chartFormat chart="10" format="9" series="1">
      <pivotArea type="data" outline="0" fieldPosition="0">
        <references count="1">
          <reference field="4294967294" count="1" selected="0">
            <x v="1"/>
          </reference>
        </references>
      </pivotArea>
    </chartFormat>
    <chartFormat chart="10" format="10">
      <pivotArea type="data" outline="0" fieldPosition="0">
        <references count="2">
          <reference field="4294967294" count="1" selected="0">
            <x v="1"/>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0EC08EA-0937-4F6E-823D-501FC66484A1}"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C13" firstHeaderRow="0" firstDataRow="1" firstDataCol="1" rowPageCount="1" colPageCount="1"/>
  <pivotFields count="77">
    <pivotField axis="axisRow" showAll="0">
      <items count="10">
        <item x="0"/>
        <item x="1"/>
        <item x="2"/>
        <item x="3"/>
        <item x="4"/>
        <item x="5"/>
        <item x="6"/>
        <item x="7"/>
        <item x="8"/>
        <item t="default"/>
      </items>
    </pivotField>
    <pivotField showAll="0"/>
    <pivotField axis="axisPage" showAll="0">
      <items count="10">
        <item x="6"/>
        <item x="3"/>
        <item x="8"/>
        <item x="2"/>
        <item x="1"/>
        <item x="4"/>
        <item x="5"/>
        <item x="7"/>
        <item x="0"/>
        <item t="default"/>
      </items>
    </pivotField>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dataField="1" showAll="0"/>
    <pivotField numFmtId="2" showAll="0"/>
    <pivotField showAll="0"/>
    <pivotField numFmtId="2" showAll="0"/>
    <pivotField showAll="0"/>
    <pivotField numFmtId="2" showAll="0"/>
    <pivotField showAll="0"/>
    <pivotField numFmtId="2" showAll="0"/>
    <pivotField showAll="0"/>
    <pivotField numFmtId="2" showAll="0"/>
    <pivotField dataField="1"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 showAll="0"/>
    <pivotField numFmtId="2" showAll="0"/>
  </pivotFields>
  <rowFields count="1">
    <field x="0"/>
  </rowFields>
  <rowItems count="10">
    <i>
      <x/>
    </i>
    <i>
      <x v="1"/>
    </i>
    <i>
      <x v="2"/>
    </i>
    <i>
      <x v="3"/>
    </i>
    <i>
      <x v="4"/>
    </i>
    <i>
      <x v="5"/>
    </i>
    <i>
      <x v="6"/>
    </i>
    <i>
      <x v="7"/>
    </i>
    <i>
      <x v="8"/>
    </i>
    <i t="grand">
      <x/>
    </i>
  </rowItems>
  <colFields count="1">
    <field x="-2"/>
  </colFields>
  <colItems count="2">
    <i>
      <x/>
    </i>
    <i i="1">
      <x v="1"/>
    </i>
  </colItems>
  <pageFields count="1">
    <pageField fld="2" hier="-1"/>
  </pageFields>
  <dataFields count="2">
    <dataField name=" total_crime" fld="47" baseField="0" baseItem="0"/>
    <dataField name="total_violent_crime" fld="57" baseField="0" baseItem="0"/>
  </dataFields>
  <formats count="2">
    <format dxfId="4">
      <pivotArea collapsedLevelsAreSubtotals="1" fieldPosition="0">
        <references count="2">
          <reference field="4294967294" count="1" selected="0">
            <x v="0"/>
          </reference>
          <reference field="0" count="0"/>
        </references>
      </pivotArea>
    </format>
    <format dxfId="3">
      <pivotArea collapsedLevelsAreSubtotals="1" fieldPosition="0">
        <references count="2">
          <reference field="4294967294" count="1" selected="0">
            <x v="1"/>
          </reference>
          <reference field="0" count="0"/>
        </references>
      </pivotArea>
    </format>
  </formats>
  <chartFormats count="8">
    <chartFormat chart="0" format="0"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1"/>
          </reference>
        </references>
      </pivotArea>
    </chartFormat>
    <chartFormat chart="8"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6DE4613E-B963-4604-9CAF-114CDC176CB4}" autoFormatId="16" applyNumberFormats="0" applyBorderFormats="0" applyFontFormats="0" applyPatternFormats="0" applyAlignmentFormats="0" applyWidthHeightFormats="0">
  <queryTableRefresh nextId="11">
    <queryTableFields count="10">
      <queryTableField id="1" name="City" tableColumnId="1"/>
      <queryTableField id="2" name="Normalised PPI" tableColumnId="2"/>
      <queryTableField id="3" name="Normalised HCI" tableColumnId="3"/>
      <queryTableField id="4" name="Normalised CLI" tableColumnId="4"/>
      <queryTableField id="5" name="Normalised RI" tableColumnId="5"/>
      <queryTableField id="6" name="Normalised TH" tableColumnId="6"/>
      <queryTableField id="7" name="Normalised TL" tableColumnId="7"/>
      <queryTableField id="8" name="Normalised TC" tableColumnId="8"/>
      <queryTableField id="9" name="Normalised AQI" tableColumnId="9"/>
      <queryTableField id="10" name="Normalised CR" tableColumnId="10"/>
    </queryTableFields>
  </queryTableRefresh>
  <extLst>
    <ext xmlns:x15="http://schemas.microsoft.com/office/spreadsheetml/2010/11/main" uri="{883FBD77-0823-4a55-B5E3-86C4891E6966}">
      <x15:queryTable sourceDataName="Query - Normalized_Value"/>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1607E9E3-F01E-4D9D-AC31-C0EF2E27FA17}" autoFormatId="16" applyNumberFormats="0" applyBorderFormats="0" applyFontFormats="0" applyPatternFormats="0" applyAlignmentFormats="0" applyWidthHeightFormats="0">
  <queryTableRefresh nextId="78" unboundColumnsRight="1">
    <queryTableFields count="77">
      <queryTableField id="1" name="City" tableColumnId="1"/>
      <queryTableField id="2" name="StateAbb" tableColumnId="2"/>
      <queryTableField id="3" name="State FullName" tableColumnId="3"/>
      <queryTableField id="4" name="Quality of Life Index" tableColumnId="4"/>
      <queryTableField id="41" dataBound="0" tableColumnId="42"/>
      <queryTableField id="5" name="Purchasing Power Index" tableColumnId="5"/>
      <queryTableField id="42" dataBound="0" tableColumnId="43"/>
      <queryTableField id="6" name="Safety Index" tableColumnId="6"/>
      <queryTableField id="43" dataBound="0" tableColumnId="45"/>
      <queryTableField id="7" name="Health Care Index" tableColumnId="7"/>
      <queryTableField id="44" dataBound="0" tableColumnId="46"/>
      <queryTableField id="8" name="Cost of Living Index" tableColumnId="8"/>
      <queryTableField id="45" dataBound="0" tableColumnId="47"/>
      <queryTableField id="9" name="Property Price to Income Ratio" tableColumnId="9"/>
      <queryTableField id="46" dataBound="0" tableColumnId="48"/>
      <queryTableField id="10" name="Traffic Commute Time Index" tableColumnId="10"/>
      <queryTableField id="47" dataBound="0" tableColumnId="49"/>
      <queryTableField id="11" name="Pollution Index" tableColumnId="11"/>
      <queryTableField id="48" dataBound="0" tableColumnId="50"/>
      <queryTableField id="12" name="Climate Index" tableColumnId="12"/>
      <queryTableField id="49" dataBound="0" tableColumnId="51"/>
      <queryTableField id="13" name="Rent Index" tableColumnId="13"/>
      <queryTableField id="50" dataBound="0" tableColumnId="52"/>
      <queryTableField id="14" name="Restaurant Price Index" tableColumnId="14"/>
      <queryTableField id="51" dataBound="0" tableColumnId="53"/>
      <queryTableField id="15" name="Local Purchasing Power Index" tableColumnId="15"/>
      <queryTableField id="52" dataBound="0" tableColumnId="54"/>
      <queryTableField id="16" name="Health Care Index.1" tableColumnId="16"/>
      <queryTableField id="53" dataBound="0" tableColumnId="58"/>
      <queryTableField id="17" name="Health Care Exp. Index" tableColumnId="17"/>
      <queryTableField id="54" dataBound="0" tableColumnId="59"/>
      <queryTableField id="18" name="Traffic Index" tableColumnId="18"/>
      <queryTableField id="55" dataBound="0" tableColumnId="60"/>
      <queryTableField id="19" name="Time Index (in minutes)" tableColumnId="19"/>
      <queryTableField id="56" dataBound="0" tableColumnId="61"/>
      <queryTableField id="20" name="Time Exp. Index" tableColumnId="20"/>
      <queryTableField id="57" dataBound="0" tableColumnId="62"/>
      <queryTableField id="21" name="Insufficiency Index" tableColumnId="21"/>
      <queryTableField id="58" dataBound="0" tableColumnId="63"/>
      <queryTableField id="22" name="CO2 Emission Index" tableColumnId="22"/>
      <queryTableField id="59" dataBound="0" tableColumnId="64"/>
      <queryTableField id="23" name="Temperature-High (°F)" tableColumnId="23"/>
      <queryTableField id="60" dataBound="0" tableColumnId="65"/>
      <queryTableField id="24" name="Temperature-Low (°F)" tableColumnId="24"/>
      <queryTableField id="61" dataBound="0" tableColumnId="66"/>
      <queryTableField id="25" name="population" tableColumnId="25"/>
      <queryTableField id="62" dataBound="0" tableColumnId="67"/>
      <queryTableField id="26" name="total_crime" tableColumnId="26"/>
      <queryTableField id="63" dataBound="0" tableColumnId="68"/>
      <queryTableField id="27" name="murder" tableColumnId="27"/>
      <queryTableField id="64" dataBound="0" tableColumnId="69"/>
      <queryTableField id="28" name="rape" tableColumnId="28"/>
      <queryTableField id="65" dataBound="0" tableColumnId="70"/>
      <queryTableField id="29" name="robbery" tableColumnId="29"/>
      <queryTableField id="66" dataBound="0" tableColumnId="71"/>
      <queryTableField id="30" name="agrv_assault" tableColumnId="30"/>
      <queryTableField id="67" dataBound="0" tableColumnId="72"/>
      <queryTableField id="31" name="tot_violent_crime" tableColumnId="31"/>
      <queryTableField id="68" dataBound="0" tableColumnId="73"/>
      <queryTableField id="32" name="burglary" tableColumnId="32"/>
      <queryTableField id="69" dataBound="0" tableColumnId="74"/>
      <queryTableField id="33" name="larceny" tableColumnId="33"/>
      <queryTableField id="70" dataBound="0" tableColumnId="75"/>
      <queryTableField id="34" name="vehicle_theft" tableColumnId="34"/>
      <queryTableField id="71" dataBound="0" tableColumnId="76"/>
      <queryTableField id="35" name="tot_prop_crim" tableColumnId="35"/>
      <queryTableField id="72" dataBound="0" tableColumnId="77"/>
      <queryTableField id="36" name="Median Household Income" tableColumnId="36"/>
      <queryTableField id="73" dataBound="0" tableColumnId="78"/>
      <queryTableField id="37" name="AQI" tableColumnId="37"/>
      <queryTableField id="74" dataBound="0" tableColumnId="79"/>
      <queryTableField id="38" name="State Tax Rate" tableColumnId="38"/>
      <queryTableField id="75" dataBound="0" tableColumnId="80"/>
      <queryTableField id="39" name="Avg local total rate" tableColumnId="39"/>
      <queryTableField id="76" dataBound="0" tableColumnId="81"/>
      <queryTableField id="40" name="Combined Rate" tableColumnId="40"/>
      <queryTableField id="77" dataBound="0" tableColumnId="8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4" xr16:uid="{0A95CE70-37AA-44C9-BF5B-2513EB90EAF3}" autoFormatId="16" applyNumberFormats="0" applyBorderFormats="0" applyFontFormats="0" applyPatternFormats="0" applyAlignmentFormats="0" applyWidthHeightFormats="0">
  <queryTableRefresh nextId="6">
    <queryTableFields count="5">
      <queryTableField id="1" name="City" tableColumnId="1"/>
      <queryTableField id="2" name="StateAbb" tableColumnId="2"/>
      <queryTableField id="3" name="StateFullName" tableColumnId="3"/>
      <queryTableField id="4" name="Health Care Index" tableColumnId="4"/>
      <queryTableField id="5" name="Health Care Exp. Index" tableColumnId="5"/>
    </queryTableFields>
  </queryTableRefresh>
  <extLst>
    <ext xmlns:x15="http://schemas.microsoft.com/office/spreadsheetml/2010/11/main" uri="{883FBD77-0823-4a55-B5E3-86C4891E6966}">
      <x15:queryTable sourceDataName="Query - HC_1"/>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5" xr16:uid="{5B91CAD8-1A2C-4CD5-98D2-3D0A9930CC51}" autoFormatId="16" applyNumberFormats="0" applyBorderFormats="0" applyFontFormats="0" applyPatternFormats="0" applyAlignmentFormats="0" applyWidthHeightFormats="0">
  <queryTableRefresh nextId="10">
    <queryTableFields count="9">
      <queryTableField id="1" name="City" tableColumnId="1"/>
      <queryTableField id="2" name="StateAbb" tableColumnId="2"/>
      <queryTableField id="3" name="State Full Name" tableColumnId="3"/>
      <queryTableField id="4" name="Cost of Living Index" tableColumnId="4"/>
      <queryTableField id="5" name="Rent Index" tableColumnId="5"/>
      <queryTableField id="6" name="Cost of Living Plus Rent Index" tableColumnId="6"/>
      <queryTableField id="7" name="Groceries Index" tableColumnId="7"/>
      <queryTableField id="8" name="Restaurant Price Index" tableColumnId="8"/>
      <queryTableField id="9" name="Local Purchasing Power Index" tableColumnId="9"/>
    </queryTableFields>
  </queryTableRefresh>
  <extLst>
    <ext xmlns:x15="http://schemas.microsoft.com/office/spreadsheetml/2010/11/main" uri="{883FBD77-0823-4a55-B5E3-86C4891E6966}">
      <x15:queryTable sourceDataName="Query - Cost_Of_living_query"/>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2" xr16:uid="{12DCBEA0-9ADF-48C9-8B1D-8DBEB65ABAC0}" autoFormatId="16" applyNumberFormats="0" applyBorderFormats="0" applyFontFormats="0" applyPatternFormats="0" applyAlignmentFormats="0" applyWidthHeightFormats="0">
  <queryTableRefresh nextId="16">
    <queryTableFields count="15">
      <queryTableField id="1" name="City" tableColumnId="1"/>
      <queryTableField id="2" name="StateAbb" tableColumnId="2"/>
      <queryTableField id="3" name="State FullName" tableColumnId="3"/>
      <queryTableField id="4" name="Quality of Life Index" tableColumnId="4"/>
      <queryTableField id="5" name="Purchasing Power Index" tableColumnId="5"/>
      <queryTableField id="6" name="Safety Index" tableColumnId="6"/>
      <queryTableField id="7" name="Health Care Index" tableColumnId="7"/>
      <queryTableField id="8" name="Cost of Living Index" tableColumnId="8"/>
      <queryTableField id="9" name="Property Price to Income Ratio" tableColumnId="9"/>
      <queryTableField id="10" name="Traffic Commute Time Index" tableColumnId="10"/>
      <queryTableField id="11" name="Pollution Index" tableColumnId="11"/>
      <queryTableField id="12" name="Climate Index" tableColumnId="12"/>
      <queryTableField id="13" name="Cost_Of_living_query.Rent Index" tableColumnId="13"/>
      <queryTableField id="14" name="Cost_Of_living_query.Restaurant Price Index" tableColumnId="14"/>
      <queryTableField id="15" name="Cost_Of_living_query.Local Purchasing Power Index" tableColumnId="1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E980BF9E-C05B-40DB-9B95-1421DA15E91B}" autoFormatId="16" applyNumberFormats="0" applyBorderFormats="0" applyFontFormats="0" applyPatternFormats="0" applyAlignmentFormats="0" applyWidthHeightFormats="0">
  <queryTableRefresh nextId="18">
    <queryTableFields count="17">
      <queryTableField id="1" name="City" tableColumnId="1"/>
      <queryTableField id="2" name="StateAbb" tableColumnId="2"/>
      <queryTableField id="3" name="State FullName" tableColumnId="3"/>
      <queryTableField id="4" name="Quality of Life Index" tableColumnId="4"/>
      <queryTableField id="5" name="Purchasing Power Index" tableColumnId="5"/>
      <queryTableField id="6" name="Safety Index" tableColumnId="6"/>
      <queryTableField id="7" name="Health Care Index" tableColumnId="7"/>
      <queryTableField id="8" name="Cost of Living Index" tableColumnId="8"/>
      <queryTableField id="9" name="Property Price to Income Ratio" tableColumnId="9"/>
      <queryTableField id="10" name="Traffic Commute Time Index" tableColumnId="10"/>
      <queryTableField id="11" name="Pollution Index" tableColumnId="11"/>
      <queryTableField id="12" name="Climate Index" tableColumnId="12"/>
      <queryTableField id="13" name="Rent Index" tableColumnId="13"/>
      <queryTableField id="14" name="Restaurant Price Index" tableColumnId="14"/>
      <queryTableField id="15" name="Local Purchasing Power Index" tableColumnId="15"/>
      <queryTableField id="16" name="Health Care Index.1" tableColumnId="16"/>
      <queryTableField id="17" name="Health Care Exp. Index" tableColumnId="1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8" xr16:uid="{12C88E9C-C3A7-405B-9C7B-4F655FAF9C7F}" autoFormatId="16" applyNumberFormats="0" applyBorderFormats="0" applyFontFormats="0" applyPatternFormats="0" applyAlignmentFormats="0" applyWidthHeightFormats="0">
  <queryTableRefresh nextId="27">
    <queryTableFields count="26">
      <queryTableField id="1" name="City" tableColumnId="1"/>
      <queryTableField id="2" name="State Abb" tableColumnId="2"/>
      <queryTableField id="3" name="State Full Name" tableColumnId="3"/>
      <queryTableField id="4" name="Traffic Index" tableColumnId="4"/>
      <queryTableField id="5" name="Time Index (in minutes)" tableColumnId="5"/>
      <queryTableField id="6" name="Time Exp. Index" tableColumnId="6"/>
      <queryTableField id="7" name="Insufficiency Index" tableColumnId="7"/>
      <queryTableField id="8" name="CO2 Emission Index" tableColumnId="8"/>
      <queryTableField id="9" name="Temperature-High (°F)" tableColumnId="9"/>
      <queryTableField id="10" name="Temperature-Low (°F)" tableColumnId="10"/>
      <queryTableField id="11" name="population" tableColumnId="11"/>
      <queryTableField id="12" name="total_crime" tableColumnId="12"/>
      <queryTableField id="13" name="murder" tableColumnId="13"/>
      <queryTableField id="14" name="rape" tableColumnId="14"/>
      <queryTableField id="15" name="robbery" tableColumnId="15"/>
      <queryTableField id="16" name="agrv_assault" tableColumnId="16"/>
      <queryTableField id="17" name="tot_violent_crime" tableColumnId="17"/>
      <queryTableField id="18" name="burglary" tableColumnId="18"/>
      <queryTableField id="19" name="larceny" tableColumnId="19"/>
      <queryTableField id="20" name="vehicle_theft" tableColumnId="20"/>
      <queryTableField id="21" name="tot_prop_crim" tableColumnId="21"/>
      <queryTableField id="22" name="Median Household Income" tableColumnId="22"/>
      <queryTableField id="23" name="AQI" tableColumnId="23"/>
      <queryTableField id="24" name="State Tax Rate" tableColumnId="24"/>
      <queryTableField id="25" name="Avg local total rate" tableColumnId="25"/>
      <queryTableField id="26" name="Combined Rate" tableColumnId="2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7667E647-468C-433A-8DE1-4DAEA2BA1F61}" autoFormatId="16" applyNumberFormats="0" applyBorderFormats="0" applyFontFormats="0" applyPatternFormats="0" applyAlignmentFormats="0" applyWidthHeightFormats="0">
  <queryTableRefresh nextId="10">
    <queryTableFields count="9">
      <queryTableField id="1" name="Atlanta" tableColumnId="1"/>
      <queryTableField id="2" name="Boston" tableColumnId="2"/>
      <queryTableField id="3" name="Chicago" tableColumnId="3"/>
      <queryTableField id="4" name="Denver" tableColumnId="4"/>
      <queryTableField id="5" name="Las Vegas" tableColumnId="5"/>
      <queryTableField id="6" name="New York" tableColumnId="6"/>
      <queryTableField id="7" name="San Francisco" tableColumnId="7"/>
      <queryTableField id="8" name="Seattle" tableColumnId="8"/>
      <queryTableField id="9" name="Tampa" tableColumnId="9"/>
    </queryTableFields>
  </queryTableRefresh>
  <extLst>
    <ext xmlns:x15="http://schemas.microsoft.com/office/spreadsheetml/2010/11/main" uri="{883FBD77-0823-4a55-B5E3-86C4891E6966}">
      <x15:queryTable sourceDataName="Query - Table9"/>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 xr16:uid="{4427C54E-B4DD-4A18-9119-763BBEC5575B}" autoFormatId="16" applyNumberFormats="0" applyBorderFormats="0" applyFontFormats="0" applyPatternFormats="0" applyAlignmentFormats="0" applyWidthHeightFormats="0">
  <queryTableRefresh nextId="13">
    <queryTableFields count="12">
      <queryTableField id="1" name="City" tableColumnId="1"/>
      <queryTableField id="2" name="StateAbb" tableColumnId="2"/>
      <queryTableField id="3" name="State FullName" tableColumnId="3"/>
      <queryTableField id="4" name="Quality of Life Index" tableColumnId="4"/>
      <queryTableField id="5" name="Purchasing Power Index" tableColumnId="5"/>
      <queryTableField id="6" name="Safety Index" tableColumnId="6"/>
      <queryTableField id="7" name="Health Care Index" tableColumnId="7"/>
      <queryTableField id="8" name="Cost of Living Index" tableColumnId="8"/>
      <queryTableField id="9" name="Property Price to Income Ratio" tableColumnId="9"/>
      <queryTableField id="10" name="Traffic Commute Time Index" tableColumnId="10"/>
      <queryTableField id="11" name="Pollution Index" tableColumnId="11"/>
      <queryTableField id="12" name="Climate Index" tableColumnId="12"/>
    </queryTableFields>
  </queryTableRefresh>
  <extLst>
    <ext xmlns:x15="http://schemas.microsoft.com/office/spreadsheetml/2010/11/main" uri="{883FBD77-0823-4a55-B5E3-86C4891E6966}">
      <x15:queryTable sourceDataName="Query - Quality_Life_1"/>
    </ext>
  </extLst>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A9D89C8-09F8-436B-8160-A374BB0919C4}" autoFormatId="16" applyNumberFormats="0" applyBorderFormats="0" applyFontFormats="0" applyPatternFormats="0" applyAlignmentFormats="0" applyWidthHeightFormats="0">
  <queryTableRefresh nextId="4">
    <queryTableFields count="3">
      <queryTableField id="1" name="Row Labels" tableColumnId="1"/>
      <queryTableField id="2" name="High Temperature (°F)" tableColumnId="2"/>
      <queryTableField id="3" name="Low Temperature (°F)" tableColumnId="3"/>
    </queryTableFields>
  </queryTableRefresh>
  <extLst>
    <ext xmlns:x15="http://schemas.microsoft.com/office/spreadsheetml/2010/11/main" uri="{883FBD77-0823-4a55-B5E3-86C4891E6966}">
      <x15:queryTable sourceDataName="Query - Table9 (2)"/>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51204935-ABDD-4DA0-86DF-64CE731FCE5A}" sourceName="City">
  <pivotTables>
    <pivotTable tabId="14" name="PivotTable1"/>
    <pivotTable tabId="18" name="PivotTable5"/>
    <pivotTable tabId="19" name="PivotTable4"/>
    <pivotTable tabId="16" name="PivotTable3"/>
    <pivotTable tabId="20" name="PivotTable3"/>
  </pivotTables>
  <data>
    <tabular pivotCacheId="1539403444">
      <items count="9">
        <i x="0" s="1"/>
        <i x="1" s="1"/>
        <i x="2" s="1"/>
        <i x="3" s="1"/>
        <i x="4" s="1"/>
        <i x="5" s="1"/>
        <i x="6" s="1"/>
        <i x="7"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E15402C8-FC62-4C5A-B691-A7D2B3DD1C19}" cache="Slicer_City" caption="City" columnCount="3" style="SlicerStyleDark2" rowHeight="4572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F8F4853-232F-45DC-9360-73506C5CBCF9}" name="Normalized_Value" displayName="Normalized_Value" ref="A1:AN10" totalsRowShown="0" headerRowDxfId="224" dataDxfId="223">
  <autoFilter ref="A1:AN10" xr:uid="{EF8F4853-232F-45DC-9360-73506C5CBCF9}"/>
  <tableColumns count="40">
    <tableColumn id="1" xr3:uid="{0E56A02D-5B53-4C97-83D4-946FECA9A130}" name="City" dataDxfId="222">
      <calculatedColumnFormula>Dataset!A2</calculatedColumnFormula>
    </tableColumn>
    <tableColumn id="2" xr3:uid="{23CDF819-8CA1-40B8-8246-6C934BA45884}" name="StateAbb" dataDxfId="221">
      <calculatedColumnFormula>Dataset!B2</calculatedColumnFormula>
    </tableColumn>
    <tableColumn id="3" xr3:uid="{9B2DE24C-3677-4CB1-B399-2CDCD6244430}" name="State FullName" dataDxfId="220">
      <calculatedColumnFormula>Dataset!C2</calculatedColumnFormula>
    </tableColumn>
    <tableColumn id="4" xr3:uid="{6733E31F-3639-4084-BC6F-F1BC77A8CCDE}" name="Normalised Quality of Life" dataDxfId="219">
      <calculatedColumnFormula>Dataset!E2</calculatedColumnFormula>
    </tableColumn>
    <tableColumn id="5" xr3:uid="{221A39F6-27C5-4D1E-B093-CF7FDD391FAD}" name="Normalised Purchasing Power index" dataDxfId="218">
      <calculatedColumnFormula>Dataset!G2</calculatedColumnFormula>
    </tableColumn>
    <tableColumn id="6" xr3:uid="{102B7ADC-9739-41AA-97F2-1824072EB956}" name="Normalised Safety Index" dataDxfId="217">
      <calculatedColumnFormula>Dataset!I2</calculatedColumnFormula>
    </tableColumn>
    <tableColumn id="7" xr3:uid="{D12EDF4D-C895-4941-91F5-32DC0AFA7E06}" name="Normalised HealthCare Index" dataDxfId="216">
      <calculatedColumnFormula>Dataset!K2</calculatedColumnFormula>
    </tableColumn>
    <tableColumn id="8" xr3:uid="{0A786F0E-CA42-4384-A749-EA6BC8FEA39A}" name="Normalised Cost of Living Index" dataDxfId="215">
      <calculatedColumnFormula>Dataset!M2</calculatedColumnFormula>
    </tableColumn>
    <tableColumn id="9" xr3:uid="{CB21D6E5-1485-45D2-9A28-D674D08C3F12}" name="Normalised Property Price to Income Ratio" dataDxfId="214">
      <calculatedColumnFormula>Dataset!O2</calculatedColumnFormula>
    </tableColumn>
    <tableColumn id="10" xr3:uid="{140112CA-693B-425D-9E9B-26FCC63688B3}" name="Normalised Traffic Commute Time Index" dataDxfId="213">
      <calculatedColumnFormula>Dataset!Q2</calculatedColumnFormula>
    </tableColumn>
    <tableColumn id="11" xr3:uid="{151A6D89-F9E0-485E-B1B6-618F0065D822}" name="Normalised Pollution Index" dataDxfId="212">
      <calculatedColumnFormula>Dataset!S2</calculatedColumnFormula>
    </tableColumn>
    <tableColumn id="12" xr3:uid="{CB3DEE65-C5A7-42A6-A2E6-DE608FACFEC0}" name="Normalised Climatre Index" dataDxfId="211">
      <calculatedColumnFormula>Dataset!U2</calculatedColumnFormula>
    </tableColumn>
    <tableColumn id="13" xr3:uid="{8249480E-DC20-46C7-8700-558847343D8D}" name="Normalised Rent Index" dataDxfId="210">
      <calculatedColumnFormula>Dataset!W2</calculatedColumnFormula>
    </tableColumn>
    <tableColumn id="14" xr3:uid="{668EE3AA-5BB8-497D-BE8A-2814D979C022}" name="Normalised Restaurant Price Index" dataDxfId="209">
      <calculatedColumnFormula>Dataset!Y2</calculatedColumnFormula>
    </tableColumn>
    <tableColumn id="15" xr3:uid="{BF12862F-1BCA-4910-84A0-227220B3D4B2}" name="Normalised Local Purchasing Power Index" dataDxfId="208">
      <calculatedColumnFormula>Dataset!AA2</calculatedColumnFormula>
    </tableColumn>
    <tableColumn id="16" xr3:uid="{B9C59316-821B-4149-8049-601CD7479D69}" name="Normalised HealthCare Index 1" dataDxfId="207">
      <calculatedColumnFormula>Dataset!AC2</calculatedColumnFormula>
    </tableColumn>
    <tableColumn id="17" xr3:uid="{67071300-CD67-4B72-9AA2-832097AFE321}" name="Normalised HealthCare Exp Index" dataDxfId="206">
      <calculatedColumnFormula>Dataset!AE2</calculatedColumnFormula>
    </tableColumn>
    <tableColumn id="18" xr3:uid="{7554FDE2-E5AC-408B-963A-2406334454AA}" name="Normalised Traffic Index" dataDxfId="205">
      <calculatedColumnFormula>Dataset!AG2</calculatedColumnFormula>
    </tableColumn>
    <tableColumn id="19" xr3:uid="{DA8BB20C-0B98-4437-94D2-00E64257288E}" name="Normalised Time Index (in Min)" dataDxfId="204">
      <calculatedColumnFormula>Dataset!AI2</calculatedColumnFormula>
    </tableColumn>
    <tableColumn id="20" xr3:uid="{608B3438-2B9F-4E8E-9477-9326D10E9C69}" name="Normalised Time Expected Index" dataDxfId="203">
      <calculatedColumnFormula>Dataset!AK2</calculatedColumnFormula>
    </tableColumn>
    <tableColumn id="21" xr3:uid="{F2A11424-56CC-46BC-B0E4-77AA8611901B}" name="Normalised Insufficiency Index" dataDxfId="202">
      <calculatedColumnFormula>Dataset!AM2</calculatedColumnFormula>
    </tableColumn>
    <tableColumn id="22" xr3:uid="{9C878442-41B0-4CC3-9806-F35AF3F302F2}" name="Normalised Co2 Emission Index" dataDxfId="201">
      <calculatedColumnFormula>Dataset!AO2</calculatedColumnFormula>
    </tableColumn>
    <tableColumn id="23" xr3:uid="{6696F327-2794-4B8F-8FA8-C6911CD89366}" name="Normalised Temperatyre High (F)" dataDxfId="200">
      <calculatedColumnFormula>Dataset!AQ2</calculatedColumnFormula>
    </tableColumn>
    <tableColumn id="24" xr3:uid="{1E79397B-5288-4E23-9CC5-F2EB8F6E2D5A}" name="Normalised Temperature Low (F)" dataDxfId="199">
      <calculatedColumnFormula>Dataset!AS2</calculatedColumnFormula>
    </tableColumn>
    <tableColumn id="25" xr3:uid="{873D7347-28CB-40C8-8711-57C6D120774B}" name="Normalised Population" dataDxfId="198">
      <calculatedColumnFormula>Dataset!AU2</calculatedColumnFormula>
    </tableColumn>
    <tableColumn id="26" xr3:uid="{29D4D81A-D55C-456F-8712-E399C4CEC6C6}" name="Normalised Total Crime" dataDxfId="197">
      <calculatedColumnFormula>Dataset!AW2</calculatedColumnFormula>
    </tableColumn>
    <tableColumn id="27" xr3:uid="{F785B7F7-8D10-4D74-91F7-8C72AF5CFF87}" name="Normalised Murder" dataDxfId="196">
      <calculatedColumnFormula>Dataset!AY2</calculatedColumnFormula>
    </tableColumn>
    <tableColumn id="28" xr3:uid="{E9588DCF-2008-4AB8-9B19-0256E5C1AFC5}" name="Normalised Rape" dataDxfId="195">
      <calculatedColumnFormula>Dataset!BA2</calculatedColumnFormula>
    </tableColumn>
    <tableColumn id="29" xr3:uid="{07E1C299-B81F-4465-98AB-AB4EB20BEEB3}" name="Normalised Robbery" dataDxfId="194">
      <calculatedColumnFormula>Dataset!BC2</calculatedColumnFormula>
    </tableColumn>
    <tableColumn id="30" xr3:uid="{36A8575A-CEBA-4316-931C-CF6BE15B3D02}" name="Normalised Aggr Assualt" dataDxfId="193">
      <calculatedColumnFormula>Dataset!BE2</calculatedColumnFormula>
    </tableColumn>
    <tableColumn id="31" xr3:uid="{780BF7AA-4CF4-47CE-AA29-86B0AA620552}" name="Normalised Total violent Crimes" dataDxfId="192">
      <calculatedColumnFormula>Dataset!BG2</calculatedColumnFormula>
    </tableColumn>
    <tableColumn id="32" xr3:uid="{D91DE01E-554B-4549-AA99-851A46856ED1}" name="Normalised Burglary" dataDxfId="191">
      <calculatedColumnFormula>Dataset!BI2</calculatedColumnFormula>
    </tableColumn>
    <tableColumn id="33" xr3:uid="{FDBEA2E0-C4E5-463D-A94C-0F4601E6427F}" name="Normalised Larceny" dataDxfId="190">
      <calculatedColumnFormula>Dataset!BK2</calculatedColumnFormula>
    </tableColumn>
    <tableColumn id="34" xr3:uid="{A4EBEC6A-1CC2-4A24-8001-F465282AF6EC}" name="Normalised Vehical Theft" dataDxfId="189">
      <calculatedColumnFormula>Dataset!BM2</calculatedColumnFormula>
    </tableColumn>
    <tableColumn id="35" xr3:uid="{0D1BF1AE-D4D8-46CE-8887-0B3B1754C346}" name="Normalised Total Property Crime" dataDxfId="188">
      <calculatedColumnFormula>Dataset!BO2</calculatedColumnFormula>
    </tableColumn>
    <tableColumn id="36" xr3:uid="{1B7157EB-82F8-49E9-8461-96118EE01260}" name="Normalised Median Household Income" dataDxfId="187">
      <calculatedColumnFormula>Dataset!BQ2</calculatedColumnFormula>
    </tableColumn>
    <tableColumn id="37" xr3:uid="{548B79DE-E080-4643-9463-5234BA6153F0}" name="Normalised AQI" dataDxfId="186">
      <calculatedColumnFormula>Dataset!BS2</calculatedColumnFormula>
    </tableColumn>
    <tableColumn id="38" xr3:uid="{45552DB2-0C6A-4518-9E8C-551B3300FC05}" name="Normalised State Tax Rate" dataDxfId="185">
      <calculatedColumnFormula>Dataset!BU2</calculatedColumnFormula>
    </tableColumn>
    <tableColumn id="39" xr3:uid="{EDA7894F-AC0A-4F1A-907E-780E7FA8EC22}" name="Normalised Avg Local Tax Rate" dataDxfId="184">
      <calculatedColumnFormula>Dataset!BW2</calculatedColumnFormula>
    </tableColumn>
    <tableColumn id="40" xr3:uid="{6D39F195-6757-4193-8F1A-C244AB4CD7ED}" name="Normalised Combined Tax Rate" dataDxfId="183">
      <calculatedColumnFormula>Dataset!BY2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2221E47-C54D-4846-9637-AB1DE5D11F19}" name="Normalized_Value_2" displayName="Normalized_Value_2" ref="A43:J52" tableType="queryTable" totalsRowShown="0" headerRowDxfId="182" dataDxfId="181">
  <autoFilter ref="A43:J52" xr:uid="{42221E47-C54D-4846-9637-AB1DE5D11F19}"/>
  <tableColumns count="10">
    <tableColumn id="1" xr3:uid="{7162F63A-020D-4985-8504-8F062904BFD1}" uniqueName="1" name="City" queryTableFieldId="1" dataDxfId="180"/>
    <tableColumn id="2" xr3:uid="{4732D3C0-0EFE-4932-BBF6-25D386052F04}" uniqueName="2" name="Normalised PPI" queryTableFieldId="2" dataDxfId="179"/>
    <tableColumn id="3" xr3:uid="{582074A8-2A54-4A6F-8B2F-ADBBD4EC1134}" uniqueName="3" name="Normalised HCI" queryTableFieldId="3" dataDxfId="178"/>
    <tableColumn id="4" xr3:uid="{8D81C264-F0EB-4D6F-83EF-76D2144128B1}" uniqueName="4" name="Normalised CLI" queryTableFieldId="4" dataDxfId="177"/>
    <tableColumn id="5" xr3:uid="{E3E44D2E-55BC-4F4A-B2A7-817F28945DBA}" uniqueName="5" name="Normalised RI" queryTableFieldId="5" dataDxfId="176"/>
    <tableColumn id="6" xr3:uid="{084D9FF0-7F83-441A-9DC6-BAD1E470EA6D}" uniqueName="6" name="Normalised TH" queryTableFieldId="6" dataDxfId="175"/>
    <tableColumn id="7" xr3:uid="{3925DE6A-0D21-41F2-9E5B-B054210DAC8E}" uniqueName="7" name="Normalised TL" queryTableFieldId="7" dataDxfId="174"/>
    <tableColumn id="8" xr3:uid="{C6C8B413-39AB-4C4F-AFB4-3EE02278E6E2}" uniqueName="8" name="Normalised TC" queryTableFieldId="8" dataDxfId="173"/>
    <tableColumn id="9" xr3:uid="{038F6CA5-F859-4D1A-A550-BD5647BC34FF}" uniqueName="9" name="Normalised AQI" queryTableFieldId="9" dataDxfId="172"/>
    <tableColumn id="10" xr3:uid="{5FCC0BD0-C5F9-4A18-94A5-5A6B60DCFCD3}" uniqueName="10" name="Normalised CR" queryTableFieldId="10" dataDxfId="17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EA551FC-33CF-41DD-B618-5AA077082B68}" name="Table16" displayName="Table16" ref="A30:K39" totalsRowShown="0" headerRowDxfId="170" dataDxfId="169">
  <autoFilter ref="A30:K39" xr:uid="{BEA551FC-33CF-41DD-B618-5AA077082B68}"/>
  <sortState xmlns:xlrd2="http://schemas.microsoft.com/office/spreadsheetml/2017/richdata2" ref="A31:K39">
    <sortCondition sortBy="cellColor" ref="K30:K39" dxfId="168"/>
  </sortState>
  <tableColumns count="11">
    <tableColumn id="1" xr3:uid="{3F9D2B80-FFA8-4777-91A9-484125395C7A}" name="City" dataDxfId="167"/>
    <tableColumn id="2" xr3:uid="{06DFC26C-E576-4E7E-8F5B-4ED3010CF118}" name="Normalised Purchasing Power index" dataDxfId="166"/>
    <tableColumn id="3" xr3:uid="{166E39D8-BF51-4468-8BD5-82749E79CDE9}" name="Normalised Health Care Index" dataDxfId="165"/>
    <tableColumn id="4" xr3:uid="{1C341AC0-83BB-4733-9CED-AC11C7DDABEB}" name="Normalised Cost Of Living Index" dataDxfId="164"/>
    <tableColumn id="5" xr3:uid="{BD191F6C-E8F0-47A0-856B-B3DA97A9B76E}" name="Normalised Rent index" dataDxfId="163"/>
    <tableColumn id="6" xr3:uid="{39319BCF-2864-431E-A95E-750CC2E941EC}" name="Normalised Temperature-High" dataDxfId="162"/>
    <tableColumn id="7" xr3:uid="{91594338-99D4-4FAD-8803-D05802C31312}" name="Normalised Temperature-Low" dataDxfId="161"/>
    <tableColumn id="8" xr3:uid="{4D99DF21-3BD4-48E5-AC41-9F87C9DEEE97}" name="Normalised Total Crime Rate" dataDxfId="160"/>
    <tableColumn id="9" xr3:uid="{D727AD65-098B-49AA-B0F3-BE3A4CDDF718}" name="Normalised AQI" dataDxfId="159"/>
    <tableColumn id="10" xr3:uid="{82F42A90-01B8-4B0C-BDFF-48593DD37ACC}" name="Normalised Tax Rate" dataDxfId="158"/>
    <tableColumn id="12" xr3:uid="{A1F2DAEE-55F3-4730-B8B8-63C9E68DAA15}" name="Scores" dataDxfId="157">
      <calculatedColumnFormula>(B31*$B$19)+(C31*$B$20)+(D31*$B$21)+(E31*$B$22)+(F31*$B$23)+(G31*$B$24)+(H31*$B$25)+(I31*$B$26)+(J31*$B$27)</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4CD74F6-E3BE-43B5-AE08-DA3D0C20BAF3}" name="Table15" displayName="Table15" ref="A18:B27" totalsRowShown="0" headerRowDxfId="156" dataDxfId="155">
  <autoFilter ref="A18:B27" xr:uid="{34CD74F6-E3BE-43B5-AE08-DA3D0C20BAF3}"/>
  <tableColumns count="2">
    <tableColumn id="1" xr3:uid="{4AC8E861-5BB0-4460-8E04-D977EA9F3B28}" name="Weights" dataDxfId="154"/>
    <tableColumn id="2" xr3:uid="{E3BE65E2-F41D-40FD-841E-C2D8D973EA09}" name="Score" dataDxfId="153" dataCellStyle="Perce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843242B-5BA3-40C7-BAF9-8B34886CEF93}" name="FullandFinal_Project" displayName="FullandFinal_Project" ref="A1:BY11" tableType="queryTable" totalsRowCount="1">
  <autoFilter ref="A1:BY10" xr:uid="{9843242B-5BA3-40C7-BAF9-8B34886CEF93}"/>
  <sortState xmlns:xlrd2="http://schemas.microsoft.com/office/spreadsheetml/2017/richdata2" ref="A2:BY10">
    <sortCondition ref="A1:A10"/>
  </sortState>
  <tableColumns count="77">
    <tableColumn id="1" xr3:uid="{E06DD33D-2024-4A5F-A58E-84AC71EC4A6D}" uniqueName="1" name="City" queryTableFieldId="1" dataDxfId="152"/>
    <tableColumn id="2" xr3:uid="{C249A7EB-AD28-4FBF-AFDB-3F322A1CB32B}" uniqueName="2" name="StateAbb" queryTableFieldId="2" dataDxfId="151"/>
    <tableColumn id="3" xr3:uid="{EC6BB2EB-2C6D-44A5-9141-17631C452EB3}" uniqueName="3" name="State FullName" queryTableFieldId="3" dataDxfId="150"/>
    <tableColumn id="4" xr3:uid="{A6E6D57D-6731-4C0B-9B50-AE14371167BA}" uniqueName="4" name="Quality of Life Index" queryTableFieldId="4" dataDxfId="149" totalsRowDxfId="148"/>
    <tableColumn id="42" xr3:uid="{D41B183D-0F45-4004-995B-9CC596F72B2B}" uniqueName="42" name="Normalised QoL" queryTableFieldId="41" dataDxfId="147">
      <calculatedColumnFormula>((5-1)*(FullandFinal_Project[[#This Row],[Quality of Life Index]]-$D$13)/($D$14-$D$13))+1</calculatedColumnFormula>
    </tableColumn>
    <tableColumn id="5" xr3:uid="{B769AA75-B743-424D-9747-D364EF11912B}" uniqueName="5" name="Purchasing Power Index" queryTableFieldId="5" dataDxfId="146" totalsRowDxfId="145"/>
    <tableColumn id="43" xr3:uid="{DA4A71F5-3F53-4452-B627-C93758394049}" uniqueName="43" name="Normalised PPI" queryTableFieldId="42" dataDxfId="144">
      <calculatedColumnFormula>((5-1)*(FullandFinal_Project[[#This Row],[Purchasing Power Index]]-$F$13)/($F$14-$F$13))+1</calculatedColumnFormula>
    </tableColumn>
    <tableColumn id="6" xr3:uid="{119FE6E2-BFF0-4D2E-A072-4A6EFAA48B12}" uniqueName="6" name="Safety Index" queryTableFieldId="6" dataDxfId="143" totalsRowDxfId="142"/>
    <tableColumn id="45" xr3:uid="{4DA32DFD-8555-4DDC-9F4F-BDC718CAF664}" uniqueName="45" name="Normalised SI" queryTableFieldId="43" dataDxfId="141">
      <calculatedColumnFormula>((5-1)*(FullandFinal_Project[[#This Row],[Safety Index]]-$H$13)/($H$14-$H$13))+1</calculatedColumnFormula>
    </tableColumn>
    <tableColumn id="7" xr3:uid="{605DF9A0-C784-428E-ABB0-BE6788912173}" uniqueName="7" name="Health Care Index" queryTableFieldId="7" dataDxfId="140" totalsRowDxfId="139"/>
    <tableColumn id="46" xr3:uid="{B797B64D-7C89-42B1-962A-5D51F3735AFB}" uniqueName="46" name="Normalised HCI" queryTableFieldId="44" dataDxfId="138">
      <calculatedColumnFormula>((5-1)*(FullandFinal_Project[[#This Row],[Health Care Index]]-$J$13)/($J$14-$J$13))+1</calculatedColumnFormula>
    </tableColumn>
    <tableColumn id="8" xr3:uid="{29733654-8249-48F2-9C00-43A06D80803E}" uniqueName="8" name="Cost of Living Index" queryTableFieldId="8" dataDxfId="137" totalsRowDxfId="136"/>
    <tableColumn id="47" xr3:uid="{182E32F6-22B0-4147-AE72-1A7C7325FF58}" uniqueName="47" name="Normalised CLI" queryTableFieldId="45" dataDxfId="135">
      <calculatedColumnFormula>((5-1)*(FullandFinal_Project[[#This Row],[Cost of Living Index]]-$L$13)/($L$14-$L$13))+1</calculatedColumnFormula>
    </tableColumn>
    <tableColumn id="9" xr3:uid="{28E61273-1304-49ED-888B-32830817576D}" uniqueName="9" name="Property Price to Income Ratio" queryTableFieldId="9" dataDxfId="134"/>
    <tableColumn id="48" xr3:uid="{1E5DF71D-A1C5-44C1-9E3C-A6DA561330CD}" uniqueName="48" name="Normalised PPIR" queryTableFieldId="46" dataDxfId="133">
      <calculatedColumnFormula>((5-1)*(FullandFinal_Project[[#This Row],[Property Price to Income Ratio]]-$N$13)/($N$14-$N$13))+1</calculatedColumnFormula>
    </tableColumn>
    <tableColumn id="10" xr3:uid="{7D32AD84-AD1E-411D-AD37-4B3F3D43072B}" uniqueName="10" name="Traffic Commute Time Index" queryTableFieldId="10" dataDxfId="132" totalsRowDxfId="131"/>
    <tableColumn id="49" xr3:uid="{2A990319-FECA-4973-8FE5-DF98DCB0E615}" uniqueName="49" name="Normalised TCTI" queryTableFieldId="47" dataDxfId="130">
      <calculatedColumnFormula>((5-1)*(FullandFinal_Project[[#This Row],[Traffic Commute Time Index]]-$P$13)/($P$14-$P$13))+1</calculatedColumnFormula>
    </tableColumn>
    <tableColumn id="11" xr3:uid="{48296808-9E33-4316-AE4C-DFD4B47875C0}" uniqueName="11" name="Pollution Index" queryTableFieldId="11" dataDxfId="129" totalsRowDxfId="128"/>
    <tableColumn id="50" xr3:uid="{B36061DC-7BF1-4865-8C4A-815899165973}" uniqueName="50" name="Normalised PI" queryTableFieldId="48" dataDxfId="127">
      <calculatedColumnFormula>((5-1)*(FullandFinal_Project[[#This Row],[Pollution Index]]-$R$13)/($R$14-$R$13))+1</calculatedColumnFormula>
    </tableColumn>
    <tableColumn id="12" xr3:uid="{A002DC4F-1367-4109-809A-1E6D5E2789E8}" uniqueName="12" name="Climate Index" queryTableFieldId="12" dataDxfId="126" totalsRowDxfId="125"/>
    <tableColumn id="51" xr3:uid="{9429863D-10A9-4B27-A88F-B8E89091C576}" uniqueName="51" name="Normalised CI" queryTableFieldId="49" dataDxfId="124">
      <calculatedColumnFormula>((5-1)*(FullandFinal_Project[[#This Row],[Climate Index]]-$T$13)/($T$14-$T$13))+1</calculatedColumnFormula>
    </tableColumn>
    <tableColumn id="13" xr3:uid="{2B9029E8-36EE-40FE-9D31-20095A1C7B17}" uniqueName="13" name="Rent Index" queryTableFieldId="13" dataDxfId="123" totalsRowDxfId="122"/>
    <tableColumn id="52" xr3:uid="{1022235A-524A-4ED8-A717-6CF2DF46BE85}" uniqueName="52" name="Normalised RI" queryTableFieldId="50" dataDxfId="121">
      <calculatedColumnFormula>((5-1)*(FullandFinal_Project[[#This Row],[Rent Index]]-$V$13)/($V$14-$V$13))+1</calculatedColumnFormula>
    </tableColumn>
    <tableColumn id="14" xr3:uid="{55F9A6C0-FA5F-46D0-8AD0-567BCB503A60}" uniqueName="14" name="Restaurant Price Index" queryTableFieldId="14" dataDxfId="120" totalsRowDxfId="119"/>
    <tableColumn id="53" xr3:uid="{AB0E4F16-B3ED-40F9-B76A-4202D21EF253}" uniqueName="53" name="Normalised RPI" queryTableFieldId="51" dataDxfId="118">
      <calculatedColumnFormula>((5-1)*(FullandFinal_Project[[#This Row],[Restaurant Price Index]]-$X$13)/($X$14-$X$13))+1</calculatedColumnFormula>
    </tableColumn>
    <tableColumn id="15" xr3:uid="{13366CFD-F621-4B1F-86AE-3A37F158AFDF}" uniqueName="15" name="Local Purchasing Power Index" queryTableFieldId="15" dataDxfId="117" totalsRowDxfId="116"/>
    <tableColumn id="54" xr3:uid="{C72CB637-70B6-409F-B52D-C6947947EE1D}" uniqueName="54" name="Normalised LPPI" queryTableFieldId="52" dataDxfId="115">
      <calculatedColumnFormula>((5-1)*(FullandFinal_Project[[#This Row],[Local Purchasing Power Index]]-$Z$13)/($Z$14-$Z$13))+1</calculatedColumnFormula>
    </tableColumn>
    <tableColumn id="16" xr3:uid="{F5ABADC3-3555-4FA0-83CC-6B2BE4307E77}" uniqueName="16" name="Health Care Index.1" queryTableFieldId="16" dataDxfId="114" totalsRowDxfId="113"/>
    <tableColumn id="58" xr3:uid="{87E36E20-8ECC-4372-A7B8-19EE1F57777B}" uniqueName="58" name="Normalised HCI 1" queryTableFieldId="53" dataDxfId="112">
      <calculatedColumnFormula>((5-1)*(FullandFinal_Project[[#This Row],[Health Care Index.1]]-$AB$13)/($AB$14-$AB$13))+1</calculatedColumnFormula>
    </tableColumn>
    <tableColumn id="17" xr3:uid="{54BD3E4F-75CB-4AFF-9D52-F12E42CCAF34}" uniqueName="17" name="Health Care Exp. Index" queryTableFieldId="17" dataDxfId="111" totalsRowDxfId="110"/>
    <tableColumn id="59" xr3:uid="{C54C73AB-4234-4FF6-83BB-DF3C915D804D}" uniqueName="59" name="Normalised HCEI" queryTableFieldId="54" dataDxfId="109">
      <calculatedColumnFormula>((5-1)*(FullandFinal_Project[[#This Row],[Health Care Exp. Index]]-$AD$13)/($AD$14-$AD$13))+1</calculatedColumnFormula>
    </tableColumn>
    <tableColumn id="18" xr3:uid="{C89135F0-E22D-4AF7-92DF-81E6B39B3637}" uniqueName="18" name="Traffic Index" queryTableFieldId="18" dataDxfId="108" totalsRowDxfId="107"/>
    <tableColumn id="60" xr3:uid="{68FEB07B-328F-4DA5-AEAA-7F1F22C2FE26}" uniqueName="60" name="Normalised TI" queryTableFieldId="55" dataDxfId="106">
      <calculatedColumnFormula>((5-1)*(FullandFinal_Project[[#This Row],[Traffic Index]]-$AF$13)/($AF$14-$AF$13))+1</calculatedColumnFormula>
    </tableColumn>
    <tableColumn id="19" xr3:uid="{D2FA309D-5B9B-42B2-8BF6-5D15D8E1AD2A}" uniqueName="19" name="Time Index (in minutes)" queryTableFieldId="19" dataDxfId="105" totalsRowDxfId="104"/>
    <tableColumn id="61" xr3:uid="{B1ACE61E-733A-4CF7-94B9-605D9116D674}" uniqueName="61" name="Normalised TI2" queryTableFieldId="56" dataDxfId="103">
      <calculatedColumnFormula>((5-1)*(FullandFinal_Project[[#This Row],[Time Index (in minutes)]]-$AH$13)/($AH$14-$AH$13))+1</calculatedColumnFormula>
    </tableColumn>
    <tableColumn id="20" xr3:uid="{C8B126D4-458D-408F-8487-40722F007585}" uniqueName="20" name="Time Exp. Index" queryTableFieldId="20" dataDxfId="102" totalsRowDxfId="101"/>
    <tableColumn id="62" xr3:uid="{8605353C-F82A-43D1-BB5F-B0AC17383322}" uniqueName="62" name="Normalised TEI" queryTableFieldId="57" dataDxfId="100">
      <calculatedColumnFormula>((5-1)*(FullandFinal_Project[[#This Row],[Time Exp. Index]]-$AJ$13)/($AJ$14-$AJ$13))+1</calculatedColumnFormula>
    </tableColumn>
    <tableColumn id="21" xr3:uid="{F3199FB0-CC50-4754-950C-B41410A64A84}" uniqueName="21" name="Insufficiency Index" queryTableFieldId="21" dataDxfId="99" totalsRowDxfId="98"/>
    <tableColumn id="63" xr3:uid="{F3892E89-5235-4137-924C-3EDF9E921DFB}" uniqueName="63" name="Normalised II" queryTableFieldId="58" dataDxfId="97">
      <calculatedColumnFormula>((5-1)*(FullandFinal_Project[[#This Row],[Insufficiency Index]]-$AL$13)/($AL$14-$AL$13))+1</calculatedColumnFormula>
    </tableColumn>
    <tableColumn id="22" xr3:uid="{991D860A-8FE6-4508-9A85-BEF02B6665E2}" uniqueName="22" name="CO2 Emission Index" queryTableFieldId="22" dataDxfId="96" totalsRowDxfId="95"/>
    <tableColumn id="64" xr3:uid="{9F443BF4-3BE0-42DB-A3D3-9BAAACD28EDD}" uniqueName="64" name="Normalised CEI" queryTableFieldId="59" dataDxfId="94">
      <calculatedColumnFormula>((5-1)*(FullandFinal_Project[[#This Row],[CO2 Emission Index]]-AN13)/($AN$14-$AN$13))+1</calculatedColumnFormula>
    </tableColumn>
    <tableColumn id="23" xr3:uid="{D31E6F00-437A-4ABD-8F07-034C4B0423CC}" uniqueName="23" name="Temperature-High (°F)" queryTableFieldId="23" dataDxfId="93" totalsRowDxfId="92"/>
    <tableColumn id="65" xr3:uid="{5D510337-98F2-4C6B-8B69-1C153349D9D9}" uniqueName="65" name="Normalised TH" queryTableFieldId="60" dataDxfId="91">
      <calculatedColumnFormula>((5-1)*(FullandFinal_Project[[#This Row],[Temperature-High (°F)]]-$AP$13)/($AP$14-$AP$13))+1</calculatedColumnFormula>
    </tableColumn>
    <tableColumn id="24" xr3:uid="{32DFB550-6837-4BB9-9F37-154D975CC087}" uniqueName="24" name="Temperature-Low (°F)" queryTableFieldId="24" dataDxfId="90" totalsRowDxfId="89"/>
    <tableColumn id="66" xr3:uid="{3CA3F593-63B7-4190-B62D-B680741688D6}" uniqueName="66" name="Normalised TL" queryTableFieldId="61" dataDxfId="88">
      <calculatedColumnFormula>((5-1)*(FullandFinal_Project[[#This Row],[Temperature-Low (°F)]]-$AR$13)/($AR$14-$AR$13))+1</calculatedColumnFormula>
    </tableColumn>
    <tableColumn id="25" xr3:uid="{77D07C21-FB48-4679-9B3F-59E77A6D3F30}" uniqueName="25" name="population" queryTableFieldId="25" dataDxfId="87" totalsRowDxfId="86"/>
    <tableColumn id="67" xr3:uid="{21EEDF6C-814D-42F5-B5AF-D2876508208A}" uniqueName="67" name="Normalised P" queryTableFieldId="62" dataDxfId="85">
      <calculatedColumnFormula>((5-1)*(FullandFinal_Project[[#This Row],[population]]-$AT$13)/($AT$14-$AT$13))+1</calculatedColumnFormula>
    </tableColumn>
    <tableColumn id="26" xr3:uid="{BD725690-44FA-4B4B-A4CC-4E5029BEECFB}" uniqueName="26" name="total_crime" queryTableFieldId="26" dataDxfId="84" totalsRowDxfId="83"/>
    <tableColumn id="68" xr3:uid="{BF856B0E-9944-42E9-A0B6-310280A08564}" uniqueName="68" name="Normalised TC" queryTableFieldId="63" dataDxfId="82">
      <calculatedColumnFormula>((5-1)*(FullandFinal_Project[[#This Row],[total_crime]]-$AV$13)/($AV$14-$AV$13))+1</calculatedColumnFormula>
    </tableColumn>
    <tableColumn id="27" xr3:uid="{46BDCF1C-57CE-42A9-B35B-4C29CBA922E7}" uniqueName="27" name="murder" queryTableFieldId="27" dataDxfId="81" totalsRowDxfId="80"/>
    <tableColumn id="69" xr3:uid="{AAA25172-C4BC-4585-ACC5-0C8F79CF0F6F}" uniqueName="69" name="Normalised M" queryTableFieldId="64" dataDxfId="79">
      <calculatedColumnFormula>((5-1)*(FullandFinal_Project[[#This Row],[murder]]-$AX$13)/($AX$14-$AX$13))+1</calculatedColumnFormula>
    </tableColumn>
    <tableColumn id="28" xr3:uid="{26E5E8F2-2708-4A62-96E5-AAEAF328B621}" uniqueName="28" name="rape" queryTableFieldId="28" dataDxfId="78" totalsRowDxfId="77"/>
    <tableColumn id="70" xr3:uid="{58B6FF4C-FD2E-4C41-9ABF-DCA46C691774}" uniqueName="70" name="Normalised R" queryTableFieldId="65" dataDxfId="76">
      <calculatedColumnFormula>((5-1)*(FullandFinal_Project[[#This Row],[rape]]-$AZ$13)/($AZ$14-$AZ$13))+1</calculatedColumnFormula>
    </tableColumn>
    <tableColumn id="29" xr3:uid="{6537C9A4-BE56-4C6F-96B0-D30019297F9D}" uniqueName="29" name="robbery" queryTableFieldId="29" dataDxfId="75" totalsRowDxfId="74"/>
    <tableColumn id="71" xr3:uid="{6D680BC4-D873-402E-ABA0-596812F30CB9}" uniqueName="71" name="Normalised Robbery" queryTableFieldId="66" dataDxfId="73">
      <calculatedColumnFormula>((5-1)*(FullandFinal_Project[[#This Row],[robbery]]-$BB$13)/($BB$14-$BB$13))+1</calculatedColumnFormula>
    </tableColumn>
    <tableColumn id="30" xr3:uid="{E25653E2-BA52-4BD3-AE22-097101E25BE4}" uniqueName="30" name="aggravated_assault" queryTableFieldId="30" dataDxfId="72" totalsRowDxfId="71"/>
    <tableColumn id="72" xr3:uid="{0EAFDE82-DC6D-4ADB-B339-5917DA2A2171}" uniqueName="72" name="Normalised AA" queryTableFieldId="67" dataDxfId="70">
      <calculatedColumnFormula>((5-1)*(FullandFinal_Project[[#This Row],[aggravated_assault]]-$BD$13)/($BD$14-$BD$13))+1</calculatedColumnFormula>
    </tableColumn>
    <tableColumn id="31" xr3:uid="{8D8BD26D-46FA-4CD6-A613-49F4DA596EA8}" uniqueName="31" name="tot_violent_crime" queryTableFieldId="31" dataDxfId="69" totalsRowDxfId="68"/>
    <tableColumn id="73" xr3:uid="{1A50F31E-985C-477C-953F-BE5D8715DF79}" uniqueName="73" name="Normalised TVC" queryTableFieldId="68" dataDxfId="67">
      <calculatedColumnFormula>((5-1)*(FullandFinal_Project[[#This Row],[tot_violent_crime]]-$BF$13)/($BF$14-$BF$13))+1</calculatedColumnFormula>
    </tableColumn>
    <tableColumn id="32" xr3:uid="{B713FD12-0349-4F7A-8182-C220A5441B3E}" uniqueName="32" name="burglary" queryTableFieldId="32" dataDxfId="66" totalsRowDxfId="65"/>
    <tableColumn id="74" xr3:uid="{D35474D2-D099-4F77-8FFD-CF89B4A74176}" uniqueName="74" name="Normalised Burglary" queryTableFieldId="69" dataDxfId="64">
      <calculatedColumnFormula>((5-1)*(FullandFinal_Project[[#This Row],[burglary]]-$BH$13)/($BH$14-$BH$13))+1</calculatedColumnFormula>
    </tableColumn>
    <tableColumn id="33" xr3:uid="{0F37AF71-AB9A-4719-83D7-4128272FC6EE}" uniqueName="33" name="larceny" queryTableFieldId="33" dataDxfId="63" totalsRowDxfId="62"/>
    <tableColumn id="75" xr3:uid="{31F7D374-3257-45C4-953A-1AA06B82477A}" uniqueName="75" name="Normalised Larceny" queryTableFieldId="70" dataDxfId="61">
      <calculatedColumnFormula>((5-1)*(FullandFinal_Project[[#This Row],[larceny]]-$BJ$13)/($BJ$14-$BJ$13))+1</calculatedColumnFormula>
    </tableColumn>
    <tableColumn id="34" xr3:uid="{0D742442-4ABB-4C4F-B30F-6398ACD5CA66}" uniqueName="34" name="vehicle_theft" queryTableFieldId="34" dataDxfId="60" totalsRowDxfId="59"/>
    <tableColumn id="76" xr3:uid="{767BD4C3-446E-48C0-9D24-8FD165FE657F}" uniqueName="76" name="Normalised VT" queryTableFieldId="71" dataDxfId="58">
      <calculatedColumnFormula>((5-1)*(FullandFinal_Project[[#This Row],[vehicle_theft]]-$BL$13)/($BL$14-$BL$13))+1</calculatedColumnFormula>
    </tableColumn>
    <tableColumn id="35" xr3:uid="{70B535ED-83DD-4002-BB9D-ADF4802A7C27}" uniqueName="35" name="total_property_crim" queryTableFieldId="35" dataDxfId="57" totalsRowDxfId="56"/>
    <tableColumn id="77" xr3:uid="{771F61F8-E473-482A-882D-2950666E604F}" uniqueName="77" name="Normalised TPC" queryTableFieldId="72" dataDxfId="55">
      <calculatedColumnFormula>((5-1)*(FullandFinal_Project[[#This Row],[total_property_crim]]-$BN$13)/($BN$14-$BN$13))+1</calculatedColumnFormula>
    </tableColumn>
    <tableColumn id="36" xr3:uid="{81B665B4-7042-4112-AE9C-3E7FF14CF570}" uniqueName="36" name="Median Household Income" queryTableFieldId="36" dataDxfId="54" totalsRowDxfId="53"/>
    <tableColumn id="78" xr3:uid="{58D5E898-EF18-4E43-BFFE-02C1FE5CDD88}" uniqueName="78" name="Normalised MHI" queryTableFieldId="73" dataDxfId="52">
      <calculatedColumnFormula>((5-1)*(FullandFinal_Project[[#This Row],[Median Household Income]]-$BP$13)/($BP$14-$BP$13))+1</calculatedColumnFormula>
    </tableColumn>
    <tableColumn id="37" xr3:uid="{B4D01640-318C-4C50-98F4-D248F0340204}" uniqueName="37" name="AQI" queryTableFieldId="37" dataDxfId="51"/>
    <tableColumn id="79" xr3:uid="{17CB7072-78E1-489C-B8A0-8969A9C78C9C}" uniqueName="79" name="Normalised AQI" queryTableFieldId="74" dataDxfId="50">
      <calculatedColumnFormula>((5-1)*(FullandFinal_Project[[#This Row],[AQI]]-$BR$13)/($BR$14-$BR$13))+1</calculatedColumnFormula>
    </tableColumn>
    <tableColumn id="38" xr3:uid="{985A79EE-8D1E-4FF2-B612-872CA8F11A02}" uniqueName="38" name="State Tax Rate" queryTableFieldId="38" dataDxfId="49" totalsRowDxfId="48"/>
    <tableColumn id="80" xr3:uid="{87445BC5-4770-4D7D-9CCF-73A2EA037A62}" uniqueName="80" name="Normalised STR" queryTableFieldId="75" dataDxfId="47">
      <calculatedColumnFormula>((5-1)*(FullandFinal_Project[[#This Row],[State Tax Rate]]-$BT$13)/($BT$14-$BT$13))+1</calculatedColumnFormula>
    </tableColumn>
    <tableColumn id="39" xr3:uid="{84835202-EC65-4245-8152-C0207B4224A7}" uniqueName="39" name="Avg local total rate" queryTableFieldId="39" dataDxfId="46" totalsRowDxfId="45"/>
    <tableColumn id="81" xr3:uid="{600DC051-0326-4850-B098-4065BD4AD923}" uniqueName="81" name="Normalised ALTR" queryTableFieldId="76" dataDxfId="44">
      <calculatedColumnFormula>((5-1)*(FullandFinal_Project[[#This Row],[Avg local total rate]]-$BV$13)/($BV$14-$BV$13))+1</calculatedColumnFormula>
    </tableColumn>
    <tableColumn id="40" xr3:uid="{385FB6F7-06EE-46CE-ABFB-DE07F393F3D0}" uniqueName="40" name="Combined Rate" queryTableFieldId="40" dataDxfId="43" totalsRowDxfId="42"/>
    <tableColumn id="82" xr3:uid="{F20AE645-0180-428E-A2D2-8D717525562F}" uniqueName="82" name="Normalised CR" queryTableFieldId="77" dataDxfId="41">
      <calculatedColumnFormula>((5-1)*(FullandFinal_Project[[#This Row],[Combined Rate]]-$BX$13)/($BX$14-$BX$13))+1</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34ED40-7241-4E7F-AB39-9B7FBB6712F2}" name="Table3" displayName="Table3" ref="A1:L10" totalsRowShown="0" headerRowDxfId="40" dataDxfId="38" headerRowBorderDxfId="39" tableBorderDxfId="37" totalsRowBorderDxfId="36">
  <autoFilter ref="A1:L10" xr:uid="{5D34ED40-7241-4E7F-AB39-9B7FBB6712F2}"/>
  <tableColumns count="12">
    <tableColumn id="1" xr3:uid="{E1C62C13-3989-4DEC-A7F0-B42E9873CFFE}" name="City" dataDxfId="35"/>
    <tableColumn id="2" xr3:uid="{D3CA4251-60FD-48CC-B8D7-3D5556AC9E82}" name="population" dataDxfId="34"/>
    <tableColumn id="3" xr3:uid="{22A0B2D5-65B8-4ACF-A9A7-9253F6104B00}" name="total_crime" dataDxfId="33"/>
    <tableColumn id="4" xr3:uid="{109B2409-857A-49FB-A5BE-28AD32FA84A7}" name="murder" dataDxfId="32"/>
    <tableColumn id="5" xr3:uid="{41A175FD-8437-4CC0-9C1F-67EFC9CB300A}" name="rape" dataDxfId="31"/>
    <tableColumn id="6" xr3:uid="{D066E595-238E-4185-9CA9-DA2C1352B1BD}" name="robbery" dataDxfId="30"/>
    <tableColumn id="7" xr3:uid="{3106D3CC-D453-4431-9F9E-57D8BFC97AA0}" name="agrv_assault" dataDxfId="29"/>
    <tableColumn id="8" xr3:uid="{08D77383-A080-41C2-9F33-156F90602660}" name="tot_violent_crime" dataDxfId="28"/>
    <tableColumn id="9" xr3:uid="{4F607D3D-CBA7-4B3F-98B7-0FB1FC399EFF}" name="burglary" dataDxfId="27"/>
    <tableColumn id="10" xr3:uid="{683A5947-F93A-4126-8C55-F09C601FC070}" name="larceny" dataDxfId="26"/>
    <tableColumn id="11" xr3:uid="{BD4BE6BC-DF27-41EC-AB0E-F857A3A8BD79}" name="vehicle_theft" dataDxfId="25"/>
    <tableColumn id="12" xr3:uid="{CAC70CF8-E36E-40FC-9B11-3DA847FEA087}" name="tot_prop_crim" dataDxfId="2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73F6095-DBF1-4B73-831C-D280C968523A}" name="HC_1" displayName="HC_1" ref="A1:E18" tableType="queryTable" totalsRowShown="0">
  <autoFilter ref="A1:E18" xr:uid="{273F6095-DBF1-4B73-831C-D280C968523A}"/>
  <tableColumns count="5">
    <tableColumn id="1" xr3:uid="{9B675F05-917F-49BC-9CD1-2AC2AE4ABD8D}" uniqueName="1" name="City" queryTableFieldId="1" dataDxfId="23"/>
    <tableColumn id="2" xr3:uid="{39B144E1-1974-46EC-80A2-6FABC9E7841B}" uniqueName="2" name="StateAbb" queryTableFieldId="2" dataDxfId="22"/>
    <tableColumn id="3" xr3:uid="{17663EFB-8241-4995-8B08-8A76601AE912}" uniqueName="3" name="StateFullName" queryTableFieldId="3" dataDxfId="21"/>
    <tableColumn id="4" xr3:uid="{F841D506-5B75-47A2-875C-79CE88C46A76}" uniqueName="4" name="Health Care Index" queryTableFieldId="4"/>
    <tableColumn id="5" xr3:uid="{D537C659-192B-40D1-92FC-3FA755EEE425}" uniqueName="5" name="Health Care Exp. Index" queryTableFieldId="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46CA57-E918-42CF-9D6A-07451BE9A7A3}" name="Cost_Of_living_query" displayName="Cost_Of_living_query" ref="A1:I19" tableType="queryTable" totalsRowShown="0">
  <autoFilter ref="A1:I19" xr:uid="{8946CA57-E918-42CF-9D6A-07451BE9A7A3}"/>
  <tableColumns count="9">
    <tableColumn id="1" xr3:uid="{2321ABC3-C260-4020-9316-C991885F48F9}" uniqueName="1" name="City" queryTableFieldId="1" dataDxfId="20"/>
    <tableColumn id="2" xr3:uid="{B60BD500-840E-4026-AD70-BC6E619658BC}" uniqueName="2" name="StateAbb" queryTableFieldId="2" dataDxfId="19"/>
    <tableColumn id="3" xr3:uid="{D774A9D3-A423-4B79-9D43-307E12D84CC7}" uniqueName="3" name="State Full Name" queryTableFieldId="3" dataDxfId="18"/>
    <tableColumn id="4" xr3:uid="{4F90565C-F12F-48CC-B79C-22E1F2A096FA}" uniqueName="4" name="Cost of Living Index" queryTableFieldId="4"/>
    <tableColumn id="5" xr3:uid="{86795F54-A3EA-4E05-A3E0-13C5B55C0985}" uniqueName="5" name="Rent Index" queryTableFieldId="5"/>
    <tableColumn id="6" xr3:uid="{B47F6D2F-5BA1-49C5-B046-BB6A87509B86}" uniqueName="6" name="Cost of Living Plus Rent Index" queryTableFieldId="6"/>
    <tableColumn id="7" xr3:uid="{8F78670B-6F59-410C-8805-4F14C160BF65}" uniqueName="7" name="Groceries Index" queryTableFieldId="7"/>
    <tableColumn id="8" xr3:uid="{1EBCF30C-0E69-4849-B116-0E27E89427A7}" uniqueName="8" name="Restaurant Price Index" queryTableFieldId="8"/>
    <tableColumn id="9" xr3:uid="{F41E5A2C-C13D-4FC4-B019-A6BE23B9FB09}" uniqueName="9" name="Local Purchasing Power Index" queryTableFieldId="9"/>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8B4A09F-B0B6-4C31-981A-5A18CCE24FDA}" name="QLnCL_query" displayName="QLnCL_query" ref="A1:O19" tableType="queryTable" totalsRowShown="0">
  <autoFilter ref="A1:O19" xr:uid="{88B4A09F-B0B6-4C31-981A-5A18CCE24FDA}"/>
  <tableColumns count="15">
    <tableColumn id="1" xr3:uid="{D4A31C0F-E8AC-4682-92B1-CA6D5D9EFEAA}" uniqueName="1" name="City" queryTableFieldId="1" dataDxfId="17"/>
    <tableColumn id="2" xr3:uid="{FD408FD5-64D0-4203-A8EC-B97F6F6CF95A}" uniqueName="2" name="StateAbb" queryTableFieldId="2" dataDxfId="16"/>
    <tableColumn id="3" xr3:uid="{FC44CC79-6CBB-4A1B-8CCC-8B1D847228E6}" uniqueName="3" name="State FullName" queryTableFieldId="3" dataDxfId="15"/>
    <tableColumn id="4" xr3:uid="{BE325005-B7AA-4AD0-96E5-008BF9F34EDA}" uniqueName="4" name="Quality of Life Index" queryTableFieldId="4"/>
    <tableColumn id="5" xr3:uid="{0E421B91-3796-4690-B80B-96FB79FD646F}" uniqueName="5" name="Purchasing Power Index" queryTableFieldId="5"/>
    <tableColumn id="6" xr3:uid="{BD4A35BC-071A-4CF2-8E21-4227C105D286}" uniqueName="6" name="Safety Index" queryTableFieldId="6"/>
    <tableColumn id="7" xr3:uid="{1F0F478F-8874-4F57-BA2B-56FD4D62637D}" uniqueName="7" name="Health Care Index" queryTableFieldId="7"/>
    <tableColumn id="8" xr3:uid="{52AC9273-C708-42A9-A8DB-3A1DA4C488CD}" uniqueName="8" name="Cost of Living Index" queryTableFieldId="8"/>
    <tableColumn id="9" xr3:uid="{FAF73E57-36DE-4A94-AD3F-5FF1A3F97FF3}" uniqueName="9" name="Property Price to Income Ratio" queryTableFieldId="9"/>
    <tableColumn id="10" xr3:uid="{966310D8-660F-465B-9410-E8233CFAF598}" uniqueName="10" name="Traffic Commute Time Index" queryTableFieldId="10"/>
    <tableColumn id="11" xr3:uid="{6C30B283-6069-4B8B-9EF9-0E90F5C72B74}" uniqueName="11" name="Pollution Index" queryTableFieldId="11"/>
    <tableColumn id="12" xr3:uid="{AE12FC44-24FF-4F8E-8CD6-8758A2A65B10}" uniqueName="12" name="Climate Index" queryTableFieldId="12"/>
    <tableColumn id="13" xr3:uid="{CCCA3D46-7893-4A2B-B15D-894698DD2610}" uniqueName="13" name="Rent Index" queryTableFieldId="13"/>
    <tableColumn id="14" xr3:uid="{AAEC2C5E-EB80-41EF-A957-5199AB76E17C}" uniqueName="14" name="Restaurant Price Index" queryTableFieldId="14"/>
    <tableColumn id="15" xr3:uid="{86A6520B-65B1-4700-914C-295F61009C70}" uniqueName="15" name="Local Purchasing Power Index" queryTableFieldId="1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3592CE-7047-4662-8BF4-426FCED139C4}" name="QLnCLnHC" displayName="QLnCLnHC" ref="A1:Q18" tableType="queryTable" totalsRowShown="0">
  <autoFilter ref="A1:Q18" xr:uid="{403592CE-7047-4662-8BF4-426FCED139C4}"/>
  <tableColumns count="17">
    <tableColumn id="1" xr3:uid="{112394AF-1232-4EE3-B83E-4404235389C0}" uniqueName="1" name="City" queryTableFieldId="1" dataDxfId="14"/>
    <tableColumn id="2" xr3:uid="{5B3C5B93-9C8A-499E-AB4E-41255545E500}" uniqueName="2" name="StateAbb" queryTableFieldId="2" dataDxfId="13"/>
    <tableColumn id="3" xr3:uid="{129A37C2-9185-4544-A87C-904DB4FA0368}" uniqueName="3" name="State FullName" queryTableFieldId="3" dataDxfId="12"/>
    <tableColumn id="4" xr3:uid="{C6939820-566B-4A93-AD98-159DA00651AE}" uniqueName="4" name="Quality of Life Index" queryTableFieldId="4"/>
    <tableColumn id="5" xr3:uid="{D9FB079E-90D1-4C22-A403-F1A786B2EE9E}" uniqueName="5" name="Purchasing Power Index" queryTableFieldId="5"/>
    <tableColumn id="6" xr3:uid="{CC40625E-9771-4100-B42F-FC1507F7ADFE}" uniqueName="6" name="Safety Index" queryTableFieldId="6"/>
    <tableColumn id="7" xr3:uid="{10DF59DA-CD1C-43E7-B2C0-A2C970C2D9A8}" uniqueName="7" name="Health Care Index" queryTableFieldId="7"/>
    <tableColumn id="8" xr3:uid="{92BEDC67-B326-421A-AEE4-8450A908C44D}" uniqueName="8" name="Cost of Living Index" queryTableFieldId="8"/>
    <tableColumn id="9" xr3:uid="{41163320-0D3E-49B1-AF54-E7737163EC36}" uniqueName="9" name="Property Price to Income Ratio" queryTableFieldId="9"/>
    <tableColumn id="10" xr3:uid="{663CD3B9-44F2-48AE-B8E7-6DEC5F7B0A72}" uniqueName="10" name="Traffic Commute Time Index" queryTableFieldId="10"/>
    <tableColumn id="11" xr3:uid="{9440B94F-CB93-48D0-9AB8-4F6FFC4829C1}" uniqueName="11" name="Pollution Index" queryTableFieldId="11"/>
    <tableColumn id="12" xr3:uid="{FD4CD414-D062-490D-9281-73E77002398B}" uniqueName="12" name="Climate Index" queryTableFieldId="12"/>
    <tableColumn id="13" xr3:uid="{8D3D7C7E-2764-4960-A65A-06749DFBCDF6}" uniqueName="13" name="Rent Index" queryTableFieldId="13"/>
    <tableColumn id="14" xr3:uid="{5F76A2BB-30FD-45C5-92E1-3FAA1492DC34}" uniqueName="14" name="Restaurant Price Index" queryTableFieldId="14"/>
    <tableColumn id="15" xr3:uid="{E583748B-71F0-438A-B7C5-C5F30609147C}" uniqueName="15" name="Local Purchasing Power Index" queryTableFieldId="15"/>
    <tableColumn id="16" xr3:uid="{83626A89-9189-4388-B90B-BCD1224544F6}" uniqueName="16" name="Health Care Index.1" queryTableFieldId="16"/>
    <tableColumn id="17" xr3:uid="{E21E9850-423A-4DC9-8695-86833F04CC9A}" uniqueName="17" name="Health Care Exp. Index" queryTableFieldId="1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E6B0D2-42A8-43C9-B3F7-886FD0C388F5}" name="Final_Merged" displayName="Final_Merged" ref="A1:Z11" tableType="queryTable" totalsRowShown="0">
  <autoFilter ref="A1:Z11" xr:uid="{DBE6B0D2-42A8-43C9-B3F7-886FD0C388F5}"/>
  <tableColumns count="26">
    <tableColumn id="1" xr3:uid="{51DE9287-7479-4BA3-9DA9-8575C69DC0CC}" uniqueName="1" name="City" queryTableFieldId="1" dataDxfId="11"/>
    <tableColumn id="2" xr3:uid="{642321F1-BDB0-4F60-BE6F-27040B2D3F0D}" uniqueName="2" name="State Abb" queryTableFieldId="2" dataDxfId="10"/>
    <tableColumn id="3" xr3:uid="{42645F33-FDAE-49AF-9052-54F48FD53E65}" uniqueName="3" name="State Full Name" queryTableFieldId="3" dataDxfId="9"/>
    <tableColumn id="4" xr3:uid="{B25D6D9F-7132-4EBB-BC38-E0AFB375FCE9}" uniqueName="4" name="Traffic Index" queryTableFieldId="4"/>
    <tableColumn id="5" xr3:uid="{1A0A1E51-F1AA-4D57-B3C8-B62AFB8C9C65}" uniqueName="5" name="Time Index (in minutes)" queryTableFieldId="5"/>
    <tableColumn id="6" xr3:uid="{149B35E9-0C3F-4423-B7E3-C149565B40B9}" uniqueName="6" name="Time Exp. Index" queryTableFieldId="6"/>
    <tableColumn id="7" xr3:uid="{A4074BC5-1CE9-407E-B5C1-0368DDA92392}" uniqueName="7" name="Insufficiency Index" queryTableFieldId="7"/>
    <tableColumn id="8" xr3:uid="{7E62D852-5453-4C3E-9259-27B73F631059}" uniqueName="8" name="CO2 Emission Index" queryTableFieldId="8"/>
    <tableColumn id="9" xr3:uid="{05E1F376-8E44-434E-BB30-957563AD6FD5}" uniqueName="9" name="Temperature-High (°F)" queryTableFieldId="9"/>
    <tableColumn id="10" xr3:uid="{0DC12FE7-3753-4E78-879A-89C193AE33FB}" uniqueName="10" name="Temperature-Low (°F)" queryTableFieldId="10"/>
    <tableColumn id="11" xr3:uid="{E366988F-A9E0-46F3-812B-6E2E9ED2627E}" uniqueName="11" name="population" queryTableFieldId="11"/>
    <tableColumn id="12" xr3:uid="{09EC38EE-5A7D-4A5F-9402-0BDF6A38DE36}" uniqueName="12" name="total_crime" queryTableFieldId="12"/>
    <tableColumn id="13" xr3:uid="{C6D5A24B-4174-4B62-B975-10A7ACFF6AA7}" uniqueName="13" name="murder" queryTableFieldId="13"/>
    <tableColumn id="14" xr3:uid="{4E31BE1B-B191-4AC4-AEE8-661826B6545F}" uniqueName="14" name="rape" queryTableFieldId="14"/>
    <tableColumn id="15" xr3:uid="{65286710-F661-4E46-8991-4F0B4C209965}" uniqueName="15" name="robbery" queryTableFieldId="15"/>
    <tableColumn id="16" xr3:uid="{073D7C2F-F2E4-46AB-96B9-DCC950B4CB90}" uniqueName="16" name="agrv_assault" queryTableFieldId="16"/>
    <tableColumn id="17" xr3:uid="{70040789-B169-4AF5-AEC1-D4115CFB7416}" uniqueName="17" name="tot_violent_crime" queryTableFieldId="17"/>
    <tableColumn id="18" xr3:uid="{6F4B3949-5623-4B09-B29E-9FFF7E0A0E11}" uniqueName="18" name="burglary" queryTableFieldId="18"/>
    <tableColumn id="19" xr3:uid="{923C9811-A55D-49EE-86CE-A45675F00F32}" uniqueName="19" name="larceny" queryTableFieldId="19"/>
    <tableColumn id="20" xr3:uid="{1BE85FEC-11E2-49AE-B2D1-07724F23BDF8}" uniqueName="20" name="vehicle_theft" queryTableFieldId="20"/>
    <tableColumn id="21" xr3:uid="{9BF707BE-ABAE-4C1F-8554-968DDAB87F35}" uniqueName="21" name="tot_prop_crim" queryTableFieldId="21"/>
    <tableColumn id="22" xr3:uid="{2DF0D354-886D-4C88-857A-DFB6D81F8F66}" uniqueName="22" name="Median Household Income" queryTableFieldId="22"/>
    <tableColumn id="23" xr3:uid="{A396A409-A3ED-4C85-BC7B-1BCC3C87791E}" uniqueName="23" name="AQI" queryTableFieldId="23"/>
    <tableColumn id="24" xr3:uid="{CD448A42-6670-4522-B310-12B2C04D82E8}" uniqueName="24" name="State Tax Rate" queryTableFieldId="24"/>
    <tableColumn id="25" xr3:uid="{C1FBB661-BFA9-49D2-BD11-6724305DDECF}" uniqueName="25" name="Avg local total rate" queryTableFieldId="25"/>
    <tableColumn id="26" xr3:uid="{D466A41A-AC2C-4C83-8248-7887049F917E}" uniqueName="26" name="Combined Rate" queryTableFieldId="2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F145A1F-5B9E-4433-B4F2-3AE2B9D5C047}" name="Table9_2" displayName="Table9_2" ref="C15:K17" tableType="queryTable" totalsRowShown="0">
  <autoFilter ref="C15:K17" xr:uid="{0F145A1F-5B9E-4433-B4F2-3AE2B9D5C047}"/>
  <tableColumns count="9">
    <tableColumn id="1" xr3:uid="{37C026EA-E559-40EA-9A65-CAD2E678B845}" uniqueName="1" name="Atlanta" queryTableFieldId="1"/>
    <tableColumn id="2" xr3:uid="{5CF121C1-6470-434B-A3E6-D7C0B6F00C89}" uniqueName="2" name="Boston" queryTableFieldId="2"/>
    <tableColumn id="3" xr3:uid="{2062381E-F23B-48DD-A787-AB25DCF3967F}" uniqueName="3" name="Chicago" queryTableFieldId="3"/>
    <tableColumn id="4" xr3:uid="{3835DA15-9C10-4710-8EBC-BC7E8EF615ED}" uniqueName="4" name="Denver" queryTableFieldId="4"/>
    <tableColumn id="5" xr3:uid="{CE819DF0-5F7A-4DD2-8CAB-6B1FF59EA841}" uniqueName="5" name="Las Vegas" queryTableFieldId="5"/>
    <tableColumn id="6" xr3:uid="{33AD4D3F-07AA-40DA-B1B8-C64BC667BD22}" uniqueName="6" name="New York" queryTableFieldId="6"/>
    <tableColumn id="7" xr3:uid="{37B4FE33-6FFB-412E-BB99-B94D1A6EEE36}" uniqueName="7" name="San Francisco" queryTableFieldId="7"/>
    <tableColumn id="8" xr3:uid="{7EEF02BC-E89C-4855-8ED0-A9D160FBC8BD}" uniqueName="8" name="Seattle" queryTableFieldId="8"/>
    <tableColumn id="9" xr3:uid="{AC5E00A5-8FCB-495B-967A-A28A3EDAE998}" uniqueName="9" name="Tampa" queryTableField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6AA6A2-8ED8-4B37-9709-BF4155B27EA2}" name="Quality_Life_1" displayName="Quality_Life_1" ref="A1:L19" tableType="queryTable" totalsRowShown="0">
  <autoFilter ref="A1:L19" xr:uid="{6C6AA6A2-8ED8-4B37-9709-BF4155B27EA2}"/>
  <tableColumns count="12">
    <tableColumn id="1" xr3:uid="{78C65319-D5B4-49E8-B517-7A72AE03F5B1}" uniqueName="1" name="City" queryTableFieldId="1" dataDxfId="8"/>
    <tableColumn id="2" xr3:uid="{6EEF3420-457D-4378-B0F8-B6B5CC9CE890}" uniqueName="2" name="StateAbb" queryTableFieldId="2" dataDxfId="7"/>
    <tableColumn id="3" xr3:uid="{CF593B4E-D2F2-4BD2-A87A-B96012A381A5}" uniqueName="3" name="State FullName" queryTableFieldId="3" dataDxfId="6"/>
    <tableColumn id="4" xr3:uid="{D0F05EEF-2D32-446E-BDB7-B4C8AE1F8B9D}" uniqueName="4" name="Quality of Life Index" queryTableFieldId="4"/>
    <tableColumn id="5" xr3:uid="{BDA7D8D8-CC39-441D-B77A-07CD5FCFBC42}" uniqueName="5" name="Purchasing Power Index" queryTableFieldId="5"/>
    <tableColumn id="6" xr3:uid="{9C83AE17-0BA4-4DD7-89EF-714FA2BD2D85}" uniqueName="6" name="Safety Index" queryTableFieldId="6"/>
    <tableColumn id="7" xr3:uid="{59560F83-71A8-447F-9C8E-01EDC6207FC6}" uniqueName="7" name="Health Care Index" queryTableFieldId="7"/>
    <tableColumn id="8" xr3:uid="{2DC943CA-DEC1-4E4C-91DE-B04A2792E584}" uniqueName="8" name="Cost of Living Index" queryTableFieldId="8"/>
    <tableColumn id="9" xr3:uid="{D6309B9E-D00A-4E8C-BDFA-ECACBBE638B2}" uniqueName="9" name="Property Price to Income Ratio" queryTableFieldId="9"/>
    <tableColumn id="10" xr3:uid="{87210D3E-B52F-433A-A8DF-5C62E70E8158}" uniqueName="10" name="Traffic Commute Time Index" queryTableFieldId="10"/>
    <tableColumn id="11" xr3:uid="{1C9BD840-4146-4094-83FD-2E5ABABF0AA7}" uniqueName="11" name="Pollution Index" queryTableFieldId="11"/>
    <tableColumn id="12" xr3:uid="{7CF06AE8-3510-4B0D-8AF8-5EF853A60145}" uniqueName="12" name="Climate Index" queryTableFieldId="1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556656E-4715-4EFA-81E8-4F83D18C8777}" name="Table9__2" displayName="Table9__2" ref="I4:K13" tableType="queryTable" totalsRowShown="0">
  <autoFilter ref="I4:K13" xr:uid="{4556656E-4715-4EFA-81E8-4F83D18C8777}"/>
  <tableColumns count="3">
    <tableColumn id="1" xr3:uid="{E3D63252-6FE4-4A24-8586-647CF478756E}" uniqueName="1" name="Row Labels" queryTableFieldId="1" dataDxfId="5"/>
    <tableColumn id="2" xr3:uid="{8E65AA87-1190-45E7-B638-2DB9AB0CA964}" uniqueName="2" name="High Temperature (°F)" queryTableFieldId="2"/>
    <tableColumn id="3" xr3:uid="{496ABB8D-A5DA-4465-A8A8-2C59996A1B4C}" uniqueName="3" name="Low Temperature (°F)"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67AAA7-1D84-4E41-826C-5FB47545501A}" name="Table9" displayName="Table9" ref="E3:G12" totalsRowShown="0">
  <autoFilter ref="E3:G12" xr:uid="{3D67AAA7-1D84-4E41-826C-5FB47545501A}"/>
  <tableColumns count="3">
    <tableColumn id="1" xr3:uid="{EF55A796-3D25-4885-821F-244273E893F6}" name="Row Labels">
      <calculatedColumnFormula>A4</calculatedColumnFormula>
    </tableColumn>
    <tableColumn id="2" xr3:uid="{2309A641-E781-411C-B3BE-03F73016358B}" name="High Temperature (°F)">
      <calculatedColumnFormula>B4</calculatedColumnFormula>
    </tableColumn>
    <tableColumn id="3" xr3:uid="{02D1FD1E-B86D-430C-A400-2123B975FEEB}" name="Low Temperature (°F)">
      <calculatedColumnFormula>C4</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E7EB0C8-8FA3-448A-B6E7-F43299057ADD}" name="Cities" displayName="Cities" ref="E1:E10" totalsRowShown="0" dataDxfId="2" tableBorderDxfId="1">
  <autoFilter ref="E1:E10" xr:uid="{EE7EB0C8-8FA3-448A-B6E7-F43299057ADD}"/>
  <tableColumns count="1">
    <tableColumn id="1" xr3:uid="{1AAD77E7-08DB-4834-A2A2-DD7578FB26F3}" name="Citi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 dT="2023-11-25T17:06:42.13" personId="{BA4D6D9E-36D4-4395-9EC2-D16F6CFB97EE}" id="{06225B93-85FD-4278-8328-C5454EF3A7B3}">
    <text>IS this in minutes? Please check and let me know na.</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17990C-7C8E-4933-855A-0707F2ED5084}">
  <we:reference id="wa200005502" version="1.0.0.9" store="en-US" storeType="omex"/>
  <we:alternateReferences>
    <we:reference id="wa200005502" version="1.0.0.9" store="en-US" storeType="omex"/>
  </we:alternateReferences>
  <we:properties>
    <we:property name="docId" value="&quot;eXoxCrCytSMm0EI6KtYJT&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5.xml"/><Relationship Id="rId1" Type="http://schemas.openxmlformats.org/officeDocument/2006/relationships/vmlDrawing" Target="../drawings/vmlDrawing2.vml"/><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hyperlink" Target="https://www.numbeo.com/quality-of-life/country_result.jsp?country=United+States" TargetMode="External"/><Relationship Id="rId3" Type="http://schemas.openxmlformats.org/officeDocument/2006/relationships/hyperlink" Target="file:///F:\UMASS%20AMHERST%20FALL%202023\601\Project\US%20States%20Annual%20Average%20Temperature" TargetMode="External"/><Relationship Id="rId7" Type="http://schemas.openxmlformats.org/officeDocument/2006/relationships/hyperlink" Target="https://www.statista.com/statistics/205609/median-household-income-in-the-top-20-most-populated-cities-in-the-us/" TargetMode="External"/><Relationship Id="rId2" Type="http://schemas.openxmlformats.org/officeDocument/2006/relationships/hyperlink" Target="file:///F:\UMASS%20AMHERST%20FALL%202023\601\Project\Crime%20Rates%20in%20Cities,%20US" TargetMode="External"/><Relationship Id="rId1" Type="http://schemas.openxmlformats.org/officeDocument/2006/relationships/hyperlink" Target="https://www.numbeo.com/traffic/country_result.jsp?country=United+States" TargetMode="External"/><Relationship Id="rId6" Type="http://schemas.openxmlformats.org/officeDocument/2006/relationships/hyperlink" Target="https://aqs.epa.gov/aqsweb/airdata/download_files.html" TargetMode="External"/><Relationship Id="rId11" Type="http://schemas.openxmlformats.org/officeDocument/2006/relationships/image" Target="../media/image18.png"/><Relationship Id="rId5" Type="http://schemas.openxmlformats.org/officeDocument/2006/relationships/hyperlink" Target="https://www.numbeo.com/health-care/country_result.jsp?country=United+States" TargetMode="External"/><Relationship Id="rId10" Type="http://schemas.openxmlformats.org/officeDocument/2006/relationships/drawing" Target="../drawings/drawing2.xml"/><Relationship Id="rId4" Type="http://schemas.openxmlformats.org/officeDocument/2006/relationships/hyperlink" Target="file:///F:\UMASS%20AMHERST%20FALL%202023\601\Project\US%20Cost%20of%20Living" TargetMode="External"/><Relationship Id="rId9"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ivotTable" Target="../pivotTables/pivotTable4.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033A3-EB6B-485B-B543-D4D970E430D4}">
  <sheetPr codeName="Sheet1"/>
  <dimension ref="B2:E59"/>
  <sheetViews>
    <sheetView showGridLines="0" tabSelected="1" zoomScale="60" zoomScaleNormal="160" workbookViewId="0">
      <selection activeCell="E42" sqref="E42"/>
    </sheetView>
  </sheetViews>
  <sheetFormatPr defaultRowHeight="15" x14ac:dyDescent="0.25"/>
  <cols>
    <col min="1" max="1" width="9.140625" customWidth="1"/>
    <col min="2" max="2" width="25.140625" bestFit="1" customWidth="1"/>
    <col min="4" max="4" width="19.7109375" bestFit="1" customWidth="1"/>
    <col min="5" max="5" width="14.7109375" bestFit="1" customWidth="1"/>
    <col min="27" max="27" width="15" bestFit="1" customWidth="1"/>
    <col min="28" max="28" width="13.7109375" bestFit="1" customWidth="1"/>
    <col min="29" max="29" width="12.140625" bestFit="1" customWidth="1"/>
  </cols>
  <sheetData>
    <row r="2" spans="2:2" ht="15.75" x14ac:dyDescent="0.25">
      <c r="B2" s="52" t="s">
        <v>0</v>
      </c>
    </row>
    <row r="3" spans="2:2" x14ac:dyDescent="0.25">
      <c r="B3" s="45"/>
    </row>
    <row r="4" spans="2:2" x14ac:dyDescent="0.25">
      <c r="B4" s="45"/>
    </row>
    <row r="5" spans="2:2" ht="15.75" x14ac:dyDescent="0.25">
      <c r="B5" s="53" t="s">
        <v>83</v>
      </c>
    </row>
    <row r="7" spans="2:2" ht="15.75" x14ac:dyDescent="0.25">
      <c r="B7" s="54" t="s">
        <v>2</v>
      </c>
    </row>
    <row r="8" spans="2:2" x14ac:dyDescent="0.25">
      <c r="B8" s="46"/>
    </row>
    <row r="9" spans="2:2" x14ac:dyDescent="0.25">
      <c r="B9" s="45"/>
    </row>
    <row r="10" spans="2:2" ht="15.75" x14ac:dyDescent="0.25">
      <c r="B10" s="55">
        <f>_xlfn.XLOOKUP(B5, FullandFinal_Project[City], FullandFinal_Project[Quality of Life Index], "City Not Enlisted")</f>
        <v>165.8</v>
      </c>
    </row>
    <row r="12" spans="2:2" ht="15.75" x14ac:dyDescent="0.25">
      <c r="B12" s="56" t="s">
        <v>3</v>
      </c>
    </row>
    <row r="13" spans="2:2" x14ac:dyDescent="0.25">
      <c r="B13" s="45"/>
    </row>
    <row r="14" spans="2:2" x14ac:dyDescent="0.25">
      <c r="B14" s="45"/>
    </row>
    <row r="15" spans="2:2" ht="15.75" x14ac:dyDescent="0.25">
      <c r="B15" s="55">
        <f>_xlfn.XLOOKUP(B5, FullandFinal_Project[City], FullandFinal_Project[Cost of Living Index], "City Not Enlisted")</f>
        <v>89.8</v>
      </c>
    </row>
    <row r="17" spans="2:5" ht="15.75" x14ac:dyDescent="0.25">
      <c r="B17" s="56" t="s">
        <v>4</v>
      </c>
    </row>
    <row r="18" spans="2:5" x14ac:dyDescent="0.25">
      <c r="B18" s="45"/>
    </row>
    <row r="19" spans="2:5" x14ac:dyDescent="0.25">
      <c r="B19" s="45"/>
    </row>
    <row r="20" spans="2:5" x14ac:dyDescent="0.25">
      <c r="B20" s="45"/>
    </row>
    <row r="21" spans="2:5" ht="15.75" x14ac:dyDescent="0.25">
      <c r="B21" s="57">
        <f>_xlfn.XLOOKUP(B5, FullandFinal_Project[City], FullandFinal_Project[Pollution Index], "City Not Enlisted")</f>
        <v>31.8</v>
      </c>
      <c r="D21" s="60" t="s">
        <v>11</v>
      </c>
      <c r="E21" s="61" t="s">
        <v>138</v>
      </c>
    </row>
    <row r="23" spans="2:5" ht="15.75" x14ac:dyDescent="0.25">
      <c r="B23" s="56" t="s">
        <v>5</v>
      </c>
      <c r="D23" s="60" t="s">
        <v>139</v>
      </c>
      <c r="E23" s="61" t="s">
        <v>142</v>
      </c>
    </row>
    <row r="24" spans="2:5" x14ac:dyDescent="0.25">
      <c r="B24" s="45"/>
      <c r="D24" s="62" t="s">
        <v>1</v>
      </c>
      <c r="E24" s="61">
        <v>51.759124087591239</v>
      </c>
    </row>
    <row r="25" spans="2:5" x14ac:dyDescent="0.25">
      <c r="B25" s="45"/>
      <c r="D25" s="62" t="s">
        <v>83</v>
      </c>
      <c r="E25" s="61">
        <v>44.582417582417584</v>
      </c>
    </row>
    <row r="26" spans="2:5" ht="15.75" x14ac:dyDescent="0.25">
      <c r="B26" s="55">
        <f>_xlfn.XLOOKUP(Dashboard!B5, Dataset!A2:A10, Dataset!F2:F10, "City not Enlisted")</f>
        <v>110.1</v>
      </c>
      <c r="D26" s="62" t="s">
        <v>86</v>
      </c>
      <c r="E26" s="61">
        <v>56.21897810218978</v>
      </c>
    </row>
    <row r="27" spans="2:5" x14ac:dyDescent="0.25">
      <c r="D27" s="62" t="s">
        <v>89</v>
      </c>
      <c r="E27" s="61">
        <v>68.205673758865245</v>
      </c>
    </row>
    <row r="28" spans="2:5" ht="15.75" x14ac:dyDescent="0.25">
      <c r="B28" s="56" t="s">
        <v>6</v>
      </c>
      <c r="D28" s="62" t="s">
        <v>92</v>
      </c>
      <c r="E28" s="61">
        <v>66.142857142857139</v>
      </c>
    </row>
    <row r="29" spans="2:5" x14ac:dyDescent="0.25">
      <c r="B29" s="45"/>
      <c r="D29" s="62" t="s">
        <v>95</v>
      </c>
      <c r="E29" s="61">
        <v>56.335766423357661</v>
      </c>
    </row>
    <row r="30" spans="2:5" x14ac:dyDescent="0.25">
      <c r="B30" s="45"/>
      <c r="D30" s="62" t="s">
        <v>98</v>
      </c>
      <c r="E30" s="61">
        <v>46.950819672131146</v>
      </c>
    </row>
    <row r="31" spans="2:5" ht="15.75" x14ac:dyDescent="0.25">
      <c r="B31" s="55">
        <f>_xlfn.XLOOKUP(B5, Dataset!A2:A10, Dataset!J2:J10, "City not Enlisted")</f>
        <v>73</v>
      </c>
      <c r="D31" s="62" t="s">
        <v>101</v>
      </c>
      <c r="E31" s="61">
        <v>48.239436619718312</v>
      </c>
    </row>
    <row r="32" spans="2:5" x14ac:dyDescent="0.25">
      <c r="D32" s="62" t="s">
        <v>104</v>
      </c>
      <c r="E32" s="61">
        <v>50.292817679558013</v>
      </c>
    </row>
    <row r="33" spans="2:2" ht="15.75" x14ac:dyDescent="0.25">
      <c r="B33" s="56" t="s">
        <v>7</v>
      </c>
    </row>
    <row r="34" spans="2:2" x14ac:dyDescent="0.25">
      <c r="B34" s="45"/>
    </row>
    <row r="35" spans="2:2" x14ac:dyDescent="0.25">
      <c r="B35" s="45"/>
    </row>
    <row r="36" spans="2:2" ht="15.75" x14ac:dyDescent="0.25">
      <c r="B36" s="58" cm="1">
        <f t="array" ref="B36">_xlfn.XLOOKUP(B5, Dataset!A2:A10, FullandFinal_Project[population], "City Not Enlisted")</f>
        <v>682903</v>
      </c>
    </row>
    <row r="38" spans="2:2" ht="15.75" x14ac:dyDescent="0.25">
      <c r="B38" s="56" t="s">
        <v>8</v>
      </c>
    </row>
    <row r="39" spans="2:2" x14ac:dyDescent="0.25">
      <c r="B39" s="45"/>
    </row>
    <row r="40" spans="2:2" x14ac:dyDescent="0.25">
      <c r="B40" s="45"/>
    </row>
    <row r="41" spans="2:2" ht="15.75" x14ac:dyDescent="0.25">
      <c r="B41" s="59">
        <f>_xlfn.XLOOKUP(B5, FullandFinal_Project[City], FullandFinal_Project[Combined Rate], "City not Enlisted")</f>
        <v>7.0190000000000002E-2</v>
      </c>
    </row>
    <row r="49" spans="2:4" x14ac:dyDescent="0.25">
      <c r="B49" s="47"/>
    </row>
    <row r="58" spans="2:4" x14ac:dyDescent="0.25">
      <c r="D58" t="s">
        <v>230</v>
      </c>
    </row>
    <row r="59" spans="2:4" x14ac:dyDescent="0.25">
      <c r="D59" t="s">
        <v>231</v>
      </c>
    </row>
  </sheetData>
  <conditionalFormatting pivot="1" sqref="E24:E32">
    <cfRule type="colorScale" priority="1">
      <colorScale>
        <cfvo type="min"/>
        <cfvo type="percentile" val="50"/>
        <cfvo type="max"/>
        <color rgb="FF92D050"/>
        <color rgb="FFFFEB84"/>
        <color rgb="FFFF0000"/>
      </colorScale>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onclusion">
                <anchor moveWithCells="1" sizeWithCells="1">
                  <from>
                    <xdr:col>2</xdr:col>
                    <xdr:colOff>238125</xdr:colOff>
                    <xdr:row>38</xdr:row>
                    <xdr:rowOff>123825</xdr:rowOff>
                  </from>
                  <to>
                    <xdr:col>6</xdr:col>
                    <xdr:colOff>238125</xdr:colOff>
                    <xdr:row>41</xdr:row>
                    <xdr:rowOff>104775</xdr:rowOff>
                  </to>
                </anchor>
              </controlPr>
            </control>
          </mc:Choice>
        </mc:AlternateContent>
        <mc:AlternateContent xmlns:mc="http://schemas.openxmlformats.org/markup-compatibility/2006">
          <mc:Choice Requires="x14">
            <control shapeId="1027" r:id="rId5" name="Button 3">
              <controlPr defaultSize="0" print="0" autoFill="0" autoPict="0" macro="[0]!Customize_conclusion">
                <anchor moveWithCells="1" sizeWithCells="1">
                  <from>
                    <xdr:col>2</xdr:col>
                    <xdr:colOff>228600</xdr:colOff>
                    <xdr:row>45</xdr:row>
                    <xdr:rowOff>133350</xdr:rowOff>
                  </from>
                  <to>
                    <xdr:col>6</xdr:col>
                    <xdr:colOff>219075</xdr:colOff>
                    <xdr:row>48</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B0AE869-41FC-432D-A56A-92562722BA39}">
          <x14:formula1>
            <xm:f>Dataset!$A$2:$A$10</xm:f>
          </x14:formula1>
          <xm:sqref>B5</xm:sqref>
        </x14:dataValidation>
      </x14:dataValidation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2BBAF-ECDC-4006-8EAA-92F4EABD6D06}">
  <sheetPr codeName="Sheet2"/>
  <dimension ref="A2:J4"/>
  <sheetViews>
    <sheetView workbookViewId="0">
      <selection activeCell="B8" sqref="B8"/>
    </sheetView>
  </sheetViews>
  <sheetFormatPr defaultRowHeight="15" x14ac:dyDescent="0.25"/>
  <cols>
    <col min="1" max="1" width="15.42578125" style="63" bestFit="1" customWidth="1"/>
    <col min="2" max="2" width="26.140625" style="63" bestFit="1" customWidth="1"/>
    <col min="3" max="3" width="18.42578125" style="63" bestFit="1" customWidth="1"/>
    <col min="4" max="4" width="22.140625" style="63" bestFit="1" customWidth="1"/>
    <col min="5" max="5" width="12" style="63" bestFit="1" customWidth="1"/>
    <col min="6" max="6" width="29" style="63" bestFit="1" customWidth="1"/>
    <col min="7" max="7" width="28.42578125" style="63" bestFit="1" customWidth="1"/>
    <col min="8" max="8" width="17.42578125" style="63" bestFit="1" customWidth="1"/>
    <col min="9" max="9" width="11.140625" style="63" bestFit="1" customWidth="1"/>
    <col min="10" max="10" width="12.28515625" style="63" bestFit="1" customWidth="1"/>
    <col min="11" max="16384" width="9.140625" style="63"/>
  </cols>
  <sheetData>
    <row r="2" spans="1:10" ht="23.25" x14ac:dyDescent="0.35">
      <c r="A2" s="74" t="s">
        <v>162</v>
      </c>
      <c r="B2" s="74"/>
      <c r="C2" s="74"/>
      <c r="D2" s="74"/>
      <c r="E2" s="74"/>
      <c r="F2" s="74"/>
      <c r="G2" s="74"/>
      <c r="H2" s="74"/>
      <c r="I2" s="74"/>
      <c r="J2" s="74"/>
    </row>
    <row r="3" spans="1:10" x14ac:dyDescent="0.25">
      <c r="A3" s="64" t="s">
        <v>9</v>
      </c>
      <c r="B3" s="64" t="s">
        <v>5</v>
      </c>
      <c r="C3" s="64" t="s">
        <v>157</v>
      </c>
      <c r="D3" s="64" t="s">
        <v>156</v>
      </c>
      <c r="E3" s="64" t="s">
        <v>26</v>
      </c>
      <c r="F3" s="64" t="s">
        <v>159</v>
      </c>
      <c r="G3" s="64" t="s">
        <v>161</v>
      </c>
      <c r="H3" s="64" t="s">
        <v>205</v>
      </c>
      <c r="I3" s="64" t="s">
        <v>160</v>
      </c>
      <c r="J3" s="64" t="s">
        <v>158</v>
      </c>
    </row>
    <row r="4" spans="1:10" x14ac:dyDescent="0.25">
      <c r="A4" s="65" t="s">
        <v>98</v>
      </c>
      <c r="B4" s="68">
        <v>3.9677419354838706</v>
      </c>
      <c r="C4" s="69">
        <v>3.0324324324324321</v>
      </c>
      <c r="D4" s="69">
        <v>5</v>
      </c>
      <c r="E4" s="69">
        <v>4.5186440677966111</v>
      </c>
      <c r="F4" s="69">
        <v>1.8333333333333335</v>
      </c>
      <c r="G4" s="69">
        <v>2.931034482758621</v>
      </c>
      <c r="H4" s="70">
        <v>5</v>
      </c>
      <c r="I4" s="69">
        <v>1.4010288966133051</v>
      </c>
      <c r="J4" s="68">
        <v>3.9005401970130276</v>
      </c>
    </row>
  </sheetData>
  <mergeCells count="1">
    <mergeCell ref="A2:J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37120-4057-4661-A240-66ACA5C3F105}">
  <sheetPr codeName="Sheet3"/>
  <dimension ref="A1:AN52"/>
  <sheetViews>
    <sheetView topLeftCell="A13" zoomScale="60" zoomScaleNormal="60" workbookViewId="0">
      <selection activeCell="B19" sqref="B19"/>
    </sheetView>
  </sheetViews>
  <sheetFormatPr defaultRowHeight="15" x14ac:dyDescent="0.25"/>
  <cols>
    <col min="1" max="1" width="37.28515625" style="47" bestFit="1" customWidth="1"/>
    <col min="2" max="2" width="36" style="47" bestFit="1" customWidth="1"/>
    <col min="3" max="3" width="30.28515625" style="47" bestFit="1" customWidth="1"/>
    <col min="4" max="4" width="32.140625" style="47" bestFit="1" customWidth="1"/>
    <col min="5" max="5" width="36" style="47" bestFit="1" customWidth="1"/>
    <col min="6" max="6" width="31" style="47" bestFit="1" customWidth="1"/>
    <col min="7" max="7" width="30.85546875" style="47" bestFit="1" customWidth="1"/>
    <col min="8" max="8" width="31.7109375" style="47" bestFit="1" customWidth="1"/>
    <col min="9" max="9" width="42.140625" style="47" bestFit="1" customWidth="1"/>
    <col min="10" max="10" width="39.85546875" style="47" bestFit="1" customWidth="1"/>
    <col min="11" max="11" width="28.140625" style="47" bestFit="1" customWidth="1"/>
    <col min="12" max="12" width="27.5703125" style="47" bestFit="1" customWidth="1"/>
    <col min="13" max="13" width="24" style="47" bestFit="1" customWidth="1"/>
    <col min="14" max="14" width="36.42578125" style="47" bestFit="1" customWidth="1"/>
    <col min="15" max="15" width="41" style="47" bestFit="1" customWidth="1"/>
    <col min="16" max="16" width="31.5703125" style="47" bestFit="1" customWidth="1"/>
    <col min="17" max="17" width="33.5703125" style="47" bestFit="1" customWidth="1"/>
    <col min="18" max="18" width="25.42578125" style="47" bestFit="1" customWidth="1"/>
    <col min="19" max="19" width="32.140625" style="47" bestFit="1" customWidth="1"/>
    <col min="20" max="20" width="33.140625" style="47" bestFit="1" customWidth="1"/>
    <col min="21" max="21" width="31.28515625" style="47" bestFit="1" customWidth="1"/>
    <col min="22" max="22" width="31.5703125" style="47" bestFit="1" customWidth="1"/>
    <col min="23" max="24" width="33.5703125" style="47" bestFit="1" customWidth="1"/>
    <col min="25" max="25" width="24.140625" style="47" bestFit="1" customWidth="1"/>
    <col min="26" max="26" width="24.7109375" style="47" bestFit="1" customWidth="1"/>
    <col min="27" max="27" width="21.140625" style="47" bestFit="1" customWidth="1"/>
    <col min="28" max="28" width="18.7109375" style="47" bestFit="1" customWidth="1"/>
    <col min="29" max="29" width="22" style="47" bestFit="1" customWidth="1"/>
    <col min="30" max="30" width="25.28515625" style="47" bestFit="1" customWidth="1"/>
    <col min="31" max="31" width="32.42578125" style="47" bestFit="1" customWidth="1"/>
    <col min="32" max="32" width="21.7109375" style="47" bestFit="1" customWidth="1"/>
    <col min="33" max="33" width="21.140625" style="47" bestFit="1" customWidth="1"/>
    <col min="34" max="34" width="26.140625" style="47" bestFit="1" customWidth="1"/>
    <col min="35" max="35" width="33.42578125" style="47" bestFit="1" customWidth="1"/>
    <col min="36" max="36" width="38.7109375" style="47" bestFit="1" customWidth="1"/>
    <col min="37" max="37" width="17.5703125" style="47" bestFit="1" customWidth="1"/>
    <col min="38" max="38" width="27.28515625" style="47" bestFit="1" customWidth="1"/>
    <col min="39" max="39" width="30.5703125" style="47" bestFit="1" customWidth="1"/>
    <col min="40" max="40" width="31.7109375" style="47" bestFit="1" customWidth="1"/>
    <col min="41" max="16384" width="9.140625" style="47"/>
  </cols>
  <sheetData>
    <row r="1" spans="1:40" x14ac:dyDescent="0.25">
      <c r="A1" s="47" t="s">
        <v>9</v>
      </c>
      <c r="B1" s="47" t="s">
        <v>10</v>
      </c>
      <c r="C1" s="47" t="s">
        <v>11</v>
      </c>
      <c r="D1" s="47" t="s">
        <v>164</v>
      </c>
      <c r="E1" s="47" t="s">
        <v>165</v>
      </c>
      <c r="F1" s="47" t="s">
        <v>168</v>
      </c>
      <c r="G1" s="47" t="s">
        <v>166</v>
      </c>
      <c r="H1" s="47" t="s">
        <v>167</v>
      </c>
      <c r="I1" s="47" t="s">
        <v>169</v>
      </c>
      <c r="J1" s="47" t="s">
        <v>170</v>
      </c>
      <c r="K1" s="47" t="s">
        <v>171</v>
      </c>
      <c r="L1" s="47" t="s">
        <v>172</v>
      </c>
      <c r="M1" s="47" t="s">
        <v>173</v>
      </c>
      <c r="N1" s="47" t="s">
        <v>174</v>
      </c>
      <c r="O1" s="47" t="s">
        <v>175</v>
      </c>
      <c r="P1" s="47" t="s">
        <v>176</v>
      </c>
      <c r="Q1" s="47" t="s">
        <v>177</v>
      </c>
      <c r="R1" s="47" t="s">
        <v>178</v>
      </c>
      <c r="S1" s="47" t="s">
        <v>179</v>
      </c>
      <c r="T1" s="47" t="s">
        <v>180</v>
      </c>
      <c r="U1" s="47" t="s">
        <v>181</v>
      </c>
      <c r="V1" s="47" t="s">
        <v>182</v>
      </c>
      <c r="W1" s="47" t="s">
        <v>183</v>
      </c>
      <c r="X1" s="47" t="s">
        <v>184</v>
      </c>
      <c r="Y1" s="47" t="s">
        <v>185</v>
      </c>
      <c r="Z1" s="47" t="s">
        <v>186</v>
      </c>
      <c r="AA1" s="47" t="s">
        <v>187</v>
      </c>
      <c r="AB1" s="47" t="s">
        <v>188</v>
      </c>
      <c r="AC1" s="47" t="s">
        <v>59</v>
      </c>
      <c r="AD1" s="47" t="s">
        <v>189</v>
      </c>
      <c r="AE1" s="47" t="s">
        <v>190</v>
      </c>
      <c r="AF1" s="47" t="s">
        <v>65</v>
      </c>
      <c r="AG1" s="47" t="s">
        <v>67</v>
      </c>
      <c r="AH1" s="47" t="s">
        <v>191</v>
      </c>
      <c r="AI1" s="47" t="s">
        <v>192</v>
      </c>
      <c r="AJ1" s="47" t="s">
        <v>193</v>
      </c>
      <c r="AK1" s="47" t="s">
        <v>75</v>
      </c>
      <c r="AL1" s="47" t="s">
        <v>194</v>
      </c>
      <c r="AM1" s="47" t="s">
        <v>195</v>
      </c>
      <c r="AN1" s="47" t="s">
        <v>196</v>
      </c>
    </row>
    <row r="2" spans="1:40" x14ac:dyDescent="0.25">
      <c r="A2" s="47" t="str">
        <f>Dataset!A2</f>
        <v>Atlanta</v>
      </c>
      <c r="B2" s="47" t="str">
        <f>Dataset!B2</f>
        <v xml:space="preserve"> GA</v>
      </c>
      <c r="C2" s="47" t="str">
        <f>Dataset!C2</f>
        <v>Georgia</v>
      </c>
      <c r="D2" s="47">
        <f>Dataset!E2</f>
        <v>3.0652818991097903</v>
      </c>
      <c r="E2" s="47">
        <f>Dataset!G2</f>
        <v>3.161290322580645</v>
      </c>
      <c r="F2" s="47">
        <f>Dataset!I2</f>
        <v>1.428571428571429</v>
      </c>
      <c r="G2" s="47">
        <f>Dataset!K2</f>
        <v>3.9189189189189189</v>
      </c>
      <c r="H2" s="47">
        <f>Dataset!M2</f>
        <v>3.4047619047619055</v>
      </c>
      <c r="I2" s="47">
        <f>Dataset!O2</f>
        <v>1.7536231884057973</v>
      </c>
      <c r="J2" s="47">
        <f>Dataset!Q2</f>
        <v>3.2788844621513937</v>
      </c>
      <c r="K2" s="47">
        <f>Dataset!S2</f>
        <v>3.068965517241379</v>
      </c>
      <c r="L2" s="47">
        <f>Dataset!U2</f>
        <v>4.2585365853658548</v>
      </c>
      <c r="M2" s="47">
        <f>Dataset!W2</f>
        <v>2.1322033898305088</v>
      </c>
      <c r="N2" s="47">
        <f>Dataset!Y2</f>
        <v>2.9166666666666665</v>
      </c>
      <c r="O2" s="47">
        <f>Dataset!AA2</f>
        <v>3.5481481481481465</v>
      </c>
      <c r="P2" s="47">
        <f>Dataset!AC2</f>
        <v>3.9189189189189189</v>
      </c>
      <c r="Q2" s="47">
        <f>Dataset!AE2</f>
        <v>4.0991957104557635</v>
      </c>
      <c r="R2" s="47">
        <f>Dataset!AG2</f>
        <v>3.1319648093841637</v>
      </c>
      <c r="S2" s="47">
        <f>Dataset!AI2</f>
        <v>3.2788844621513937</v>
      </c>
      <c r="T2" s="47">
        <f>Dataset!AK2</f>
        <v>2.0169024505364135</v>
      </c>
      <c r="U2" s="47">
        <f>Dataset!AM2</f>
        <v>1.8130968622100951</v>
      </c>
      <c r="V2" s="47">
        <f>Dataset!AO2</f>
        <v>4.9475395416777923</v>
      </c>
      <c r="W2" s="47">
        <f>Dataset!AQ2</f>
        <v>3.3333333333333335</v>
      </c>
      <c r="X2" s="47">
        <f>Dataset!AS2</f>
        <v>3.3448275862068964</v>
      </c>
      <c r="Y2" s="47">
        <f>Dataset!AU2</f>
        <v>1.0460736143128782</v>
      </c>
      <c r="Z2" s="47">
        <f>Dataset!AW2</f>
        <v>4.0345624970841261</v>
      </c>
      <c r="AA2" s="47">
        <f>Dataset!AY2</f>
        <v>4.5023537323470073</v>
      </c>
      <c r="AB2" s="47">
        <f>Dataset!BA2</f>
        <v>2.7393497757847536</v>
      </c>
      <c r="AC2" s="47">
        <f>Dataset!BC2</f>
        <v>3.2530347990288644</v>
      </c>
      <c r="AD2" s="47">
        <f>Dataset!BE2</f>
        <v>4.9523703207561205</v>
      </c>
      <c r="AE2" s="47">
        <f>Dataset!BG2</f>
        <v>3.9714555914571683</v>
      </c>
      <c r="AF2" s="47">
        <f>Dataset!BI2</f>
        <v>3.4148734144012756</v>
      </c>
      <c r="AG2" s="47">
        <f>Dataset!BK2</f>
        <v>3.2426162665447649</v>
      </c>
      <c r="AH2" s="47">
        <f>Dataset!BM2</f>
        <v>4.4341723472490253</v>
      </c>
      <c r="AI2" s="47">
        <f>Dataset!BO2</f>
        <v>3.8205440063736509</v>
      </c>
      <c r="AJ2" s="47">
        <f>Dataset!BQ2</f>
        <v>2.402326955040591</v>
      </c>
      <c r="AK2" s="47">
        <f>Dataset!BS2</f>
        <v>2.2151934435404073</v>
      </c>
      <c r="AL2" s="47">
        <f>Dataset!BU2</f>
        <v>5</v>
      </c>
      <c r="AM2" s="47">
        <f>Dataset!BW2</f>
        <v>2.4130626654898499</v>
      </c>
      <c r="AN2" s="47">
        <f>Dataset!BY2</f>
        <v>4.3060057197330801</v>
      </c>
    </row>
    <row r="3" spans="1:40" x14ac:dyDescent="0.25">
      <c r="A3" s="47" t="str">
        <f>Dataset!A3</f>
        <v>Boston</v>
      </c>
      <c r="B3" s="47" t="str">
        <f>Dataset!B3</f>
        <v xml:space="preserve"> MA</v>
      </c>
      <c r="C3" s="47" t="str">
        <f>Dataset!C3</f>
        <v xml:space="preserve"> Massachusetts</v>
      </c>
      <c r="D3" s="47">
        <f>Dataset!E3</f>
        <v>4.5608308605341259</v>
      </c>
      <c r="E3" s="47">
        <f>Dataset!G3</f>
        <v>4.2580645161290285</v>
      </c>
      <c r="F3" s="47">
        <f>Dataset!I3</f>
        <v>5</v>
      </c>
      <c r="G3" s="47">
        <f>Dataset!K3</f>
        <v>5</v>
      </c>
      <c r="H3" s="47">
        <f>Dataset!M3</f>
        <v>2.9761904761904758</v>
      </c>
      <c r="I3" s="47">
        <f>Dataset!O3</f>
        <v>3.6666666666666665</v>
      </c>
      <c r="J3" s="47">
        <f>Dataset!Q3</f>
        <v>3.9641434262948207</v>
      </c>
      <c r="K3" s="47">
        <f>Dataset!S3</f>
        <v>1</v>
      </c>
      <c r="L3" s="47">
        <f>Dataset!U3</f>
        <v>2.5024390243902443</v>
      </c>
      <c r="M3" s="47">
        <f>Dataset!W3</f>
        <v>3.3118644067796605</v>
      </c>
      <c r="N3" s="47">
        <f>Dataset!Y3</f>
        <v>3.6805555555555554</v>
      </c>
      <c r="O3" s="47">
        <f>Dataset!AA3</f>
        <v>3.9925925925925907</v>
      </c>
      <c r="P3" s="47">
        <f>Dataset!AC3</f>
        <v>5</v>
      </c>
      <c r="Q3" s="47">
        <f>Dataset!AE3</f>
        <v>5</v>
      </c>
      <c r="R3" s="47">
        <f>Dataset!AG3</f>
        <v>3.6246334310850439</v>
      </c>
      <c r="S3" s="47">
        <f>Dataset!AI3</f>
        <v>3.9641434262948207</v>
      </c>
      <c r="T3" s="47">
        <f>Dataset!AK3</f>
        <v>2.9189958030896404</v>
      </c>
      <c r="U3" s="47">
        <f>Dataset!AM3</f>
        <v>2.115052296498408</v>
      </c>
      <c r="V3" s="47">
        <f>Dataset!AO3</f>
        <v>0.33855843686682308</v>
      </c>
      <c r="W3" s="47">
        <f>Dataset!AQ3</f>
        <v>1</v>
      </c>
      <c r="X3" s="47">
        <f>Dataset!AS3</f>
        <v>2.103448275862069</v>
      </c>
      <c r="Y3" s="47">
        <f>Dataset!AU3</f>
        <v>1.1418285167277724</v>
      </c>
      <c r="Z3" s="47">
        <f>Dataset!AW3</f>
        <v>1.6253501585221635</v>
      </c>
      <c r="AA3" s="47">
        <f>Dataset!AY3</f>
        <v>2.3342299932750503</v>
      </c>
      <c r="AB3" s="47">
        <f>Dataset!BA3</f>
        <v>1.835762331838565</v>
      </c>
      <c r="AC3" s="47">
        <f>Dataset!BC3</f>
        <v>2.1984533764949195</v>
      </c>
      <c r="AD3" s="47">
        <f>Dataset!BE3</f>
        <v>2.6548336682295153</v>
      </c>
      <c r="AE3" s="47">
        <f>Dataset!BG3</f>
        <v>2.2911340531168731</v>
      </c>
      <c r="AF3" s="47">
        <f>Dataset!BI3</f>
        <v>1.7552538531753941</v>
      </c>
      <c r="AG3" s="47">
        <f>Dataset!BK3</f>
        <v>1.3684274132105907</v>
      </c>
      <c r="AH3" s="47">
        <f>Dataset!BM3</f>
        <v>1.6102542031681684</v>
      </c>
      <c r="AI3" s="47">
        <f>Dataset!BO3</f>
        <v>1.5428028384783756</v>
      </c>
      <c r="AJ3" s="47">
        <f>Dataset!BQ3</f>
        <v>1.5643484113792772</v>
      </c>
      <c r="AK3" s="47">
        <f>Dataset!BS3</f>
        <v>1</v>
      </c>
      <c r="AL3" s="47">
        <f>Dataset!BU3</f>
        <v>3.4615384615384617</v>
      </c>
      <c r="AM3" s="47">
        <f>Dataset!BW3</f>
        <v>1.8993821712268315</v>
      </c>
      <c r="AN3" s="47">
        <f>Dataset!BY3</f>
        <v>1.9774388306323485</v>
      </c>
    </row>
    <row r="4" spans="1:40" x14ac:dyDescent="0.25">
      <c r="A4" s="47" t="str">
        <f>Dataset!A4</f>
        <v>Chicago</v>
      </c>
      <c r="B4" s="47" t="str">
        <f>Dataset!B4</f>
        <v xml:space="preserve"> IL</v>
      </c>
      <c r="C4" s="47" t="str">
        <f>Dataset!C4</f>
        <v xml:space="preserve"> Illinois</v>
      </c>
      <c r="D4" s="47">
        <f>Dataset!E4</f>
        <v>1.6528189910979232</v>
      </c>
      <c r="E4" s="47">
        <f>Dataset!G4</f>
        <v>4.67741935483871</v>
      </c>
      <c r="F4" s="47">
        <f>Dataset!I4</f>
        <v>1</v>
      </c>
      <c r="G4" s="47">
        <f>Dataset!K4</f>
        <v>3.4216216216216222</v>
      </c>
      <c r="H4" s="47">
        <f>Dataset!M4</f>
        <v>2.8571428571428568</v>
      </c>
      <c r="I4" s="47">
        <f>Dataset!O4</f>
        <v>2.1594202898550727</v>
      </c>
      <c r="J4" s="47">
        <f>Dataset!Q4</f>
        <v>3.3904382470119518</v>
      </c>
      <c r="K4" s="47">
        <f>Dataset!S4</f>
        <v>3.789272030651341</v>
      </c>
      <c r="L4" s="47">
        <f>Dataset!U4</f>
        <v>1.9560975609756095</v>
      </c>
      <c r="M4" s="47">
        <f>Dataset!W4</f>
        <v>2.6474576271186439</v>
      </c>
      <c r="N4" s="47">
        <f>Dataset!Y4</f>
        <v>2.7361111111111116</v>
      </c>
      <c r="O4" s="47">
        <f>Dataset!AA4</f>
        <v>5</v>
      </c>
      <c r="P4" s="47">
        <f>Dataset!AC4</f>
        <v>3.4216216216216222</v>
      </c>
      <c r="Q4" s="47">
        <f>Dataset!AE4</f>
        <v>3.6595174262734584</v>
      </c>
      <c r="R4" s="47">
        <f>Dataset!AG4</f>
        <v>2.9208211143695015</v>
      </c>
      <c r="S4" s="47">
        <f>Dataset!AI4</f>
        <v>3.3904382470119518</v>
      </c>
      <c r="T4" s="47">
        <f>Dataset!AK4</f>
        <v>2.1381918842724295</v>
      </c>
      <c r="U4" s="47">
        <f>Dataset!AM4</f>
        <v>1.8831286948613006</v>
      </c>
      <c r="V4" s="47">
        <f>Dataset!AO4</f>
        <v>5.7273469772409564</v>
      </c>
      <c r="W4" s="47">
        <f>Dataset!AQ4</f>
        <v>1.3333333333333333</v>
      </c>
      <c r="X4" s="47">
        <f>Dataset!AS4</f>
        <v>1.9655172413793105</v>
      </c>
      <c r="Y4" s="47">
        <f>Dataset!AU4</f>
        <v>2.1221262187003775</v>
      </c>
      <c r="Z4" s="47">
        <f>Dataset!AW4</f>
        <v>2.9425587891056835</v>
      </c>
      <c r="AA4" s="47">
        <f>Dataset!AY4</f>
        <v>5</v>
      </c>
      <c r="AB4" s="47">
        <f>Dataset!BA4</f>
        <v>3.1048206278026904</v>
      </c>
      <c r="AC4" s="47">
        <f>Dataset!BC4</f>
        <v>5</v>
      </c>
      <c r="AD4" s="47">
        <f>Dataset!BE4</f>
        <v>5</v>
      </c>
      <c r="AE4" s="47">
        <f>Dataset!BG4</f>
        <v>5</v>
      </c>
      <c r="AF4" s="47">
        <f>Dataset!BI4</f>
        <v>2.4615731657416244</v>
      </c>
      <c r="AG4" s="47">
        <f>Dataset!BK4</f>
        <v>2.1619350872491685</v>
      </c>
      <c r="AH4" s="47">
        <f>Dataset!BM4</f>
        <v>3.0063030168404392</v>
      </c>
      <c r="AI4" s="47">
        <f>Dataset!BO4</f>
        <v>2.5384993526760651</v>
      </c>
      <c r="AJ4" s="47">
        <f>Dataset!BQ4</f>
        <v>1.5934696905177268</v>
      </c>
      <c r="AK4" s="47">
        <f>Dataset!BS4</f>
        <v>2.9703567421622128</v>
      </c>
      <c r="AL4" s="47">
        <f>Dataset!BU4</f>
        <v>1</v>
      </c>
      <c r="AM4" s="47">
        <f>Dataset!BW4</f>
        <v>3.9955869373345099</v>
      </c>
      <c r="AN4" s="47">
        <f>Dataset!BY4</f>
        <v>2.454083253892597</v>
      </c>
    </row>
    <row r="5" spans="1:40" x14ac:dyDescent="0.25">
      <c r="A5" s="47" t="str">
        <f>Dataset!A5</f>
        <v>Denver</v>
      </c>
      <c r="B5" s="47" t="str">
        <f>Dataset!B5</f>
        <v xml:space="preserve"> CO</v>
      </c>
      <c r="C5" s="47" t="str">
        <f>Dataset!C5</f>
        <v xml:space="preserve"> Colorado</v>
      </c>
      <c r="D5" s="47">
        <f>Dataset!E5</f>
        <v>3.5637982195845699</v>
      </c>
      <c r="E5" s="47">
        <f>Dataset!G5</f>
        <v>5</v>
      </c>
      <c r="F5" s="47">
        <f>Dataset!I5</f>
        <v>4.0793650793650791</v>
      </c>
      <c r="G5" s="47">
        <f>Dataset!K5</f>
        <v>4.0918918918918914</v>
      </c>
      <c r="H5" s="47">
        <f>Dataset!M5</f>
        <v>2.0119047619047619</v>
      </c>
      <c r="I5" s="47">
        <f>Dataset!O5</f>
        <v>1.5797101449275366</v>
      </c>
      <c r="J5" s="47">
        <f>Dataset!Q5</f>
        <v>2.5617529880478083</v>
      </c>
      <c r="K5" s="47">
        <f>Dataset!S5</f>
        <v>2.946360153256705</v>
      </c>
      <c r="L5" s="47">
        <f>Dataset!U5</f>
        <v>1</v>
      </c>
      <c r="M5" s="47">
        <f>Dataset!W5</f>
        <v>2.0983050847457632</v>
      </c>
      <c r="N5" s="47">
        <f>Dataset!Y5</f>
        <v>1</v>
      </c>
      <c r="O5" s="47">
        <f>Dataset!AA5</f>
        <v>4.6740740740740758</v>
      </c>
      <c r="P5" s="47">
        <f>Dataset!AC5</f>
        <v>4.0918918918918914</v>
      </c>
      <c r="Q5" s="47">
        <f>Dataset!AE5</f>
        <v>4.3351206434316367</v>
      </c>
      <c r="R5" s="47">
        <f>Dataset!AG5</f>
        <v>2.4193548387096775</v>
      </c>
      <c r="S5" s="47">
        <f>Dataset!AI5</f>
        <v>2.5617529880478083</v>
      </c>
      <c r="T5" s="47">
        <f>Dataset!AK5</f>
        <v>1.4198441147580716</v>
      </c>
      <c r="U5" s="47">
        <f>Dataset!AM5</f>
        <v>1.8622100954979535</v>
      </c>
      <c r="V5" s="47">
        <f>Dataset!AO5</f>
        <v>6.4736676771325801</v>
      </c>
      <c r="W5" s="47">
        <f>Dataset!AQ5</f>
        <v>2.166666666666667</v>
      </c>
      <c r="X5" s="47">
        <f>Dataset!AS5</f>
        <v>1</v>
      </c>
      <c r="Y5" s="47">
        <f>Dataset!AU5</f>
        <v>1.1530938273100526</v>
      </c>
      <c r="Z5" s="47">
        <f>Dataset!AW5</f>
        <v>2.9257471231726342</v>
      </c>
      <c r="AA5" s="47">
        <f>Dataset!AY5</f>
        <v>2.3342299932750503</v>
      </c>
      <c r="AB5" s="47">
        <f>Dataset!BA5</f>
        <v>5</v>
      </c>
      <c r="AC5" s="47">
        <f>Dataset!BC5</f>
        <v>1.8239067230165154</v>
      </c>
      <c r="AD5" s="47">
        <f>Dataset!BE5</f>
        <v>2.3748604599240899</v>
      </c>
      <c r="AE5" s="47">
        <f>Dataset!BG5</f>
        <v>2.3315470092205848</v>
      </c>
      <c r="AF5" s="47">
        <f>Dataset!BI5</f>
        <v>3.0314549212577768</v>
      </c>
      <c r="AG5" s="47">
        <f>Dataset!BK5</f>
        <v>2.0657376902746467</v>
      </c>
      <c r="AH5" s="47">
        <f>Dataset!BM5</f>
        <v>5</v>
      </c>
      <c r="AI5" s="47">
        <f>Dataset!BO5</f>
        <v>2.8802863905174991</v>
      </c>
      <c r="AJ5" s="47">
        <f>Dataset!BQ5</f>
        <v>2.2328740779406311</v>
      </c>
      <c r="AK5" s="47">
        <f>Dataset!BS5</f>
        <v>5</v>
      </c>
      <c r="AL5" s="47">
        <f>Dataset!BU5</f>
        <v>3.7692307692307696</v>
      </c>
      <c r="AM5" s="47">
        <f>Dataset!BW5</f>
        <v>3.2842012356575463</v>
      </c>
      <c r="AN5" s="47">
        <f>Dataset!BY5</f>
        <v>4.2894820463933909</v>
      </c>
    </row>
    <row r="6" spans="1:40" x14ac:dyDescent="0.25">
      <c r="A6" s="47" t="str">
        <f>Dataset!A6</f>
        <v>Las Vegas</v>
      </c>
      <c r="B6" s="47" t="str">
        <f>Dataset!B6</f>
        <v xml:space="preserve"> NV</v>
      </c>
      <c r="C6" s="47" t="str">
        <f>Dataset!C6</f>
        <v xml:space="preserve"> Nevada</v>
      </c>
      <c r="D6" s="47">
        <f>Dataset!E6</f>
        <v>2.222551928783381</v>
      </c>
      <c r="E6" s="47">
        <f>Dataset!G6</f>
        <v>2.9677419354838683</v>
      </c>
      <c r="F6" s="47">
        <f>Dataset!I6</f>
        <v>2.6507936507936503</v>
      </c>
      <c r="G6" s="47">
        <f>Dataset!K6</f>
        <v>1</v>
      </c>
      <c r="H6" s="47">
        <f>Dataset!M6</f>
        <v>1</v>
      </c>
      <c r="I6" s="47">
        <f>Dataset!O6</f>
        <v>1</v>
      </c>
      <c r="J6" s="47">
        <f>Dataset!Q6</f>
        <v>1</v>
      </c>
      <c r="K6" s="47">
        <f>Dataset!S6</f>
        <v>4.2337164750957852</v>
      </c>
      <c r="L6" s="47">
        <f>Dataset!U6</f>
        <v>1.1073170731707318</v>
      </c>
      <c r="M6" s="47">
        <f>Dataset!W6</f>
        <v>1</v>
      </c>
      <c r="N6" s="47">
        <f>Dataset!Y6</f>
        <v>1.305555555555556</v>
      </c>
      <c r="O6" s="47">
        <f>Dataset!AA6</f>
        <v>2.807407407407406</v>
      </c>
      <c r="P6" s="47">
        <f>Dataset!AC6</f>
        <v>1</v>
      </c>
      <c r="Q6" s="47">
        <f>Dataset!AE6</f>
        <v>1</v>
      </c>
      <c r="R6" s="47">
        <f>Dataset!AG6</f>
        <v>1</v>
      </c>
      <c r="S6" s="47">
        <f>Dataset!AI6</f>
        <v>1</v>
      </c>
      <c r="T6" s="47">
        <f>Dataset!AK6</f>
        <v>1</v>
      </c>
      <c r="U6" s="47">
        <f>Dataset!AM6</f>
        <v>1</v>
      </c>
      <c r="V6" s="47">
        <f>Dataset!AO6</f>
        <v>5.1861560934235946</v>
      </c>
      <c r="W6" s="47">
        <f>Dataset!AQ6</f>
        <v>4.6666666666666661</v>
      </c>
      <c r="X6" s="47">
        <f>Dataset!AS6</f>
        <v>4.1724137931034484</v>
      </c>
      <c r="Y6" s="47">
        <f>Dataset!AU6</f>
        <v>1.1153866526996388</v>
      </c>
      <c r="Z6" s="47">
        <f>Dataset!AW6</f>
        <v>2.282278986837488</v>
      </c>
      <c r="AA6" s="47">
        <f>Dataset!AY6</f>
        <v>3.4774714189643574</v>
      </c>
      <c r="AB6" s="47">
        <f>Dataset!BA6</f>
        <v>3.9192825112107621</v>
      </c>
      <c r="AC6" s="47">
        <f>Dataset!BC6</f>
        <v>2.2651140484968382</v>
      </c>
      <c r="AD6" s="47">
        <f>Dataset!BE6</f>
        <v>1.2065937337203243</v>
      </c>
      <c r="AE6" s="47">
        <f>Dataset!BG6</f>
        <v>1.9740089841595081</v>
      </c>
      <c r="AF6" s="47">
        <f>Dataset!BI6</f>
        <v>3.8382872910786792</v>
      </c>
      <c r="AG6" s="47">
        <f>Dataset!BK6</f>
        <v>1.4014460085016052</v>
      </c>
      <c r="AH6" s="47">
        <f>Dataset!BM6</f>
        <v>3.4240236571380973</v>
      </c>
      <c r="AI6" s="47">
        <f>Dataset!BO6</f>
        <v>2.2669241836408212</v>
      </c>
      <c r="AJ6" s="47">
        <f>Dataset!BQ6</f>
        <v>1</v>
      </c>
      <c r="AK6" s="47">
        <f>Dataset!BS6</f>
        <v>4.6507142621490551</v>
      </c>
      <c r="AL6" s="47">
        <f>Dataset!BU6</f>
        <v>3.7692307692307696</v>
      </c>
      <c r="AM6" s="47">
        <f>Dataset!BW6</f>
        <v>1</v>
      </c>
      <c r="AN6" s="47">
        <f>Dataset!BY6</f>
        <v>1</v>
      </c>
    </row>
    <row r="7" spans="1:40" x14ac:dyDescent="0.25">
      <c r="A7" s="47" t="str">
        <f>Dataset!A7</f>
        <v>New York City</v>
      </c>
      <c r="B7" s="47" t="str">
        <f>Dataset!B7</f>
        <v xml:space="preserve"> NY</v>
      </c>
      <c r="C7" s="47" t="str">
        <f>Dataset!C7</f>
        <v xml:space="preserve"> New York</v>
      </c>
      <c r="D7" s="47">
        <f>Dataset!E7</f>
        <v>1</v>
      </c>
      <c r="E7" s="47">
        <f>Dataset!G7</f>
        <v>1</v>
      </c>
      <c r="F7" s="47">
        <f>Dataset!I7</f>
        <v>3.5396825396825395</v>
      </c>
      <c r="G7" s="47">
        <f>Dataset!K7</f>
        <v>2.7297297297297298</v>
      </c>
      <c r="H7" s="47">
        <f>Dataset!M7</f>
        <v>4.1904761904761907</v>
      </c>
      <c r="I7" s="47">
        <f>Dataset!O7</f>
        <v>5</v>
      </c>
      <c r="J7" s="47">
        <f>Dataset!Q7</f>
        <v>3.645418326693227</v>
      </c>
      <c r="K7" s="47">
        <f>Dataset!S7</f>
        <v>5</v>
      </c>
      <c r="L7" s="47">
        <f>Dataset!U7</f>
        <v>3.2829268292682934</v>
      </c>
      <c r="M7" s="47">
        <f>Dataset!W7</f>
        <v>5</v>
      </c>
      <c r="N7" s="47">
        <f>Dataset!Y7</f>
        <v>4.8472222222222232</v>
      </c>
      <c r="O7" s="47">
        <f>Dataset!AA7</f>
        <v>1</v>
      </c>
      <c r="P7" s="47">
        <f>Dataset!AC7</f>
        <v>2.7297297297297298</v>
      </c>
      <c r="Q7" s="47">
        <f>Dataset!AE7</f>
        <v>3.02680965147453</v>
      </c>
      <c r="R7" s="47">
        <f>Dataset!AG7</f>
        <v>2.2170087976539588</v>
      </c>
      <c r="S7" s="47">
        <f>Dataset!AI7</f>
        <v>3.645418326693227</v>
      </c>
      <c r="T7" s="47">
        <f>Dataset!AK7</f>
        <v>2.4547588371114033</v>
      </c>
      <c r="U7" s="47">
        <f>Dataset!AM7</f>
        <v>1.4392905866302863</v>
      </c>
      <c r="V7" s="47">
        <f>Dataset!AO7</f>
        <v>3.0190679629949582</v>
      </c>
      <c r="W7" s="47">
        <f>Dataset!AQ7</f>
        <v>1.6666666666666665</v>
      </c>
      <c r="X7" s="47">
        <f>Dataset!AS7</f>
        <v>2.6551724137931032</v>
      </c>
      <c r="Y7" s="47">
        <f>Dataset!AU7</f>
        <v>5</v>
      </c>
      <c r="Z7" s="47">
        <f>Dataset!AW7</f>
        <v>1</v>
      </c>
      <c r="AA7" s="47">
        <f>Dataset!AY7</f>
        <v>1</v>
      </c>
      <c r="AB7" s="47">
        <f>Dataset!BA7</f>
        <v>1</v>
      </c>
      <c r="AC7" s="47">
        <f>Dataset!BC7</f>
        <v>1.6808740221203129</v>
      </c>
      <c r="AD7" s="47">
        <f>Dataset!BE7</f>
        <v>1.6534196621269626</v>
      </c>
      <c r="AE7" s="47">
        <f>Dataset!BG7</f>
        <v>1.4696351170304986</v>
      </c>
      <c r="AF7" s="47">
        <f>Dataset!BI7</f>
        <v>1</v>
      </c>
      <c r="AG7" s="47">
        <f>Dataset!BK7</f>
        <v>1</v>
      </c>
      <c r="AH7" s="47">
        <f>Dataset!BM7</f>
        <v>1</v>
      </c>
      <c r="AI7" s="47">
        <f>Dataset!BO7</f>
        <v>1</v>
      </c>
      <c r="AJ7" s="47">
        <f>Dataset!BQ7</f>
        <v>3.8305883322573111</v>
      </c>
      <c r="AK7" s="47">
        <f>Dataset!BS7</f>
        <v>2.9901318858249768</v>
      </c>
      <c r="AL7" s="47">
        <f>Dataset!BU7</f>
        <v>4.5076923076923094</v>
      </c>
      <c r="AM7" s="47">
        <f>Dataset!BW7</f>
        <v>2.2233009708737868</v>
      </c>
      <c r="AN7" s="47">
        <f>Dataset!BY7</f>
        <v>3.5243088655862733</v>
      </c>
    </row>
    <row r="8" spans="1:40" x14ac:dyDescent="0.25">
      <c r="A8" s="47" t="str">
        <f>Dataset!A8</f>
        <v>San Francisco</v>
      </c>
      <c r="B8" s="47" t="str">
        <f>Dataset!B8</f>
        <v xml:space="preserve"> CA</v>
      </c>
      <c r="C8" s="47" t="str">
        <f>Dataset!C8</f>
        <v xml:space="preserve"> California</v>
      </c>
      <c r="D8" s="47">
        <f>Dataset!E8</f>
        <v>1.4866468842729965</v>
      </c>
      <c r="E8" s="47">
        <f>Dataset!G8</f>
        <v>3.9677419354838706</v>
      </c>
      <c r="F8" s="47">
        <f>Dataset!I8</f>
        <v>1.6349206349206349</v>
      </c>
      <c r="G8" s="47">
        <f>Dataset!K8</f>
        <v>3.0324324324324321</v>
      </c>
      <c r="H8" s="47">
        <f>Dataset!M8</f>
        <v>5</v>
      </c>
      <c r="I8" s="47">
        <f>Dataset!O8</f>
        <v>4.2463768115942031</v>
      </c>
      <c r="J8" s="47">
        <f>Dataset!Q8</f>
        <v>5</v>
      </c>
      <c r="K8" s="47">
        <f>Dataset!S8</f>
        <v>4.1724137931034484</v>
      </c>
      <c r="L8" s="47">
        <f>Dataset!U8</f>
        <v>5</v>
      </c>
      <c r="M8" s="47">
        <f>Dataset!W8</f>
        <v>4.5186440677966111</v>
      </c>
      <c r="N8" s="47">
        <f>Dataset!Y8</f>
        <v>3.8194444444444442</v>
      </c>
      <c r="O8" s="47">
        <f>Dataset!AA8</f>
        <v>3.7259259259259268</v>
      </c>
      <c r="P8" s="47">
        <f>Dataset!AC8</f>
        <v>3.0324324324324321</v>
      </c>
      <c r="Q8" s="47">
        <f>Dataset!AE8</f>
        <v>3.1769436997319032</v>
      </c>
      <c r="R8" s="47">
        <f>Dataset!AG8</f>
        <v>5</v>
      </c>
      <c r="S8" s="47">
        <f>Dataset!AI8</f>
        <v>5</v>
      </c>
      <c r="T8" s="47">
        <f>Dataset!AK8</f>
        <v>5</v>
      </c>
      <c r="U8" s="47">
        <f>Dataset!AM8</f>
        <v>5</v>
      </c>
      <c r="V8" s="47">
        <f>Dataset!AO8</f>
        <v>7.0190679629949582</v>
      </c>
      <c r="W8" s="47">
        <f>Dataset!AQ8</f>
        <v>1.8333333333333335</v>
      </c>
      <c r="X8" s="47">
        <f>Dataset!AS8</f>
        <v>2.931034482758621</v>
      </c>
      <c r="Y8" s="47">
        <f>Dataset!AU8</f>
        <v>1.2360593978738288</v>
      </c>
      <c r="Z8" s="47">
        <f>Dataset!AW8</f>
        <v>5</v>
      </c>
      <c r="AA8" s="47">
        <f>Dataset!AY8</f>
        <v>1.796234028244788</v>
      </c>
      <c r="AB8" s="47">
        <f>Dataset!BA8</f>
        <v>1.7897982062780269</v>
      </c>
      <c r="AC8" s="47">
        <f>Dataset!BC8</f>
        <v>4.1143482300752332</v>
      </c>
      <c r="AD8" s="47">
        <f>Dataset!BE8</f>
        <v>1</v>
      </c>
      <c r="AE8" s="47">
        <f>Dataset!BG8</f>
        <v>2.5798880920482308</v>
      </c>
      <c r="AF8" s="47">
        <f>Dataset!BI8</f>
        <v>2.8093609342048662</v>
      </c>
      <c r="AG8" s="47">
        <f>Dataset!BK8</f>
        <v>5</v>
      </c>
      <c r="AH8" s="47">
        <f>Dataset!BM8</f>
        <v>3.6765885962598399</v>
      </c>
      <c r="AI8" s="47">
        <f>Dataset!BO8</f>
        <v>5</v>
      </c>
      <c r="AJ8" s="47">
        <f>Dataset!BQ8</f>
        <v>5</v>
      </c>
      <c r="AK8" s="47">
        <f>Dataset!BS8</f>
        <v>1.4010288966133051</v>
      </c>
      <c r="AL8" s="47">
        <f>Dataset!BU8</f>
        <v>1</v>
      </c>
      <c r="AM8" s="47">
        <f>Dataset!BW8</f>
        <v>5</v>
      </c>
      <c r="AN8" s="47">
        <f>Dataset!BY8</f>
        <v>3.9005401970130276</v>
      </c>
    </row>
    <row r="9" spans="1:40" x14ac:dyDescent="0.25">
      <c r="A9" s="47" t="str">
        <f>Dataset!A9</f>
        <v>Seattle</v>
      </c>
      <c r="B9" s="47" t="str">
        <f>Dataset!B9</f>
        <v xml:space="preserve"> WA</v>
      </c>
      <c r="C9" s="47" t="str">
        <f>Dataset!C9</f>
        <v xml:space="preserve"> Washington</v>
      </c>
      <c r="D9" s="47">
        <f>Dataset!E9</f>
        <v>3.6350148367952517</v>
      </c>
      <c r="E9" s="47">
        <f>Dataset!G9</f>
        <v>3.4516129032258034</v>
      </c>
      <c r="F9" s="47">
        <f>Dataset!I9</f>
        <v>2.8571428571428577</v>
      </c>
      <c r="G9" s="47">
        <f>Dataset!K9</f>
        <v>3.6810810810810821</v>
      </c>
      <c r="H9" s="47">
        <f>Dataset!M9</f>
        <v>4.666666666666667</v>
      </c>
      <c r="I9" s="47">
        <f>Dataset!O9</f>
        <v>2.8550724637681157</v>
      </c>
      <c r="J9" s="47">
        <f>Dataset!Q9</f>
        <v>4.1075697211155378</v>
      </c>
      <c r="K9" s="47">
        <f>Dataset!S9</f>
        <v>1.85823754789272</v>
      </c>
      <c r="L9" s="47">
        <f>Dataset!U9</f>
        <v>4.4536585365853663</v>
      </c>
      <c r="M9" s="47">
        <f>Dataset!W9</f>
        <v>3.2576271186440677</v>
      </c>
      <c r="N9" s="47">
        <f>Dataset!Y9</f>
        <v>5</v>
      </c>
      <c r="O9" s="47">
        <f>Dataset!AA9</f>
        <v>3.2518518518518502</v>
      </c>
      <c r="P9" s="47">
        <f>Dataset!AC9</f>
        <v>3.6810810810810821</v>
      </c>
      <c r="Q9" s="47">
        <f>Dataset!AE9</f>
        <v>3.8847184986595167</v>
      </c>
      <c r="R9" s="47">
        <f>Dataset!AG9</f>
        <v>3.8533724340175945</v>
      </c>
      <c r="S9" s="47">
        <f>Dataset!AI9</f>
        <v>4.1075697211155378</v>
      </c>
      <c r="T9" s="47">
        <f>Dataset!AK9</f>
        <v>3.1504509446237448</v>
      </c>
      <c r="U9" s="47">
        <f>Dataset!AM9</f>
        <v>2.8044565711687128</v>
      </c>
      <c r="V9" s="47">
        <f>Dataset!AO9</f>
        <v>6.4923900921984705</v>
      </c>
      <c r="W9" s="47">
        <f>Dataset!AQ9</f>
        <v>1.3333333333333333</v>
      </c>
      <c r="X9" s="47">
        <f>Dataset!AS9</f>
        <v>2.2413793103448274</v>
      </c>
      <c r="Y9" s="47">
        <f>Dataset!AU9</f>
        <v>1.1601006196087094</v>
      </c>
      <c r="Z9" s="47">
        <f>Dataset!AW9</f>
        <v>4.1842366290662509</v>
      </c>
      <c r="AA9" s="47">
        <f>Dataset!AY9</f>
        <v>1.0941492938802959</v>
      </c>
      <c r="AB9" s="47">
        <f>Dataset!BA9</f>
        <v>1.5218609865470851</v>
      </c>
      <c r="AC9" s="47">
        <f>Dataset!BC9</f>
        <v>2.2515661061655128</v>
      </c>
      <c r="AD9" s="47">
        <f>Dataset!BE9</f>
        <v>2.1971422192453671</v>
      </c>
      <c r="AE9" s="47">
        <f>Dataset!BG9</f>
        <v>2.0609504295058718</v>
      </c>
      <c r="AF9" s="47">
        <f>Dataset!BI9</f>
        <v>5</v>
      </c>
      <c r="AG9" s="47">
        <f>Dataset!BK9</f>
        <v>3.5434406805487684</v>
      </c>
      <c r="AH9" s="47">
        <f>Dataset!BM9</f>
        <v>3.4248566549584196</v>
      </c>
      <c r="AI9" s="47">
        <f>Dataset!BO9</f>
        <v>4.2292459046961177</v>
      </c>
      <c r="AJ9" s="47">
        <f>Dataset!BQ9</f>
        <v>1.2753883981922829</v>
      </c>
      <c r="AK9" s="47">
        <f>Dataset!BS9</f>
        <v>1.6192235329432305</v>
      </c>
      <c r="AL9" s="47">
        <f>Dataset!BU9</f>
        <v>3.7692307692307696</v>
      </c>
      <c r="AM9" s="47">
        <f>Dataset!BW9</f>
        <v>2.7193292144748455</v>
      </c>
      <c r="AN9" s="47">
        <f>Dataset!BY9</f>
        <v>3.4760088973625671</v>
      </c>
    </row>
    <row r="10" spans="1:40" x14ac:dyDescent="0.25">
      <c r="A10" s="47" t="str">
        <f>Dataset!A10</f>
        <v>Tampa</v>
      </c>
      <c r="B10" s="47" t="str">
        <f>Dataset!B10</f>
        <v xml:space="preserve"> FL</v>
      </c>
      <c r="C10" s="47" t="str">
        <f>Dataset!C10</f>
        <v xml:space="preserve"> Florida</v>
      </c>
      <c r="D10" s="47">
        <f>Dataset!E10</f>
        <v>5</v>
      </c>
      <c r="E10" s="47">
        <f>Dataset!G10</f>
        <v>2.2258064516129017</v>
      </c>
      <c r="F10" s="47">
        <f>Dataset!I10</f>
        <v>4.1428571428571423</v>
      </c>
      <c r="G10" s="47">
        <f>Dataset!K10</f>
        <v>3.7027027027027026</v>
      </c>
      <c r="H10" s="47">
        <f>Dataset!M10</f>
        <v>2.3214285714285712</v>
      </c>
      <c r="I10" s="47">
        <f>Dataset!O10</f>
        <v>1.8115942028985508</v>
      </c>
      <c r="J10" s="47">
        <f>Dataset!Q10</f>
        <v>2.5458167330677295</v>
      </c>
      <c r="K10" s="47">
        <f>Dataset!S10</f>
        <v>1.2605363984674329</v>
      </c>
      <c r="L10" s="47">
        <f>Dataset!U10</f>
        <v>3.7707317073170739</v>
      </c>
      <c r="M10" s="47">
        <f>Dataset!W10</f>
        <v>1.9694915254237286</v>
      </c>
      <c r="N10" s="47">
        <f>Dataset!Y10</f>
        <v>1.8055555555555554</v>
      </c>
      <c r="O10" s="47">
        <f>Dataset!AA10</f>
        <v>2.1259259259259249</v>
      </c>
      <c r="P10" s="47">
        <f>Dataset!AC10</f>
        <v>3.7027027027027026</v>
      </c>
      <c r="Q10" s="47">
        <f>Dataset!AE10</f>
        <v>3.7774798927613933</v>
      </c>
      <c r="R10" s="47">
        <f>Dataset!AG10</f>
        <v>2.4809384164222874</v>
      </c>
      <c r="S10" s="47">
        <f>Dataset!AI10</f>
        <v>2.5458167330677295</v>
      </c>
      <c r="T10" s="47">
        <f>Dataset!AK10</f>
        <v>1.4140271204602568</v>
      </c>
      <c r="U10" s="47">
        <f>Dataset!AM10</f>
        <v>1.6175534333788084</v>
      </c>
      <c r="V10" s="47">
        <f>Dataset!AO10</f>
        <v>6.8565976094365997</v>
      </c>
      <c r="W10" s="47">
        <f>Dataset!AQ10</f>
        <v>5</v>
      </c>
      <c r="X10" s="47">
        <f>Dataset!AS10</f>
        <v>5</v>
      </c>
      <c r="Y10" s="47">
        <f>Dataset!AU10</f>
        <v>1</v>
      </c>
      <c r="Z10" s="47">
        <f>Dataset!AW10</f>
        <v>1.1872245132264077</v>
      </c>
      <c r="AA10" s="47">
        <f>Dataset!AY10</f>
        <v>2.8184263618022865</v>
      </c>
      <c r="AB10" s="47">
        <f>Dataset!BA10</f>
        <v>1.2197309417040361</v>
      </c>
      <c r="AC10" s="47">
        <f>Dataset!BC10</f>
        <v>1</v>
      </c>
      <c r="AD10" s="47">
        <f>Dataset!BE10</f>
        <v>1.2311527870804491</v>
      </c>
      <c r="AE10" s="47">
        <f>Dataset!BG10</f>
        <v>1</v>
      </c>
      <c r="AF10" s="47">
        <f>Dataset!BI10</f>
        <v>1.8076297594191646</v>
      </c>
      <c r="AG10" s="47">
        <f>Dataset!BK10</f>
        <v>1.0228040584918845</v>
      </c>
      <c r="AH10" s="47">
        <f>Dataset!BM10</f>
        <v>1.4495966902219939</v>
      </c>
      <c r="AI10" s="47">
        <f>Dataset!BO10</f>
        <v>1.2501064747225832</v>
      </c>
      <c r="AJ10" s="47">
        <f>Dataset!BQ10</f>
        <v>2.3362820917869751</v>
      </c>
      <c r="AK10" s="47">
        <f>Dataset!BS10</f>
        <v>1.9669115983822225</v>
      </c>
      <c r="AL10" s="47">
        <f>Dataset!BU10</f>
        <v>4.0769230769230775</v>
      </c>
      <c r="AM10" s="47">
        <f>Dataset!BW10</f>
        <v>3.5569285083848192</v>
      </c>
      <c r="AN10" s="47">
        <f>Dataset!BY10</f>
        <v>5</v>
      </c>
    </row>
    <row r="16" spans="1:40" ht="21.75" thickBot="1" x14ac:dyDescent="0.4">
      <c r="A16" s="48" t="s">
        <v>163</v>
      </c>
    </row>
    <row r="17" spans="1:11" ht="15.75" thickTop="1" x14ac:dyDescent="0.25"/>
    <row r="18" spans="1:11" x14ac:dyDescent="0.25">
      <c r="A18" s="47" t="s">
        <v>153</v>
      </c>
      <c r="B18" s="47" t="s">
        <v>154</v>
      </c>
    </row>
    <row r="19" spans="1:11" x14ac:dyDescent="0.25">
      <c r="A19" s="47" t="s">
        <v>204</v>
      </c>
      <c r="B19" s="51">
        <v>0.1</v>
      </c>
    </row>
    <row r="20" spans="1:11" x14ac:dyDescent="0.25">
      <c r="A20" s="47" t="s">
        <v>197</v>
      </c>
      <c r="B20" s="51">
        <v>0.1</v>
      </c>
    </row>
    <row r="21" spans="1:11" x14ac:dyDescent="0.25">
      <c r="A21" s="47" t="s">
        <v>167</v>
      </c>
      <c r="B21" s="51">
        <v>0.2</v>
      </c>
    </row>
    <row r="22" spans="1:11" x14ac:dyDescent="0.25">
      <c r="A22" s="47" t="s">
        <v>173</v>
      </c>
      <c r="B22" s="51">
        <v>0.1</v>
      </c>
    </row>
    <row r="23" spans="1:11" x14ac:dyDescent="0.25">
      <c r="A23" s="47" t="s">
        <v>200</v>
      </c>
      <c r="B23" s="51">
        <v>0.1</v>
      </c>
    </row>
    <row r="24" spans="1:11" x14ac:dyDescent="0.25">
      <c r="A24" s="47" t="s">
        <v>201</v>
      </c>
      <c r="B24" s="51">
        <v>0.1</v>
      </c>
    </row>
    <row r="25" spans="1:11" x14ac:dyDescent="0.25">
      <c r="A25" s="47" t="s">
        <v>203</v>
      </c>
      <c r="B25" s="51">
        <v>0.1</v>
      </c>
    </row>
    <row r="26" spans="1:11" x14ac:dyDescent="0.25">
      <c r="A26" s="47" t="s">
        <v>75</v>
      </c>
      <c r="B26" s="51">
        <v>0.1</v>
      </c>
      <c r="J26" s="47">
        <v>0</v>
      </c>
    </row>
    <row r="27" spans="1:11" x14ac:dyDescent="0.25">
      <c r="A27" s="47" t="s">
        <v>202</v>
      </c>
      <c r="B27" s="51">
        <v>0.1</v>
      </c>
    </row>
    <row r="30" spans="1:11" x14ac:dyDescent="0.25">
      <c r="A30" s="47" t="s">
        <v>9</v>
      </c>
      <c r="B30" s="47" t="s">
        <v>165</v>
      </c>
      <c r="C30" s="47" t="s">
        <v>197</v>
      </c>
      <c r="D30" s="47" t="s">
        <v>198</v>
      </c>
      <c r="E30" s="47" t="s">
        <v>199</v>
      </c>
      <c r="F30" s="47" t="s">
        <v>200</v>
      </c>
      <c r="G30" s="47" t="s">
        <v>201</v>
      </c>
      <c r="H30" s="47" t="s">
        <v>203</v>
      </c>
      <c r="I30" s="47" t="s">
        <v>75</v>
      </c>
      <c r="J30" s="47" t="s">
        <v>202</v>
      </c>
      <c r="K30" s="47" t="s">
        <v>155</v>
      </c>
    </row>
    <row r="31" spans="1:11" x14ac:dyDescent="0.25">
      <c r="A31" s="47" t="s">
        <v>98</v>
      </c>
      <c r="B31" s="49">
        <v>3.9677419354838706</v>
      </c>
      <c r="C31" s="49">
        <v>3.0324324324324321</v>
      </c>
      <c r="D31" s="49">
        <v>5</v>
      </c>
      <c r="E31" s="49">
        <v>4.5186440677966111</v>
      </c>
      <c r="F31" s="49">
        <v>1.8333333333333335</v>
      </c>
      <c r="G31" s="49">
        <v>2.931034482758621</v>
      </c>
      <c r="H31" s="49">
        <v>5</v>
      </c>
      <c r="I31" s="49">
        <v>1.4010288966133051</v>
      </c>
      <c r="J31" s="49">
        <v>3.9005401970130276</v>
      </c>
      <c r="K31" s="50">
        <f t="shared" ref="K31:K39" si="0">(B31*$B$19)+(C31*$B$20)+(D31*$B$21)+(E31*$B$22)+(F31*$B$23)+(G31*$B$24)+(H31*$B$25)+(I31*$B$26)+(J31*$B$27)</f>
        <v>3.6584755345431206</v>
      </c>
    </row>
    <row r="32" spans="1:11" x14ac:dyDescent="0.25">
      <c r="A32" s="47" t="s">
        <v>89</v>
      </c>
      <c r="B32" s="49">
        <v>5</v>
      </c>
      <c r="C32" s="49">
        <v>4.0918918918918914</v>
      </c>
      <c r="D32" s="49">
        <v>2.0119047619047619</v>
      </c>
      <c r="E32" s="49">
        <v>2.0983050847457632</v>
      </c>
      <c r="F32" s="49">
        <v>2.166666666666667</v>
      </c>
      <c r="G32" s="49">
        <v>1</v>
      </c>
      <c r="H32" s="49">
        <v>2.9257471231726342</v>
      </c>
      <c r="I32" s="49">
        <v>5</v>
      </c>
      <c r="J32" s="49">
        <v>4.2894820463933909</v>
      </c>
      <c r="K32" s="50">
        <f t="shared" si="0"/>
        <v>3.0595902336679872</v>
      </c>
    </row>
    <row r="33" spans="1:11" x14ac:dyDescent="0.25">
      <c r="A33" s="47" t="s">
        <v>1</v>
      </c>
      <c r="B33" s="49">
        <v>3.161290322580645</v>
      </c>
      <c r="C33" s="49">
        <v>3.9189189189189189</v>
      </c>
      <c r="D33" s="49">
        <v>3.4047619047619055</v>
      </c>
      <c r="E33" s="49">
        <v>2.1322033898305088</v>
      </c>
      <c r="F33" s="49">
        <v>3.3333333333333335</v>
      </c>
      <c r="G33" s="49">
        <v>3.3448275862068964</v>
      </c>
      <c r="H33" s="49">
        <v>4.0345624970841261</v>
      </c>
      <c r="I33" s="49">
        <v>2.2151934435404073</v>
      </c>
      <c r="J33" s="49">
        <v>4.3060057197330801</v>
      </c>
      <c r="K33" s="50">
        <f t="shared" si="0"/>
        <v>3.3255859020751726</v>
      </c>
    </row>
    <row r="34" spans="1:11" x14ac:dyDescent="0.25">
      <c r="A34" s="47" t="s">
        <v>104</v>
      </c>
      <c r="B34" s="49">
        <v>2.2258064516129017</v>
      </c>
      <c r="C34" s="49">
        <v>3.7027027027027026</v>
      </c>
      <c r="D34" s="49">
        <v>2.3214285714285712</v>
      </c>
      <c r="E34" s="49">
        <v>1.9694915254237286</v>
      </c>
      <c r="F34" s="49">
        <v>5</v>
      </c>
      <c r="G34" s="49">
        <v>5</v>
      </c>
      <c r="H34" s="49">
        <v>1.1872245132264077</v>
      </c>
      <c r="I34" s="49">
        <v>1.9669115983822225</v>
      </c>
      <c r="J34" s="49">
        <v>5</v>
      </c>
      <c r="K34" s="50">
        <f t="shared" si="0"/>
        <v>3.0694993934205104</v>
      </c>
    </row>
    <row r="35" spans="1:11" x14ac:dyDescent="0.25">
      <c r="A35" s="47" t="s">
        <v>101</v>
      </c>
      <c r="B35" s="49">
        <v>3.4516129032258034</v>
      </c>
      <c r="C35" s="49">
        <v>3.6810810810810821</v>
      </c>
      <c r="D35" s="49">
        <v>4.666666666666667</v>
      </c>
      <c r="E35" s="49">
        <v>3.2576271186440677</v>
      </c>
      <c r="F35" s="49">
        <v>1.3333333333333333</v>
      </c>
      <c r="G35" s="49">
        <v>2.2413793103448274</v>
      </c>
      <c r="H35" s="49">
        <v>4.1842366290662509</v>
      </c>
      <c r="I35" s="49">
        <v>1.6192235329432305</v>
      </c>
      <c r="J35" s="49">
        <v>3.4760088973625671</v>
      </c>
      <c r="K35" s="50">
        <f t="shared" si="0"/>
        <v>3.2577836139334502</v>
      </c>
    </row>
    <row r="36" spans="1:11" x14ac:dyDescent="0.25">
      <c r="A36" s="47" t="s">
        <v>86</v>
      </c>
      <c r="B36" s="49">
        <v>4.67741935483871</v>
      </c>
      <c r="C36" s="49">
        <v>3.4216216216216222</v>
      </c>
      <c r="D36" s="49">
        <v>2.8571428571428568</v>
      </c>
      <c r="E36" s="49">
        <v>2.6474576271186439</v>
      </c>
      <c r="F36" s="49">
        <v>1.3333333333333333</v>
      </c>
      <c r="G36" s="49">
        <v>1.9655172413793105</v>
      </c>
      <c r="H36" s="49">
        <v>2.9425587891056835</v>
      </c>
      <c r="I36" s="49">
        <v>2.9703567421622128</v>
      </c>
      <c r="J36" s="49">
        <v>2.454083253892597</v>
      </c>
      <c r="K36" s="50">
        <f t="shared" si="0"/>
        <v>2.8126633677737827</v>
      </c>
    </row>
    <row r="37" spans="1:11" x14ac:dyDescent="0.25">
      <c r="A37" s="47" t="s">
        <v>147</v>
      </c>
      <c r="B37" s="49">
        <v>1</v>
      </c>
      <c r="C37" s="49">
        <v>2.7297297297297298</v>
      </c>
      <c r="D37" s="49">
        <v>4.1904761904761907</v>
      </c>
      <c r="E37" s="49">
        <v>5</v>
      </c>
      <c r="F37" s="49">
        <v>1.6666666666666665</v>
      </c>
      <c r="G37" s="49">
        <v>2.6551724137931032</v>
      </c>
      <c r="H37" s="49">
        <v>1</v>
      </c>
      <c r="I37" s="49">
        <v>2.9901318858249768</v>
      </c>
      <c r="J37" s="49">
        <v>3.5243088655862733</v>
      </c>
      <c r="K37" s="50">
        <f t="shared" si="0"/>
        <v>2.8946961942553133</v>
      </c>
    </row>
    <row r="38" spans="1:11" x14ac:dyDescent="0.25">
      <c r="A38" s="47" t="s">
        <v>83</v>
      </c>
      <c r="B38" s="49">
        <v>4.2580645161290285</v>
      </c>
      <c r="C38" s="49">
        <v>5</v>
      </c>
      <c r="D38" s="49">
        <v>2.9761904761904758</v>
      </c>
      <c r="E38" s="49">
        <v>3.3118644067796605</v>
      </c>
      <c r="F38" s="49">
        <v>1</v>
      </c>
      <c r="G38" s="49">
        <v>2.103448275862069</v>
      </c>
      <c r="H38" s="49">
        <v>1.6253501585221635</v>
      </c>
      <c r="I38" s="49">
        <v>1</v>
      </c>
      <c r="J38" s="49">
        <v>1.9774388306323485</v>
      </c>
      <c r="K38" s="50">
        <f t="shared" si="0"/>
        <v>2.6228547140306229</v>
      </c>
    </row>
    <row r="39" spans="1:11" x14ac:dyDescent="0.25">
      <c r="A39" s="47" t="s">
        <v>92</v>
      </c>
      <c r="B39" s="49">
        <v>2.9677419354838683</v>
      </c>
      <c r="C39" s="49">
        <v>1</v>
      </c>
      <c r="D39" s="49">
        <v>1</v>
      </c>
      <c r="E39" s="49">
        <v>1</v>
      </c>
      <c r="F39" s="49">
        <v>4.6666666666666661</v>
      </c>
      <c r="G39" s="49">
        <v>4.1724137931034484</v>
      </c>
      <c r="H39" s="49">
        <v>2.282278986837488</v>
      </c>
      <c r="I39" s="49">
        <v>4.6507142621490551</v>
      </c>
      <c r="J39" s="49">
        <v>1</v>
      </c>
      <c r="K39" s="50">
        <f t="shared" si="0"/>
        <v>2.3739815644240529</v>
      </c>
    </row>
    <row r="43" spans="1:11" x14ac:dyDescent="0.25">
      <c r="A43" s="47" t="s">
        <v>9</v>
      </c>
      <c r="B43" s="47" t="s">
        <v>13</v>
      </c>
      <c r="C43" s="47" t="s">
        <v>17</v>
      </c>
      <c r="D43" s="47" t="s">
        <v>18</v>
      </c>
      <c r="E43" s="47" t="s">
        <v>27</v>
      </c>
      <c r="F43" s="47" t="s">
        <v>47</v>
      </c>
      <c r="G43" s="47" t="s">
        <v>49</v>
      </c>
      <c r="H43" s="47" t="s">
        <v>53</v>
      </c>
      <c r="I43" s="47" t="s">
        <v>75</v>
      </c>
      <c r="J43" s="47" t="s">
        <v>80</v>
      </c>
    </row>
    <row r="44" spans="1:11" x14ac:dyDescent="0.25">
      <c r="A44" s="47" t="s">
        <v>1</v>
      </c>
      <c r="B44" s="49">
        <v>3.161290322580645</v>
      </c>
      <c r="C44" s="49">
        <v>3.9189189189189189</v>
      </c>
      <c r="D44" s="49">
        <v>3.4047619047619055</v>
      </c>
      <c r="E44" s="49">
        <v>2.1322033898305088</v>
      </c>
      <c r="F44" s="49">
        <v>3.3333333333333335</v>
      </c>
      <c r="G44" s="49">
        <v>3.3448275862068964</v>
      </c>
      <c r="H44" s="49">
        <v>4.0345624970841261</v>
      </c>
      <c r="I44" s="49">
        <v>2.2151934435404073</v>
      </c>
      <c r="J44" s="49">
        <v>4.3060057197330801</v>
      </c>
    </row>
    <row r="45" spans="1:11" x14ac:dyDescent="0.25">
      <c r="A45" s="47" t="s">
        <v>83</v>
      </c>
      <c r="B45" s="49">
        <v>4.2580645161290285</v>
      </c>
      <c r="C45" s="49">
        <v>5</v>
      </c>
      <c r="D45" s="49">
        <v>2.9761904761904758</v>
      </c>
      <c r="E45" s="49">
        <v>3.3118644067796605</v>
      </c>
      <c r="F45" s="49">
        <v>1</v>
      </c>
      <c r="G45" s="49">
        <v>2.103448275862069</v>
      </c>
      <c r="H45" s="49">
        <v>1.6253501585221635</v>
      </c>
      <c r="I45" s="49">
        <v>1</v>
      </c>
      <c r="J45" s="49">
        <v>1.9774388306323485</v>
      </c>
    </row>
    <row r="46" spans="1:11" x14ac:dyDescent="0.25">
      <c r="A46" s="47" t="s">
        <v>86</v>
      </c>
      <c r="B46" s="49">
        <v>4.67741935483871</v>
      </c>
      <c r="C46" s="49">
        <v>3.4216216216216222</v>
      </c>
      <c r="D46" s="49">
        <v>2.8571428571428568</v>
      </c>
      <c r="E46" s="49">
        <v>2.6474576271186439</v>
      </c>
      <c r="F46" s="49">
        <v>1.3333333333333333</v>
      </c>
      <c r="G46" s="49">
        <v>1.9655172413793105</v>
      </c>
      <c r="H46" s="49">
        <v>2.9425587891056835</v>
      </c>
      <c r="I46" s="49">
        <v>2.9703567421622128</v>
      </c>
      <c r="J46" s="49">
        <v>2.454083253892597</v>
      </c>
    </row>
    <row r="47" spans="1:11" x14ac:dyDescent="0.25">
      <c r="A47" s="47" t="s">
        <v>89</v>
      </c>
      <c r="B47" s="49">
        <v>5</v>
      </c>
      <c r="C47" s="49">
        <v>4.0918918918918914</v>
      </c>
      <c r="D47" s="49">
        <v>2.0119047619047619</v>
      </c>
      <c r="E47" s="49">
        <v>2.0983050847457632</v>
      </c>
      <c r="F47" s="49">
        <v>2.166666666666667</v>
      </c>
      <c r="G47" s="49">
        <v>1</v>
      </c>
      <c r="H47" s="49">
        <v>2.9257471231726342</v>
      </c>
      <c r="I47" s="49">
        <v>5</v>
      </c>
      <c r="J47" s="49">
        <v>4.2894820463933909</v>
      </c>
    </row>
    <row r="48" spans="1:11" x14ac:dyDescent="0.25">
      <c r="A48" s="47" t="s">
        <v>92</v>
      </c>
      <c r="B48" s="49">
        <v>2.9677419354838683</v>
      </c>
      <c r="C48" s="49">
        <v>1</v>
      </c>
      <c r="D48" s="49">
        <v>1</v>
      </c>
      <c r="E48" s="49">
        <v>1</v>
      </c>
      <c r="F48" s="49">
        <v>4.6666666666666661</v>
      </c>
      <c r="G48" s="49">
        <v>4.1724137931034484</v>
      </c>
      <c r="H48" s="49">
        <v>2.282278986837488</v>
      </c>
      <c r="I48" s="49">
        <v>4.6507142621490551</v>
      </c>
      <c r="J48" s="49">
        <v>1</v>
      </c>
    </row>
    <row r="49" spans="1:10" x14ac:dyDescent="0.25">
      <c r="A49" s="47" t="s">
        <v>147</v>
      </c>
      <c r="B49" s="49">
        <v>1</v>
      </c>
      <c r="C49" s="49">
        <v>2.7297297297297298</v>
      </c>
      <c r="D49" s="49">
        <v>4.1904761904761907</v>
      </c>
      <c r="E49" s="49">
        <v>5</v>
      </c>
      <c r="F49" s="49">
        <v>1.6666666666666665</v>
      </c>
      <c r="G49" s="49">
        <v>2.6551724137931032</v>
      </c>
      <c r="H49" s="49">
        <v>1</v>
      </c>
      <c r="I49" s="49">
        <v>2.9901318858249768</v>
      </c>
      <c r="J49" s="49">
        <v>3.5243088655862733</v>
      </c>
    </row>
    <row r="50" spans="1:10" x14ac:dyDescent="0.25">
      <c r="A50" s="47" t="s">
        <v>98</v>
      </c>
      <c r="B50" s="49">
        <v>3.9677419354838706</v>
      </c>
      <c r="C50" s="49">
        <v>3.0324324324324321</v>
      </c>
      <c r="D50" s="49">
        <v>5</v>
      </c>
      <c r="E50" s="49">
        <v>4.5186440677966111</v>
      </c>
      <c r="F50" s="49">
        <v>1.8333333333333335</v>
      </c>
      <c r="G50" s="49">
        <v>2.931034482758621</v>
      </c>
      <c r="H50" s="49">
        <v>5</v>
      </c>
      <c r="I50" s="49">
        <v>1.4010288966133051</v>
      </c>
      <c r="J50" s="49">
        <v>3.9005401970130276</v>
      </c>
    </row>
    <row r="51" spans="1:10" x14ac:dyDescent="0.25">
      <c r="A51" s="47" t="s">
        <v>101</v>
      </c>
      <c r="B51" s="49">
        <v>3.4516129032258034</v>
      </c>
      <c r="C51" s="49">
        <v>3.6810810810810821</v>
      </c>
      <c r="D51" s="49">
        <v>4.666666666666667</v>
      </c>
      <c r="E51" s="49">
        <v>3.2576271186440677</v>
      </c>
      <c r="F51" s="49">
        <v>1.3333333333333333</v>
      </c>
      <c r="G51" s="49">
        <v>2.2413793103448274</v>
      </c>
      <c r="H51" s="49">
        <v>4.1842366290662509</v>
      </c>
      <c r="I51" s="49">
        <v>1.6192235329432305</v>
      </c>
      <c r="J51" s="49">
        <v>3.4760088973625671</v>
      </c>
    </row>
    <row r="52" spans="1:10" x14ac:dyDescent="0.25">
      <c r="A52" s="47" t="s">
        <v>104</v>
      </c>
      <c r="B52" s="49">
        <v>2.2258064516129017</v>
      </c>
      <c r="C52" s="49">
        <v>3.7027027027027026</v>
      </c>
      <c r="D52" s="49">
        <v>2.3214285714285712</v>
      </c>
      <c r="E52" s="49">
        <v>1.9694915254237286</v>
      </c>
      <c r="F52" s="49">
        <v>5</v>
      </c>
      <c r="G52" s="49">
        <v>5</v>
      </c>
      <c r="H52" s="49">
        <v>1.1872245132264077</v>
      </c>
      <c r="I52" s="49">
        <v>1.9669115983822225</v>
      </c>
      <c r="J52" s="49">
        <v>5</v>
      </c>
    </row>
  </sheetData>
  <conditionalFormatting sqref="K31:K39">
    <cfRule type="cellIs" dxfId="225" priority="1" operator="equal">
      <formula>MAX($K$31:$K$39)</formula>
    </cfRule>
  </conditionalFormatting>
  <dataValidations count="1">
    <dataValidation errorStyle="warning" allowBlank="1" showInputMessage="1" showErrorMessage="1" errorTitle="Error" error="Sum of all the percentage alloted should be equivalent to 100%." promptTitle="Priortiszation" prompt="Give hgher percentage to the variables that you would consider more valuable while selecting your best city to live and vice versa." sqref="B19:B27" xr:uid="{1E7A7267-184A-472D-BC77-5B8929312871}"/>
  </dataValidations>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E3D7D-950C-4D39-919B-7DEC5C4CBF86}">
  <sheetPr codeName="Sheet4"/>
  <dimension ref="A1:BY14"/>
  <sheetViews>
    <sheetView workbookViewId="0">
      <selection activeCell="G2" sqref="G2"/>
    </sheetView>
  </sheetViews>
  <sheetFormatPr defaultRowHeight="15" x14ac:dyDescent="0.25"/>
  <cols>
    <col min="1" max="1" width="12.85546875" bestFit="1" customWidth="1"/>
    <col min="2" max="2" width="11.42578125" bestFit="1" customWidth="1"/>
    <col min="3" max="3" width="17" bestFit="1" customWidth="1"/>
    <col min="4" max="4" width="21.42578125" bestFit="1" customWidth="1"/>
    <col min="5" max="5" width="17.5703125" bestFit="1" customWidth="1"/>
    <col min="6" max="6" width="24.85546875" bestFit="1" customWidth="1"/>
    <col min="7" max="7" width="17" bestFit="1" customWidth="1"/>
    <col min="8" max="8" width="14.28515625" bestFit="1" customWidth="1"/>
    <col min="9" max="9" width="15.7109375" bestFit="1" customWidth="1"/>
    <col min="10" max="10" width="19.140625" bestFit="1" customWidth="1"/>
    <col min="11" max="11" width="17.140625" bestFit="1" customWidth="1"/>
    <col min="12" max="12" width="20.7109375" bestFit="1" customWidth="1"/>
    <col min="13" max="13" width="16.7109375" bestFit="1" customWidth="1"/>
    <col min="14" max="14" width="31" bestFit="1" customWidth="1"/>
    <col min="15" max="15" width="18.140625" bestFit="1" customWidth="1"/>
    <col min="16" max="16" width="28.85546875" bestFit="1" customWidth="1"/>
    <col min="17" max="17" width="17.85546875" bestFit="1" customWidth="1"/>
    <col min="18" max="18" width="17" bestFit="1" customWidth="1"/>
    <col min="19" max="19" width="15.85546875" bestFit="1" customWidth="1"/>
    <col min="20" max="20" width="15.7109375" bestFit="1" customWidth="1"/>
    <col min="21" max="21" width="15.85546875" bestFit="1" customWidth="1"/>
    <col min="22" max="22" width="12.85546875" bestFit="1" customWidth="1"/>
    <col min="23" max="23" width="15.85546875" bestFit="1" customWidth="1"/>
    <col min="24" max="24" width="23.42578125" bestFit="1" customWidth="1"/>
    <col min="25" max="25" width="17" bestFit="1" customWidth="1"/>
    <col min="26" max="26" width="30.140625" bestFit="1" customWidth="1"/>
    <col min="27" max="27" width="17.85546875" bestFit="1" customWidth="1"/>
    <col min="28" max="28" width="20.85546875" bestFit="1" customWidth="1"/>
    <col min="29" max="29" width="18.5703125" bestFit="1" customWidth="1"/>
    <col min="30" max="30" width="23.42578125" bestFit="1" customWidth="1"/>
    <col min="31" max="31" width="18.140625" bestFit="1" customWidth="1"/>
    <col min="32" max="32" width="14.28515625" bestFit="1" customWidth="1"/>
    <col min="33" max="33" width="15.7109375" bestFit="1" customWidth="1"/>
    <col min="34" max="34" width="24.85546875" bestFit="1" customWidth="1"/>
    <col min="35" max="35" width="16.7109375" bestFit="1" customWidth="1"/>
    <col min="36" max="36" width="17.42578125" bestFit="1" customWidth="1"/>
    <col min="37" max="37" width="16.7109375" bestFit="1" customWidth="1"/>
    <col min="38" max="38" width="20.28515625" bestFit="1" customWidth="1"/>
    <col min="39" max="39" width="15.140625" bestFit="1" customWidth="1"/>
    <col min="40" max="40" width="20.85546875" bestFit="1" customWidth="1"/>
    <col min="41" max="41" width="16.85546875" bestFit="1" customWidth="1"/>
    <col min="42" max="42" width="23.42578125" bestFit="1" customWidth="1"/>
    <col min="43" max="43" width="16.42578125" bestFit="1" customWidth="1"/>
    <col min="44" max="44" width="23" bestFit="1" customWidth="1"/>
    <col min="45" max="45" width="16" bestFit="1" customWidth="1"/>
    <col min="46" max="46" width="13.5703125" bestFit="1" customWidth="1"/>
    <col min="47" max="47" width="15.140625" bestFit="1" customWidth="1"/>
    <col min="48" max="48" width="13.42578125" bestFit="1" customWidth="1"/>
    <col min="49" max="49" width="16.28515625" bestFit="1" customWidth="1"/>
    <col min="50" max="50" width="9.85546875" bestFit="1" customWidth="1"/>
    <col min="51" max="51" width="16" bestFit="1" customWidth="1"/>
    <col min="52" max="52" width="7.28515625" bestFit="1" customWidth="1"/>
    <col min="53" max="53" width="15.140625" bestFit="1" customWidth="1"/>
    <col min="54" max="54" width="10.28515625" bestFit="1" customWidth="1"/>
    <col min="55" max="55" width="21.7109375" bestFit="1" customWidth="1"/>
    <col min="56" max="56" width="14.140625" bestFit="1" customWidth="1"/>
    <col min="57" max="57" width="16.7109375" bestFit="1" customWidth="1"/>
    <col min="58" max="58" width="19.28515625" bestFit="1" customWidth="1"/>
    <col min="59" max="59" width="17.5703125" bestFit="1" customWidth="1"/>
    <col min="60" max="60" width="10.5703125" bestFit="1" customWidth="1"/>
    <col min="61" max="61" width="21.5703125" bestFit="1" customWidth="1"/>
    <col min="62" max="62" width="9.7109375" bestFit="1" customWidth="1"/>
    <col min="63" max="63" width="21" bestFit="1" customWidth="1"/>
    <col min="64" max="64" width="15.140625" bestFit="1" customWidth="1"/>
    <col min="65" max="65" width="16.42578125" bestFit="1" customWidth="1"/>
    <col min="66" max="66" width="16.140625" bestFit="1" customWidth="1"/>
    <col min="67" max="67" width="17.42578125" bestFit="1" customWidth="1"/>
    <col min="68" max="68" width="27.7109375" style="6" bestFit="1" customWidth="1"/>
    <col min="69" max="69" width="17.85546875" bestFit="1" customWidth="1"/>
    <col min="70" max="70" width="12.85546875" bestFit="1" customWidth="1"/>
    <col min="71" max="71" width="17.42578125" bestFit="1" customWidth="1"/>
    <col min="72" max="72" width="15.85546875" style="4" bestFit="1" customWidth="1"/>
    <col min="73" max="73" width="17.28515625" bestFit="1" customWidth="1"/>
    <col min="74" max="74" width="20" style="4" bestFit="1" customWidth="1"/>
    <col min="75" max="75" width="18.42578125" bestFit="1" customWidth="1"/>
    <col min="76" max="76" width="17" style="4" bestFit="1" customWidth="1"/>
    <col min="77" max="77" width="16.42578125" bestFit="1" customWidth="1"/>
  </cols>
  <sheetData>
    <row r="1" spans="1:77" x14ac:dyDescent="0.25">
      <c r="A1" t="s">
        <v>9</v>
      </c>
      <c r="B1" t="s">
        <v>10</v>
      </c>
      <c r="C1" t="s">
        <v>11</v>
      </c>
      <c r="D1" t="s">
        <v>2</v>
      </c>
      <c r="E1" t="s">
        <v>12</v>
      </c>
      <c r="F1" t="s">
        <v>5</v>
      </c>
      <c r="G1" t="s">
        <v>13</v>
      </c>
      <c r="H1" t="s">
        <v>14</v>
      </c>
      <c r="I1" t="s">
        <v>15</v>
      </c>
      <c r="J1" t="s">
        <v>16</v>
      </c>
      <c r="K1" t="s">
        <v>17</v>
      </c>
      <c r="L1" t="s">
        <v>3</v>
      </c>
      <c r="M1" t="s">
        <v>18</v>
      </c>
      <c r="N1" t="s">
        <v>19</v>
      </c>
      <c r="O1" t="s">
        <v>20</v>
      </c>
      <c r="P1" t="s">
        <v>21</v>
      </c>
      <c r="Q1" t="s">
        <v>22</v>
      </c>
      <c r="R1" t="s">
        <v>4</v>
      </c>
      <c r="S1" t="s">
        <v>23</v>
      </c>
      <c r="T1" t="s">
        <v>24</v>
      </c>
      <c r="U1" t="s">
        <v>25</v>
      </c>
      <c r="V1" t="s">
        <v>26</v>
      </c>
      <c r="W1" t="s">
        <v>27</v>
      </c>
      <c r="X1" t="s">
        <v>28</v>
      </c>
      <c r="Y1" t="s">
        <v>29</v>
      </c>
      <c r="Z1" t="s">
        <v>30</v>
      </c>
      <c r="AA1" t="s">
        <v>31</v>
      </c>
      <c r="AB1" t="s">
        <v>32</v>
      </c>
      <c r="AC1" t="s">
        <v>33</v>
      </c>
      <c r="AD1" t="s">
        <v>34</v>
      </c>
      <c r="AE1" t="s">
        <v>35</v>
      </c>
      <c r="AF1" t="s">
        <v>36</v>
      </c>
      <c r="AG1" t="s">
        <v>37</v>
      </c>
      <c r="AH1" t="s">
        <v>38</v>
      </c>
      <c r="AI1" t="s">
        <v>39</v>
      </c>
      <c r="AJ1" t="s">
        <v>40</v>
      </c>
      <c r="AK1" t="s">
        <v>41</v>
      </c>
      <c r="AL1" t="s">
        <v>42</v>
      </c>
      <c r="AM1" t="s">
        <v>43</v>
      </c>
      <c r="AN1" t="s">
        <v>44</v>
      </c>
      <c r="AO1" t="s">
        <v>45</v>
      </c>
      <c r="AP1" t="s">
        <v>46</v>
      </c>
      <c r="AQ1" t="s">
        <v>47</v>
      </c>
      <c r="AR1" t="s">
        <v>48</v>
      </c>
      <c r="AS1" t="s">
        <v>49</v>
      </c>
      <c r="AT1" t="s">
        <v>50</v>
      </c>
      <c r="AU1" t="s">
        <v>51</v>
      </c>
      <c r="AV1" t="s">
        <v>52</v>
      </c>
      <c r="AW1" t="s">
        <v>53</v>
      </c>
      <c r="AX1" t="s">
        <v>54</v>
      </c>
      <c r="AY1" t="s">
        <v>55</v>
      </c>
      <c r="AZ1" t="s">
        <v>56</v>
      </c>
      <c r="BA1" t="s">
        <v>57</v>
      </c>
      <c r="BB1" t="s">
        <v>58</v>
      </c>
      <c r="BC1" t="s">
        <v>59</v>
      </c>
      <c r="BD1" t="s">
        <v>60</v>
      </c>
      <c r="BE1" t="s">
        <v>61</v>
      </c>
      <c r="BF1" t="s">
        <v>62</v>
      </c>
      <c r="BG1" t="s">
        <v>63</v>
      </c>
      <c r="BH1" t="s">
        <v>64</v>
      </c>
      <c r="BI1" t="s">
        <v>65</v>
      </c>
      <c r="BJ1" t="s">
        <v>66</v>
      </c>
      <c r="BK1" t="s">
        <v>67</v>
      </c>
      <c r="BL1" t="s">
        <v>68</v>
      </c>
      <c r="BM1" t="s">
        <v>69</v>
      </c>
      <c r="BN1" t="s">
        <v>70</v>
      </c>
      <c r="BO1" t="s">
        <v>71</v>
      </c>
      <c r="BP1" s="6" t="s">
        <v>72</v>
      </c>
      <c r="BQ1" t="s">
        <v>73</v>
      </c>
      <c r="BR1" t="s">
        <v>74</v>
      </c>
      <c r="BS1" t="s">
        <v>75</v>
      </c>
      <c r="BT1" s="4" t="s">
        <v>8</v>
      </c>
      <c r="BU1" t="s">
        <v>76</v>
      </c>
      <c r="BV1" s="4" t="s">
        <v>77</v>
      </c>
      <c r="BW1" t="s">
        <v>78</v>
      </c>
      <c r="BX1" s="4" t="s">
        <v>79</v>
      </c>
      <c r="BY1" t="s">
        <v>80</v>
      </c>
    </row>
    <row r="2" spans="1:77" x14ac:dyDescent="0.25">
      <c r="A2" t="s">
        <v>1</v>
      </c>
      <c r="B2" t="s">
        <v>81</v>
      </c>
      <c r="C2" t="s">
        <v>82</v>
      </c>
      <c r="D2" s="8">
        <v>153.19999999999999</v>
      </c>
      <c r="E2" s="1">
        <f>((5-1)*(FullandFinal_Project[[#This Row],[Quality of Life Index]]-$D$13)/($D$14-$D$13))+1</f>
        <v>3.0652818991097903</v>
      </c>
      <c r="F2" s="8">
        <v>106.7</v>
      </c>
      <c r="G2" s="1">
        <f>((5-1)*(FullandFinal_Project[[#This Row],[Purchasing Power Index]]-$F$13)/($F$14-$F$13))+1</f>
        <v>3.161290322580645</v>
      </c>
      <c r="H2" s="8">
        <v>36.700000000000003</v>
      </c>
      <c r="I2" s="1">
        <f>((5-1)*(FullandFinal_Project[[#This Row],[Safety Index]]-$H$13)/($H$14-$H$13))+1</f>
        <v>1.428571428571429</v>
      </c>
      <c r="J2" s="10">
        <v>68</v>
      </c>
      <c r="K2" s="1">
        <f>((5-1)*(FullandFinal_Project[[#This Row],[Health Care Index]]-$J$13)/($J$14-$J$13))+1</f>
        <v>3.9189189189189189</v>
      </c>
      <c r="L2" s="8">
        <v>93.4</v>
      </c>
      <c r="M2" s="1">
        <f>((5-1)*(FullandFinal_Project[[#This Row],[Cost of Living Index]]-$L$13)/($L$14-$L$13))+1</f>
        <v>3.4047619047619055</v>
      </c>
      <c r="N2">
        <v>4.7</v>
      </c>
      <c r="O2" s="1">
        <f>((5-1)*(FullandFinal_Project[[#This Row],[Property Price to Income Ratio]]-$N$13)/($N$14-$N$13))+1</f>
        <v>1.7536231884057973</v>
      </c>
      <c r="P2" s="8">
        <v>41.3</v>
      </c>
      <c r="Q2" s="1">
        <f>((5-1)*(FullandFinal_Project[[#This Row],[Traffic Commute Time Index]]-$P$13)/($P$14-$P$13))+1</f>
        <v>3.2788844621513937</v>
      </c>
      <c r="R2" s="8">
        <v>45.3</v>
      </c>
      <c r="S2" s="1">
        <f>((5-1)*(FullandFinal_Project[[#This Row],[Pollution Index]]-$R$13)/($R$14-$R$13))+1</f>
        <v>3.068965517241379</v>
      </c>
      <c r="T2" s="8">
        <v>89.7</v>
      </c>
      <c r="U2" s="1">
        <f>((5-1)*(FullandFinal_Project[[#This Row],[Climate Index]]-$T$13)/($T$14-$T$13))+1</f>
        <v>4.2585365853658548</v>
      </c>
      <c r="V2" s="8">
        <v>57.7</v>
      </c>
      <c r="W2" s="1">
        <f>((5-1)*(FullandFinal_Project[[#This Row],[Rent Index]]-$V$13)/($V$14-$V$13))+1</f>
        <v>2.1322033898305088</v>
      </c>
      <c r="X2" s="11">
        <v>86.1</v>
      </c>
      <c r="Y2" s="1">
        <f>((5-1)*(FullandFinal_Project[[#This Row],[Restaurant Price Index]]-$X$13)/($X$14-$X$13))+1</f>
        <v>2.9166666666666665</v>
      </c>
      <c r="Z2" s="8">
        <v>108.6</v>
      </c>
      <c r="AA2" s="1">
        <f>((5-1)*(FullandFinal_Project[[#This Row],[Local Purchasing Power Index]]-$Z$13)/($Z$14-$Z$13))+1</f>
        <v>3.5481481481481465</v>
      </c>
      <c r="AB2" s="8">
        <v>68</v>
      </c>
      <c r="AC2" s="1">
        <f>((5-1)*(FullandFinal_Project[[#This Row],[Health Care Index.1]]-$AB$13)/($AB$14-$AB$13))+1</f>
        <v>3.9189189189189189</v>
      </c>
      <c r="AD2" s="8">
        <v>126.6</v>
      </c>
      <c r="AE2" s="1">
        <f>((5-1)*(FullandFinal_Project[[#This Row],[Health Care Exp. Index]]-$AD$13)/($AD$14-$AD$13))+1</f>
        <v>4.0991957104557635</v>
      </c>
      <c r="AF2" s="8">
        <v>199.1</v>
      </c>
      <c r="AG2" s="1">
        <f>((5-1)*(FullandFinal_Project[[#This Row],[Traffic Index]]-$AF$13)/($AF$14-$AF$13))+1</f>
        <v>3.1319648093841637</v>
      </c>
      <c r="AH2" s="8">
        <v>41.3</v>
      </c>
      <c r="AI2" s="1">
        <f>((5-1)*(FullandFinal_Project[[#This Row],[Time Index (in minutes)]]-$AH$13)/($AH$14-$AH$13))+1</f>
        <v>3.2788844621513937</v>
      </c>
      <c r="AJ2" s="8">
        <v>2026.4</v>
      </c>
      <c r="AK2" s="1">
        <f>((5-1)*(FullandFinal_Project[[#This Row],[Time Exp. Index]]-$AJ$13)/($AJ$14-$AJ$13))+1</f>
        <v>2.0169024505364135</v>
      </c>
      <c r="AL2" s="8">
        <v>232.7</v>
      </c>
      <c r="AM2" s="1">
        <f>((5-1)*(FullandFinal_Project[[#This Row],[Insufficiency Index]]-$AL$13)/($AL$14-$AL$13))+1</f>
        <v>1.8130968622100951</v>
      </c>
      <c r="AN2" s="8">
        <v>9496.9</v>
      </c>
      <c r="AO2" s="1">
        <f>((5-1)*(FullandFinal_Project[[#This Row],[CO2 Emission Index]]-AN13)/($AN$14-$AN$13))+1</f>
        <v>4.9475395416777923</v>
      </c>
      <c r="AP2">
        <v>73</v>
      </c>
      <c r="AQ2" s="1">
        <f>((5-1)*(FullandFinal_Project[[#This Row],[Temperature-High (°F)]]-$AP$13)/($AP$14-$AP$13))+1</f>
        <v>3.3333333333333335</v>
      </c>
      <c r="AR2">
        <v>54</v>
      </c>
      <c r="AS2" s="1">
        <f>((5-1)*(FullandFinal_Project[[#This Row],[Temperature-Low (°F)]]-$AR$13)/($AR$14-$AR$13))+1</f>
        <v>3.3448275862068964</v>
      </c>
      <c r="AT2" s="9">
        <v>481343</v>
      </c>
      <c r="AU2" s="1">
        <f>((5-1)*(FullandFinal_Project[[#This Row],[population]]-$AT$13)/($AT$14-$AT$13))+1</f>
        <v>1.0460736143128782</v>
      </c>
      <c r="AV2" s="8">
        <v>5727.52</v>
      </c>
      <c r="AW2" s="1">
        <f>((5-1)*(FullandFinal_Project[[#This Row],[total_crime]]-$AV$13)/($AV$14-$AV$13))+1</f>
        <v>4.0345624970841261</v>
      </c>
      <c r="AX2" s="8">
        <v>16.41</v>
      </c>
      <c r="AY2" s="1">
        <f>((5-1)*(FullandFinal_Project[[#This Row],[murder]]-$AX$13)/($AX$14-$AX$13))+1</f>
        <v>4.5023537323470073</v>
      </c>
      <c r="AZ2" s="8">
        <v>58.59</v>
      </c>
      <c r="BA2" s="1">
        <f>((5-1)*(FullandFinal_Project[[#This Row],[rape]]-$AZ$13)/($AZ$14-$AZ$13))+1</f>
        <v>2.7393497757847536</v>
      </c>
      <c r="BB2" s="8">
        <v>293.55</v>
      </c>
      <c r="BC2" s="1">
        <f>((5-1)*(FullandFinal_Project[[#This Row],[robbery]]-$BB$13)/($BB$14-$BB$13))+1</f>
        <v>3.2530347990288644</v>
      </c>
      <c r="BD2" s="8">
        <v>567.16</v>
      </c>
      <c r="BE2" s="1">
        <f>((5-1)*(FullandFinal_Project[[#This Row],[aggravated_assault]]-$BD$13)/($BD$14-$BD$13))+1</f>
        <v>4.9523703207561205</v>
      </c>
      <c r="BF2" s="8">
        <v>935.72</v>
      </c>
      <c r="BG2" s="1">
        <f>((5-1)*(FullandFinal_Project[[#This Row],[tot_violent_crime]]-$BF$13)/($BF$14-$BF$13))+1</f>
        <v>3.9714555914571683</v>
      </c>
      <c r="BH2" s="8">
        <v>704.28</v>
      </c>
      <c r="BI2" s="1">
        <f>((5-1)*(FullandFinal_Project[[#This Row],[burglary]]-$BH$13)/($BH$14-$BH$13))+1</f>
        <v>3.4148734144012756</v>
      </c>
      <c r="BJ2" s="8">
        <v>3387.19</v>
      </c>
      <c r="BK2" s="1">
        <f>((5-1)*(FullandFinal_Project[[#This Row],[larceny]]-$BJ$13)/($BJ$14-$BJ$13))+1</f>
        <v>3.2426162665447649</v>
      </c>
      <c r="BL2" s="8">
        <v>684.96</v>
      </c>
      <c r="BM2" s="1">
        <f>((5-1)*(FullandFinal_Project[[#This Row],[vehicle_theft]]-$BL$13)/($BL$14-$BL$13))+1</f>
        <v>4.4341723472490253</v>
      </c>
      <c r="BN2" s="8">
        <v>4776.43</v>
      </c>
      <c r="BO2" s="1">
        <f>((5-1)*(FullandFinal_Project[[#This Row],[total_property_crim]]-$BN$13)/($BN$14-$BN$13))+1</f>
        <v>3.8205440063736509</v>
      </c>
      <c r="BP2" s="7">
        <v>89415</v>
      </c>
      <c r="BQ2" s="1">
        <f>((5-1)*(FullandFinal_Project[[#This Row],[Median Household Income]]-$BP$13)/($BP$14-$BP$13))+1</f>
        <v>2.402326955040591</v>
      </c>
      <c r="BR2" s="5">
        <v>51.759124087591239</v>
      </c>
      <c r="BS2" s="1">
        <f>((5-1)*(FullandFinal_Project[[#This Row],[AQI]]-$BR$13)/($BR$14-$BR$13))+1</f>
        <v>2.2151934435404073</v>
      </c>
      <c r="BT2" s="4">
        <v>7.2499999999999995E-2</v>
      </c>
      <c r="BU2" s="1">
        <f>((5-1)*(FullandFinal_Project[[#This Row],[State Tax Rate]]-$BT$13)/($BT$14-$BT$13))+1</f>
        <v>5</v>
      </c>
      <c r="BV2" s="4">
        <v>1.601E-2</v>
      </c>
      <c r="BW2" s="1">
        <f>((5-1)*(FullandFinal_Project[[#This Row],[Avg local total rate]]-$BV$13)/($BV$14-$BV$13))+1</f>
        <v>2.4130626654898499</v>
      </c>
      <c r="BX2" s="4">
        <v>8.8510000000000005E-2</v>
      </c>
      <c r="BY2" s="1">
        <f>((5-1)*(FullandFinal_Project[[#This Row],[Combined Rate]]-$BX$13)/($BX$14-$BX$13))+1</f>
        <v>4.3060057197330801</v>
      </c>
    </row>
    <row r="3" spans="1:77" x14ac:dyDescent="0.25">
      <c r="A3" t="s">
        <v>83</v>
      </c>
      <c r="B3" t="s">
        <v>84</v>
      </c>
      <c r="C3" t="s">
        <v>85</v>
      </c>
      <c r="D3" s="8">
        <v>165.8</v>
      </c>
      <c r="E3" s="1">
        <f>((5-1)*(FullandFinal_Project[[#This Row],[Quality of Life Index]]-$D$13)/($D$14-$D$13))+1</f>
        <v>4.5608308605341259</v>
      </c>
      <c r="F3" s="8">
        <v>110.1</v>
      </c>
      <c r="G3" s="1">
        <f>((5-1)*(FullandFinal_Project[[#This Row],[Purchasing Power Index]]-$F$13)/($F$14-$F$13))+1</f>
        <v>4.2580645161290285</v>
      </c>
      <c r="H3" s="8">
        <v>59.2</v>
      </c>
      <c r="I3" s="1">
        <f>((5-1)*(FullandFinal_Project[[#This Row],[Safety Index]]-$H$13)/($H$14-$H$13))+1</f>
        <v>5</v>
      </c>
      <c r="J3" s="10">
        <v>73</v>
      </c>
      <c r="K3" s="1">
        <f>((5-1)*(FullandFinal_Project[[#This Row],[Health Care Index]]-$J$13)/($J$14-$J$13))+1</f>
        <v>5</v>
      </c>
      <c r="L3" s="8">
        <v>89.8</v>
      </c>
      <c r="M3" s="1">
        <f>((5-1)*(FullandFinal_Project[[#This Row],[Cost of Living Index]]-$L$13)/($L$14-$L$13))+1</f>
        <v>2.9761904761904758</v>
      </c>
      <c r="N3">
        <v>8</v>
      </c>
      <c r="O3" s="1">
        <f>((5-1)*(FullandFinal_Project[[#This Row],[Property Price to Income Ratio]]-$N$13)/($N$14-$N$13))+1</f>
        <v>3.6666666666666665</v>
      </c>
      <c r="P3" s="8">
        <v>45.6</v>
      </c>
      <c r="Q3" s="1">
        <f>((5-1)*(FullandFinal_Project[[#This Row],[Traffic Commute Time Index]]-$P$13)/($P$14-$P$13))+1</f>
        <v>3.9641434262948207</v>
      </c>
      <c r="R3" s="8">
        <v>31.8</v>
      </c>
      <c r="S3" s="1">
        <f>((5-1)*(FullandFinal_Project[[#This Row],[Pollution Index]]-$R$13)/($R$14-$R$13))+1</f>
        <v>1</v>
      </c>
      <c r="T3" s="8">
        <v>71.7</v>
      </c>
      <c r="U3" s="1">
        <f>((5-1)*(FullandFinal_Project[[#This Row],[Climate Index]]-$T$13)/($T$14-$T$13))+1</f>
        <v>2.5024390243902443</v>
      </c>
      <c r="V3" s="8">
        <v>75.099999999999994</v>
      </c>
      <c r="W3" s="1">
        <f>((5-1)*(FullandFinal_Project[[#This Row],[Rent Index]]-$V$13)/($V$14-$V$13))+1</f>
        <v>3.3118644067796605</v>
      </c>
      <c r="X3" s="11">
        <v>91.6</v>
      </c>
      <c r="Y3" s="1">
        <f>((5-1)*(FullandFinal_Project[[#This Row],[Restaurant Price Index]]-$X$13)/($X$14-$X$13))+1</f>
        <v>3.6805555555555554</v>
      </c>
      <c r="Z3" s="8">
        <v>110.1</v>
      </c>
      <c r="AA3" s="1">
        <f>((5-1)*(FullandFinal_Project[[#This Row],[Local Purchasing Power Index]]-$Z$13)/($Z$14-$Z$13))+1</f>
        <v>3.9925925925925907</v>
      </c>
      <c r="AB3" s="8">
        <v>73</v>
      </c>
      <c r="AC3" s="1">
        <f>((5-1)*(FullandFinal_Project[[#This Row],[Health Care Index.1]]-$AB$13)/($AB$14-$AB$13))+1</f>
        <v>5</v>
      </c>
      <c r="AD3" s="8">
        <v>135</v>
      </c>
      <c r="AE3" s="1">
        <f>((5-1)*(FullandFinal_Project[[#This Row],[Health Care Exp. Index]]-$AD$13)/($AD$14-$AD$13))+1</f>
        <v>5</v>
      </c>
      <c r="AF3" s="8">
        <v>215.9</v>
      </c>
      <c r="AG3" s="1">
        <f>((5-1)*(FullandFinal_Project[[#This Row],[Traffic Index]]-$AF$13)/($AF$14-$AF$13))+1</f>
        <v>3.6246334310850439</v>
      </c>
      <c r="AH3" s="8">
        <v>45.6</v>
      </c>
      <c r="AI3" s="1">
        <f>((5-1)*(FullandFinal_Project[[#This Row],[Time Index (in minutes)]]-$AH$13)/($AH$14-$AH$13))+1</f>
        <v>3.9641434262948207</v>
      </c>
      <c r="AJ3" s="8">
        <v>3794.3</v>
      </c>
      <c r="AK3" s="1">
        <f>((5-1)*(FullandFinal_Project[[#This Row],[Time Exp. Index]]-$AJ$13)/($AJ$14-$AJ$13))+1</f>
        <v>2.9189958030896404</v>
      </c>
      <c r="AL3" s="8">
        <v>265.89999999999998</v>
      </c>
      <c r="AM3" s="1">
        <f>((5-1)*(FullandFinal_Project[[#This Row],[Insufficiency Index]]-$AL$13)/($AL$14-$AL$13))+1</f>
        <v>2.115052296498408</v>
      </c>
      <c r="AN3" s="8">
        <v>8527.6</v>
      </c>
      <c r="AO3" s="1">
        <f>((5-1)*(FullandFinal_Project[[#This Row],[CO2 Emission Index]]-AN14)/($AN$14-$AN$13))+1</f>
        <v>0.33855843686682308</v>
      </c>
      <c r="AP3">
        <v>59</v>
      </c>
      <c r="AQ3" s="1">
        <f>((5-1)*(FullandFinal_Project[[#This Row],[Temperature-High (°F)]]-$AP$13)/($AP$14-$AP$13))+1</f>
        <v>1</v>
      </c>
      <c r="AR3">
        <v>45</v>
      </c>
      <c r="AS3" s="1">
        <f>((5-1)*(FullandFinal_Project[[#This Row],[Temperature-Low (°F)]]-$AR$13)/($AR$14-$AR$13))+1</f>
        <v>2.103448275862069</v>
      </c>
      <c r="AT3" s="9">
        <v>682903</v>
      </c>
      <c r="AU3" s="1">
        <f>((5-1)*(FullandFinal_Project[[#This Row],[population]]-$AT$13)/($AT$14-$AT$13))+1</f>
        <v>1.1418285167277724</v>
      </c>
      <c r="AV3" s="8">
        <v>2758.22</v>
      </c>
      <c r="AW3" s="1">
        <f>((5-1)*(FullandFinal_Project[[#This Row],[total_crime]]-$AV$13)/($AV$14-$AV$13))+1</f>
        <v>1.6253501585221635</v>
      </c>
      <c r="AX3" s="8">
        <v>8.35</v>
      </c>
      <c r="AY3" s="1">
        <f>((5-1)*(FullandFinal_Project[[#This Row],[murder]]-$AX$13)/($AX$14-$AX$13))+1</f>
        <v>2.3342299932750503</v>
      </c>
      <c r="AZ3" s="8">
        <v>42.47</v>
      </c>
      <c r="BA3" s="1">
        <f>((5-1)*(FullandFinal_Project[[#This Row],[rape]]-$AZ$13)/($AZ$14-$AZ$13))+1</f>
        <v>1.835762331838565</v>
      </c>
      <c r="BB3" s="8">
        <v>205.59</v>
      </c>
      <c r="BC3" s="1">
        <f>((5-1)*(FullandFinal_Project[[#This Row],[robbery]]-$BB$13)/($BB$14-$BB$13))+1</f>
        <v>2.1984533764949195</v>
      </c>
      <c r="BD3" s="8">
        <v>412.8</v>
      </c>
      <c r="BE3" s="1">
        <f>((5-1)*(FullandFinal_Project[[#This Row],[aggravated_assault]]-$BD$13)/($BD$14-$BD$13))+1</f>
        <v>2.6548336682295153</v>
      </c>
      <c r="BF3" s="8">
        <v>669.2</v>
      </c>
      <c r="BG3" s="1">
        <f>((5-1)*(FullandFinal_Project[[#This Row],[tot_violent_crime]]-$BF$13)/($BF$14-$BF$13))+1</f>
        <v>2.2911340531168731</v>
      </c>
      <c r="BH3" s="8">
        <v>308.83</v>
      </c>
      <c r="BI3" s="1">
        <f>((5-1)*(FullandFinal_Project[[#This Row],[burglary]]-$BH$13)/($BH$14-$BH$13))+1</f>
        <v>1.7552538531753941</v>
      </c>
      <c r="BJ3" s="8">
        <v>1603.74</v>
      </c>
      <c r="BK3" s="1">
        <f>((5-1)*(FullandFinal_Project[[#This Row],[larceny]]-$BJ$13)/($BJ$14-$BJ$13))+1</f>
        <v>1.3684274132105907</v>
      </c>
      <c r="BL3" s="8">
        <v>176.45</v>
      </c>
      <c r="BM3" s="1">
        <f>((5-1)*(FullandFinal_Project[[#This Row],[vehicle_theft]]-$BL$13)/($BL$14-$BL$13))+1</f>
        <v>1.6102542031681684</v>
      </c>
      <c r="BN3" s="8">
        <v>2089.02</v>
      </c>
      <c r="BO3" s="1">
        <f>((5-1)*(FullandFinal_Project[[#This Row],[total_property_crim]]-$BN$13)/($BN$14-$BN$13))+1</f>
        <v>1.5428028384783756</v>
      </c>
      <c r="BP3" s="7">
        <v>74164</v>
      </c>
      <c r="BQ3" s="1">
        <f>((5-1)*(FullandFinal_Project[[#This Row],[Median Household Income]]-$BP$13)/($BP$14-$BP$13))+1</f>
        <v>1.5643484113792772</v>
      </c>
      <c r="BR3" s="5">
        <v>44.582417582417584</v>
      </c>
      <c r="BS3" s="1">
        <f>((5-1)*(FullandFinal_Project[[#This Row],[AQI]]-$BR$13)/($BR$14-$BR$13))+1</f>
        <v>1</v>
      </c>
      <c r="BT3" s="4">
        <v>0.06</v>
      </c>
      <c r="BU3" s="1">
        <f>((5-1)*(FullandFinal_Project[[#This Row],[State Tax Rate]]-$BT$13)/($BT$14-$BT$13))+1</f>
        <v>3.4615384615384617</v>
      </c>
      <c r="BV3" s="4">
        <v>1.0189999999999999E-2</v>
      </c>
      <c r="BW3" s="1">
        <f>((5-1)*(FullandFinal_Project[[#This Row],[Avg local total rate]]-$BV$13)/($BV$14-$BV$13))+1</f>
        <v>1.8993821712268315</v>
      </c>
      <c r="BX3" s="4">
        <v>7.0190000000000002E-2</v>
      </c>
      <c r="BY3" s="1">
        <f>((5-1)*(FullandFinal_Project[[#This Row],[Combined Rate]]-$BX$13)/($BX$14-$BX$13))+1</f>
        <v>1.9774388306323485</v>
      </c>
    </row>
    <row r="4" spans="1:77" x14ac:dyDescent="0.25">
      <c r="A4" t="s">
        <v>86</v>
      </c>
      <c r="B4" t="s">
        <v>87</v>
      </c>
      <c r="C4" t="s">
        <v>88</v>
      </c>
      <c r="D4" s="8">
        <v>141.30000000000001</v>
      </c>
      <c r="E4" s="1">
        <f>((5-1)*(FullandFinal_Project[[#This Row],[Quality of Life Index]]-$D$13)/($D$14-$D$13))+1</f>
        <v>1.6528189910979232</v>
      </c>
      <c r="F4" s="8">
        <v>111.4</v>
      </c>
      <c r="G4" s="1">
        <f>((5-1)*(FullandFinal_Project[[#This Row],[Purchasing Power Index]]-$F$13)/($F$14-$F$13))+1</f>
        <v>4.67741935483871</v>
      </c>
      <c r="H4" s="8">
        <v>34</v>
      </c>
      <c r="I4" s="1">
        <f>((5-1)*(FullandFinal_Project[[#This Row],[Safety Index]]-$H$13)/($H$14-$H$13))+1</f>
        <v>1</v>
      </c>
      <c r="J4" s="10">
        <v>65.7</v>
      </c>
      <c r="K4" s="1">
        <f>((5-1)*(FullandFinal_Project[[#This Row],[Health Care Index]]-$J$13)/($J$14-$J$13))+1</f>
        <v>3.4216216216216222</v>
      </c>
      <c r="L4" s="8">
        <v>88.8</v>
      </c>
      <c r="M4" s="1">
        <f>((5-1)*(FullandFinal_Project[[#This Row],[Cost of Living Index]]-$L$13)/($L$14-$L$13))+1</f>
        <v>2.8571428571428568</v>
      </c>
      <c r="N4">
        <v>5.4</v>
      </c>
      <c r="O4" s="1">
        <f>((5-1)*(FullandFinal_Project[[#This Row],[Property Price to Income Ratio]]-$N$13)/($N$14-$N$13))+1</f>
        <v>2.1594202898550727</v>
      </c>
      <c r="P4" s="8">
        <v>42</v>
      </c>
      <c r="Q4" s="1">
        <f>((5-1)*(FullandFinal_Project[[#This Row],[Traffic Commute Time Index]]-$P$13)/($P$14-$P$13))+1</f>
        <v>3.3904382470119518</v>
      </c>
      <c r="R4" s="8">
        <v>50</v>
      </c>
      <c r="S4" s="1">
        <f>((5-1)*(FullandFinal_Project[[#This Row],[Pollution Index]]-$R$13)/($R$14-$R$13))+1</f>
        <v>3.789272030651341</v>
      </c>
      <c r="T4" s="8">
        <v>66.099999999999994</v>
      </c>
      <c r="U4" s="1">
        <f>((5-1)*(FullandFinal_Project[[#This Row],[Climate Index]]-$T$13)/($T$14-$T$13))+1</f>
        <v>1.9560975609756095</v>
      </c>
      <c r="V4" s="8">
        <v>65.3</v>
      </c>
      <c r="W4" s="1">
        <f>((5-1)*(FullandFinal_Project[[#This Row],[Rent Index]]-$V$13)/($V$14-$V$13))+1</f>
        <v>2.6474576271186439</v>
      </c>
      <c r="X4" s="11">
        <v>84.8</v>
      </c>
      <c r="Y4" s="1">
        <f>((5-1)*(FullandFinal_Project[[#This Row],[Restaurant Price Index]]-$X$13)/($X$14-$X$13))+1</f>
        <v>2.7361111111111116</v>
      </c>
      <c r="Z4" s="8">
        <v>113.5</v>
      </c>
      <c r="AA4" s="1">
        <f>((5-1)*(FullandFinal_Project[[#This Row],[Local Purchasing Power Index]]-$Z$13)/($Z$14-$Z$13))+1</f>
        <v>5</v>
      </c>
      <c r="AB4" s="8">
        <v>65.7</v>
      </c>
      <c r="AC4" s="1">
        <f>((5-1)*(FullandFinal_Project[[#This Row],[Health Care Index.1]]-$AB$13)/($AB$14-$AB$13))+1</f>
        <v>3.4216216216216222</v>
      </c>
      <c r="AD4" s="8">
        <v>122.5</v>
      </c>
      <c r="AE4" s="1">
        <f>((5-1)*(FullandFinal_Project[[#This Row],[Health Care Exp. Index]]-$AD$13)/($AD$14-$AD$13))+1</f>
        <v>3.6595174262734584</v>
      </c>
      <c r="AF4" s="8">
        <v>191.9</v>
      </c>
      <c r="AG4" s="1">
        <f>((5-1)*(FullandFinal_Project[[#This Row],[Traffic Index]]-$AF$13)/($AF$14-$AF$13))+1</f>
        <v>2.9208211143695015</v>
      </c>
      <c r="AH4" s="8">
        <v>42</v>
      </c>
      <c r="AI4" s="1">
        <f>((5-1)*(FullandFinal_Project[[#This Row],[Time Index (in minutes)]]-$AH$13)/($AH$14-$AH$13))+1</f>
        <v>3.3904382470119518</v>
      </c>
      <c r="AJ4" s="8">
        <v>2264.1</v>
      </c>
      <c r="AK4" s="1">
        <f>((5-1)*(FullandFinal_Project[[#This Row],[Time Exp. Index]]-$AJ$13)/($AJ$14-$AJ$13))+1</f>
        <v>2.1381918842724295</v>
      </c>
      <c r="AL4" s="8">
        <v>240.4</v>
      </c>
      <c r="AM4" s="1">
        <f>((5-1)*(FullandFinal_Project[[#This Row],[Insufficiency Index]]-$AL$13)/($AL$14-$AL$13))+1</f>
        <v>1.8831286948613006</v>
      </c>
      <c r="AN4" s="8">
        <v>7524.4</v>
      </c>
      <c r="AO4" s="1">
        <f>((5-1)*(FullandFinal_Project[[#This Row],[CO2 Emission Index]]-AN15)/($AN$14-$AN$13))+1</f>
        <v>5.7273469772409564</v>
      </c>
      <c r="AP4">
        <v>61</v>
      </c>
      <c r="AQ4" s="1">
        <f>((5-1)*(FullandFinal_Project[[#This Row],[Temperature-High (°F)]]-$AP$13)/($AP$14-$AP$13))+1</f>
        <v>1.3333333333333333</v>
      </c>
      <c r="AR4">
        <v>44</v>
      </c>
      <c r="AS4" s="1">
        <f>((5-1)*(FullandFinal_Project[[#This Row],[Temperature-Low (°F)]]-$AR$13)/($AR$14-$AR$13))+1</f>
        <v>1.9655172413793105</v>
      </c>
      <c r="AT4" s="9">
        <v>2746388</v>
      </c>
      <c r="AU4" s="1">
        <f>((5-1)*(FullandFinal_Project[[#This Row],[population]]-$AT$13)/($AT$14-$AT$13))+1</f>
        <v>2.1221262187003775</v>
      </c>
      <c r="AV4" s="8">
        <v>4381.6499999999996</v>
      </c>
      <c r="AW4" s="1">
        <f>((5-1)*(FullandFinal_Project[[#This Row],[total_crime]]-$AV$13)/($AV$14-$AV$13))+1</f>
        <v>2.9425587891056835</v>
      </c>
      <c r="AX4" s="8">
        <v>18.260000000000002</v>
      </c>
      <c r="AY4" s="1">
        <f>((5-1)*(FullandFinal_Project[[#This Row],[murder]]-$AX$13)/($AX$14-$AX$13))+1</f>
        <v>5</v>
      </c>
      <c r="AZ4" s="8">
        <v>65.11</v>
      </c>
      <c r="BA4" s="1">
        <f>((5-1)*(FullandFinal_Project[[#This Row],[rape]]-$AZ$13)/($AZ$14-$AZ$13))+1</f>
        <v>3.1048206278026904</v>
      </c>
      <c r="BB4" s="8">
        <v>439.26</v>
      </c>
      <c r="BC4" s="1">
        <f>((5-1)*(FullandFinal_Project[[#This Row],[robbery]]-$BB$13)/($BB$14-$BB$13))+1</f>
        <v>5</v>
      </c>
      <c r="BD4" s="8">
        <v>570.36</v>
      </c>
      <c r="BE4" s="1">
        <f>((5-1)*(FullandFinal_Project[[#This Row],[aggravated_assault]]-$BD$13)/($BD$14-$BD$13))+1</f>
        <v>5</v>
      </c>
      <c r="BF4" s="8">
        <v>1098.8599999999999</v>
      </c>
      <c r="BG4" s="1">
        <f>((5-1)*(FullandFinal_Project[[#This Row],[tot_violent_crime]]-$BF$13)/($BF$14-$BF$13))+1</f>
        <v>5</v>
      </c>
      <c r="BH4" s="8">
        <v>477.13</v>
      </c>
      <c r="BI4" s="1">
        <f>((5-1)*(FullandFinal_Project[[#This Row],[burglary]]-$BH$13)/($BH$14-$BH$13))+1</f>
        <v>2.4615731657416244</v>
      </c>
      <c r="BJ4" s="8">
        <v>2358.83</v>
      </c>
      <c r="BK4" s="1">
        <f>((5-1)*(FullandFinal_Project[[#This Row],[larceny]]-$BJ$13)/($BJ$14-$BJ$13))+1</f>
        <v>2.1619350872491685</v>
      </c>
      <c r="BL4" s="8">
        <v>427.84</v>
      </c>
      <c r="BM4" s="1">
        <f>((5-1)*(FullandFinal_Project[[#This Row],[vehicle_theft]]-$BL$13)/($BL$14-$BL$13))+1</f>
        <v>3.0063030168404392</v>
      </c>
      <c r="BN4" s="8">
        <v>3263.8</v>
      </c>
      <c r="BO4" s="1">
        <f>((5-1)*(FullandFinal_Project[[#This Row],[total_property_crim]]-$BN$13)/($BN$14-$BN$13))+1</f>
        <v>2.5384993526760651</v>
      </c>
      <c r="BP4" s="7">
        <v>74694</v>
      </c>
      <c r="BQ4" s="1">
        <f>((5-1)*(FullandFinal_Project[[#This Row],[Median Household Income]]-$BP$13)/($BP$14-$BP$13))+1</f>
        <v>1.5934696905177268</v>
      </c>
      <c r="BR4" s="5">
        <v>56.21897810218978</v>
      </c>
      <c r="BS4" s="1">
        <f>((5-1)*(FullandFinal_Project[[#This Row],[AQI]]-$BR$13)/($BR$14-$BR$13))+1</f>
        <v>2.9703567421622128</v>
      </c>
      <c r="BT4" s="4">
        <v>0.04</v>
      </c>
      <c r="BU4" s="1">
        <f>((5-1)*(FullandFinal_Project[[#This Row],[State Tax Rate]]-$BT$13)/($BT$14-$BT$13))+1</f>
        <v>1</v>
      </c>
      <c r="BV4" s="4">
        <v>3.3939999999999998E-2</v>
      </c>
      <c r="BW4" s="1">
        <f>((5-1)*(FullandFinal_Project[[#This Row],[Avg local total rate]]-$BV$13)/($BV$14-$BV$13))+1</f>
        <v>3.9955869373345099</v>
      </c>
      <c r="BX4" s="4">
        <v>7.3940000000000006E-2</v>
      </c>
      <c r="BY4" s="1">
        <f>((5-1)*(FullandFinal_Project[[#This Row],[Combined Rate]]-$BX$13)/($BX$14-$BX$13))+1</f>
        <v>2.454083253892597</v>
      </c>
    </row>
    <row r="5" spans="1:77" x14ac:dyDescent="0.25">
      <c r="A5" t="s">
        <v>89</v>
      </c>
      <c r="B5" t="s">
        <v>90</v>
      </c>
      <c r="C5" t="s">
        <v>91</v>
      </c>
      <c r="D5" s="8">
        <v>157.4</v>
      </c>
      <c r="E5" s="1">
        <f>((5-1)*(FullandFinal_Project[[#This Row],[Quality of Life Index]]-$D$13)/($D$14-$D$13))+1</f>
        <v>3.5637982195845699</v>
      </c>
      <c r="F5" s="8">
        <v>112.4</v>
      </c>
      <c r="G5" s="1">
        <f>((5-1)*(FullandFinal_Project[[#This Row],[Purchasing Power Index]]-$F$13)/($F$14-$F$13))+1</f>
        <v>5</v>
      </c>
      <c r="H5" s="8">
        <v>53.4</v>
      </c>
      <c r="I5" s="1">
        <f>((5-1)*(FullandFinal_Project[[#This Row],[Safety Index]]-$H$13)/($H$14-$H$13))+1</f>
        <v>4.0793650793650791</v>
      </c>
      <c r="J5" s="10">
        <v>68.8</v>
      </c>
      <c r="K5" s="1">
        <f>((5-1)*(FullandFinal_Project[[#This Row],[Health Care Index]]-$J$13)/($J$14-$J$13))+1</f>
        <v>4.0918918918918914</v>
      </c>
      <c r="L5" s="8">
        <v>81.7</v>
      </c>
      <c r="M5" s="1">
        <f>((5-1)*(FullandFinal_Project[[#This Row],[Cost of Living Index]]-$L$13)/($L$14-$L$13))+1</f>
        <v>2.0119047619047619</v>
      </c>
      <c r="N5">
        <v>4.4000000000000004</v>
      </c>
      <c r="O5" s="1">
        <f>((5-1)*(FullandFinal_Project[[#This Row],[Property Price to Income Ratio]]-$N$13)/($N$14-$N$13))+1</f>
        <v>1.5797101449275366</v>
      </c>
      <c r="P5" s="8">
        <v>36.799999999999997</v>
      </c>
      <c r="Q5" s="1">
        <f>((5-1)*(FullandFinal_Project[[#This Row],[Traffic Commute Time Index]]-$P$13)/($P$14-$P$13))+1</f>
        <v>2.5617529880478083</v>
      </c>
      <c r="R5" s="8">
        <v>44.5</v>
      </c>
      <c r="S5" s="1">
        <f>((5-1)*(FullandFinal_Project[[#This Row],[Pollution Index]]-$R$13)/($R$14-$R$13))+1</f>
        <v>2.946360153256705</v>
      </c>
      <c r="T5" s="8">
        <v>56.3</v>
      </c>
      <c r="U5" s="1">
        <f>((5-1)*(FullandFinal_Project[[#This Row],[Climate Index]]-$T$13)/($T$14-$T$13))+1</f>
        <v>1</v>
      </c>
      <c r="V5" s="8">
        <v>57.2</v>
      </c>
      <c r="W5" s="1">
        <f>((5-1)*(FullandFinal_Project[[#This Row],[Rent Index]]-$V$13)/($V$14-$V$13))+1</f>
        <v>2.0983050847457632</v>
      </c>
      <c r="X5" s="11">
        <v>72.3</v>
      </c>
      <c r="Y5" s="1">
        <f>((5-1)*(FullandFinal_Project[[#This Row],[Restaurant Price Index]]-$X$13)/($X$14-$X$13))+1</f>
        <v>1</v>
      </c>
      <c r="Z5" s="8">
        <v>112.4</v>
      </c>
      <c r="AA5" s="1">
        <f>((5-1)*(FullandFinal_Project[[#This Row],[Local Purchasing Power Index]]-$Z$13)/($Z$14-$Z$13))+1</f>
        <v>4.6740740740740758</v>
      </c>
      <c r="AB5" s="8">
        <v>68.8</v>
      </c>
      <c r="AC5" s="1">
        <f>((5-1)*(FullandFinal_Project[[#This Row],[Health Care Index.1]]-$AB$13)/($AB$14-$AB$13))+1</f>
        <v>4.0918918918918914</v>
      </c>
      <c r="AD5" s="8">
        <v>128.80000000000001</v>
      </c>
      <c r="AE5" s="1">
        <f>((5-1)*(FullandFinal_Project[[#This Row],[Health Care Exp. Index]]-$AD$13)/($AD$14-$AD$13))+1</f>
        <v>4.3351206434316367</v>
      </c>
      <c r="AF5" s="8">
        <v>174.8</v>
      </c>
      <c r="AG5" s="1">
        <f>((5-1)*(FullandFinal_Project[[#This Row],[Traffic Index]]-$AF$13)/($AF$14-$AF$13))+1</f>
        <v>2.4193548387096775</v>
      </c>
      <c r="AH5" s="8">
        <v>36.799999999999997</v>
      </c>
      <c r="AI5" s="1">
        <f>((5-1)*(FullandFinal_Project[[#This Row],[Time Index (in minutes)]]-$AH$13)/($AH$14-$AH$13))+1</f>
        <v>2.5617529880478083</v>
      </c>
      <c r="AJ5" s="8">
        <v>856.3</v>
      </c>
      <c r="AK5" s="1">
        <f>((5-1)*(FullandFinal_Project[[#This Row],[Time Exp. Index]]-$AJ$13)/($AJ$14-$AJ$13))+1</f>
        <v>1.4198441147580716</v>
      </c>
      <c r="AL5" s="8">
        <v>238.1</v>
      </c>
      <c r="AM5" s="1">
        <f>((5-1)*(FullandFinal_Project[[#This Row],[Insufficiency Index]]-$AL$13)/($AL$14-$AL$13))+1</f>
        <v>1.8622100954979535</v>
      </c>
      <c r="AN5" s="8">
        <v>8712.2999999999993</v>
      </c>
      <c r="AO5" s="1">
        <f>((5-1)*(FullandFinal_Project[[#This Row],[CO2 Emission Index]]-AN16)/($AN$14-$AN$13))+1</f>
        <v>6.4736676771325801</v>
      </c>
      <c r="AP5">
        <v>66</v>
      </c>
      <c r="AQ5" s="1">
        <f>((5-1)*(FullandFinal_Project[[#This Row],[Temperature-High (°F)]]-$AP$13)/($AP$14-$AP$13))+1</f>
        <v>2.166666666666667</v>
      </c>
      <c r="AR5">
        <v>37</v>
      </c>
      <c r="AS5" s="1">
        <f>((5-1)*(FullandFinal_Project[[#This Row],[Temperature-Low (°F)]]-$AR$13)/($AR$14-$AR$13))+1</f>
        <v>1</v>
      </c>
      <c r="AT5" s="9">
        <v>706616</v>
      </c>
      <c r="AU5" s="1">
        <f>((5-1)*(FullandFinal_Project[[#This Row],[population]]-$AT$13)/($AT$14-$AT$13))+1</f>
        <v>1.1530938273100526</v>
      </c>
      <c r="AV5" s="8">
        <v>4360.93</v>
      </c>
      <c r="AW5" s="1">
        <f>((5-1)*(FullandFinal_Project[[#This Row],[total_crime]]-$AV$13)/($AV$14-$AV$13))+1</f>
        <v>2.9257471231726342</v>
      </c>
      <c r="AX5" s="8">
        <v>8.35</v>
      </c>
      <c r="AY5" s="1">
        <f>((5-1)*(FullandFinal_Project[[#This Row],[murder]]-$AX$13)/($AX$14-$AX$13))+1</f>
        <v>2.3342299932750503</v>
      </c>
      <c r="AZ5" s="8">
        <v>98.92</v>
      </c>
      <c r="BA5" s="1">
        <f>((5-1)*(FullandFinal_Project[[#This Row],[rape]]-$AZ$13)/($AZ$14-$AZ$13))+1</f>
        <v>5</v>
      </c>
      <c r="BB5" s="8">
        <v>174.35</v>
      </c>
      <c r="BC5" s="1">
        <f>((5-1)*(FullandFinal_Project[[#This Row],[robbery]]-$BB$13)/($BB$14-$BB$13))+1</f>
        <v>1.8239067230165154</v>
      </c>
      <c r="BD5" s="8">
        <v>393.99</v>
      </c>
      <c r="BE5" s="1">
        <f>((5-1)*(FullandFinal_Project[[#This Row],[aggravated_assault]]-$BD$13)/($BD$14-$BD$13))+1</f>
        <v>2.3748604599240899</v>
      </c>
      <c r="BF5" s="8">
        <v>675.61</v>
      </c>
      <c r="BG5" s="1">
        <f>((5-1)*(FullandFinal_Project[[#This Row],[tot_violent_crime]]-$BF$13)/($BF$14-$BF$13))+1</f>
        <v>2.3315470092205848</v>
      </c>
      <c r="BH5" s="8">
        <v>612.91999999999996</v>
      </c>
      <c r="BI5" s="1">
        <f>((5-1)*(FullandFinal_Project[[#This Row],[burglary]]-$BH$13)/($BH$14-$BH$13))+1</f>
        <v>3.0314549212577768</v>
      </c>
      <c r="BJ5" s="8">
        <v>2267.29</v>
      </c>
      <c r="BK5" s="1">
        <f>((5-1)*(FullandFinal_Project[[#This Row],[larceny]]-$BJ$13)/($BJ$14-$BJ$13))+1</f>
        <v>2.0657376902746467</v>
      </c>
      <c r="BL5" s="8">
        <v>786.85</v>
      </c>
      <c r="BM5" s="1">
        <f>((5-1)*(FullandFinal_Project[[#This Row],[vehicle_theft]]-$BL$13)/($BL$14-$BL$13))+1</f>
        <v>5</v>
      </c>
      <c r="BN5" s="8">
        <v>3667.06</v>
      </c>
      <c r="BO5" s="1">
        <f>((5-1)*(FullandFinal_Project[[#This Row],[total_property_crim]]-$BN$13)/($BN$14-$BN$13))+1</f>
        <v>2.8802863905174991</v>
      </c>
      <c r="BP5" s="7">
        <v>86331</v>
      </c>
      <c r="BQ5" s="1">
        <f>((5-1)*(FullandFinal_Project[[#This Row],[Median Household Income]]-$BP$13)/($BP$14-$BP$13))+1</f>
        <v>2.2328740779406311</v>
      </c>
      <c r="BR5" s="5">
        <v>68.205673758865245</v>
      </c>
      <c r="BS5" s="1">
        <f>((5-1)*(FullandFinal_Project[[#This Row],[AQI]]-$BR$13)/($BR$14-$BR$13))+1</f>
        <v>5</v>
      </c>
      <c r="BT5" s="4">
        <v>6.25E-2</v>
      </c>
      <c r="BU5" s="1">
        <f>((5-1)*(FullandFinal_Project[[#This Row],[State Tax Rate]]-$BT$13)/($BT$14-$BT$13))+1</f>
        <v>3.7692307692307696</v>
      </c>
      <c r="BV5" s="4">
        <v>2.588E-2</v>
      </c>
      <c r="BW5" s="1">
        <f>((5-1)*(FullandFinal_Project[[#This Row],[Avg local total rate]]-$BV$13)/($BV$14-$BV$13))+1</f>
        <v>3.2842012356575463</v>
      </c>
      <c r="BX5" s="4">
        <v>8.838E-2</v>
      </c>
      <c r="BY5" s="1">
        <f>((5-1)*(FullandFinal_Project[[#This Row],[Combined Rate]]-$BX$13)/($BX$14-$BX$13))+1</f>
        <v>4.2894820463933909</v>
      </c>
    </row>
    <row r="6" spans="1:77" x14ac:dyDescent="0.25">
      <c r="A6" t="s">
        <v>92</v>
      </c>
      <c r="B6" t="s">
        <v>93</v>
      </c>
      <c r="C6" t="s">
        <v>94</v>
      </c>
      <c r="D6" s="8">
        <v>146.1</v>
      </c>
      <c r="E6" s="1">
        <f>((5-1)*(FullandFinal_Project[[#This Row],[Quality of Life Index]]-$D$13)/($D$14-$D$13))+1</f>
        <v>2.222551928783381</v>
      </c>
      <c r="F6" s="8">
        <v>106.1</v>
      </c>
      <c r="G6" s="1">
        <f>((5-1)*(FullandFinal_Project[[#This Row],[Purchasing Power Index]]-$F$13)/($F$14-$F$13))+1</f>
        <v>2.9677419354838683</v>
      </c>
      <c r="H6" s="8">
        <v>44.4</v>
      </c>
      <c r="I6" s="1">
        <f>((5-1)*(FullandFinal_Project[[#This Row],[Safety Index]]-$H$13)/($H$14-$H$13))+1</f>
        <v>2.6507936507936503</v>
      </c>
      <c r="J6" s="10">
        <v>54.5</v>
      </c>
      <c r="K6" s="1">
        <f>((5-1)*(FullandFinal_Project[[#This Row],[Health Care Index]]-$J$13)/($J$14-$J$13))+1</f>
        <v>1</v>
      </c>
      <c r="L6" s="8">
        <v>73.2</v>
      </c>
      <c r="M6" s="1">
        <f>((5-1)*(FullandFinal_Project[[#This Row],[Cost of Living Index]]-$L$13)/($L$14-$L$13))+1</f>
        <v>1</v>
      </c>
      <c r="N6">
        <v>3.4</v>
      </c>
      <c r="O6" s="1">
        <f>((5-1)*(FullandFinal_Project[[#This Row],[Property Price to Income Ratio]]-$N$13)/($N$14-$N$13))+1</f>
        <v>1</v>
      </c>
      <c r="P6" s="8">
        <v>27</v>
      </c>
      <c r="Q6" s="1">
        <f>((5-1)*(FullandFinal_Project[[#This Row],[Traffic Commute Time Index]]-$P$13)/($P$14-$P$13))+1</f>
        <v>1</v>
      </c>
      <c r="R6" s="8">
        <v>52.9</v>
      </c>
      <c r="S6" s="1">
        <f>((5-1)*(FullandFinal_Project[[#This Row],[Pollution Index]]-$R$13)/($R$14-$R$13))+1</f>
        <v>4.2337164750957852</v>
      </c>
      <c r="T6" s="8">
        <v>57.4</v>
      </c>
      <c r="U6" s="1">
        <f>((5-1)*(FullandFinal_Project[[#This Row],[Climate Index]]-$T$13)/($T$14-$T$13))+1</f>
        <v>1.1073170731707318</v>
      </c>
      <c r="V6" s="8">
        <v>41</v>
      </c>
      <c r="W6" s="1">
        <f>((5-1)*(FullandFinal_Project[[#This Row],[Rent Index]]-$V$13)/($V$14-$V$13))+1</f>
        <v>1</v>
      </c>
      <c r="X6" s="11">
        <v>74.5</v>
      </c>
      <c r="Y6" s="1">
        <f>((5-1)*(FullandFinal_Project[[#This Row],[Restaurant Price Index]]-$X$13)/($X$14-$X$13))+1</f>
        <v>1.305555555555556</v>
      </c>
      <c r="Z6" s="8">
        <v>106.1</v>
      </c>
      <c r="AA6" s="1">
        <f>((5-1)*(FullandFinal_Project[[#This Row],[Local Purchasing Power Index]]-$Z$13)/($Z$14-$Z$13))+1</f>
        <v>2.807407407407406</v>
      </c>
      <c r="AB6" s="8">
        <v>54.5</v>
      </c>
      <c r="AC6" s="1">
        <f>((5-1)*(FullandFinal_Project[[#This Row],[Health Care Index.1]]-$AB$13)/($AB$14-$AB$13))+1</f>
        <v>1</v>
      </c>
      <c r="AD6" s="8">
        <v>97.7</v>
      </c>
      <c r="AE6" s="1">
        <f>((5-1)*(FullandFinal_Project[[#This Row],[Health Care Exp. Index]]-$AD$13)/($AD$14-$AD$13))+1</f>
        <v>1</v>
      </c>
      <c r="AF6" s="8">
        <v>126.4</v>
      </c>
      <c r="AG6" s="1">
        <f>((5-1)*(FullandFinal_Project[[#This Row],[Traffic Index]]-$AF$13)/($AF$14-$AF$13))+1</f>
        <v>1</v>
      </c>
      <c r="AH6" s="8">
        <v>27</v>
      </c>
      <c r="AI6" s="1">
        <f>((5-1)*(FullandFinal_Project[[#This Row],[Time Index (in minutes)]]-$AH$13)/($AH$14-$AH$13))+1</f>
        <v>1</v>
      </c>
      <c r="AJ6" s="8">
        <v>33.5</v>
      </c>
      <c r="AK6" s="1">
        <f>((5-1)*(FullandFinal_Project[[#This Row],[Time Exp. Index]]-$AJ$13)/($AJ$14-$AJ$13))+1</f>
        <v>1</v>
      </c>
      <c r="AL6" s="8">
        <v>143.30000000000001</v>
      </c>
      <c r="AM6" s="1">
        <f>((5-1)*(FullandFinal_Project[[#This Row],[Insufficiency Index]]-$AL$13)/($AL$14-$AL$13))+1</f>
        <v>1</v>
      </c>
      <c r="AN6" s="8">
        <v>6663</v>
      </c>
      <c r="AO6" s="1">
        <f>((5-1)*(FullandFinal_Project[[#This Row],[CO2 Emission Index]]-AN17)/($AN$14-$AN$13))+1</f>
        <v>5.1861560934235946</v>
      </c>
      <c r="AP6">
        <v>81</v>
      </c>
      <c r="AQ6" s="1">
        <f>((5-1)*(FullandFinal_Project[[#This Row],[Temperature-High (°F)]]-$AP$13)/($AP$14-$AP$13))+1</f>
        <v>4.6666666666666661</v>
      </c>
      <c r="AR6">
        <v>60</v>
      </c>
      <c r="AS6" s="1">
        <f>((5-1)*(FullandFinal_Project[[#This Row],[Temperature-Low (°F)]]-$AR$13)/($AR$14-$AR$13))+1</f>
        <v>4.1724137931034484</v>
      </c>
      <c r="AT6" s="9">
        <v>627244</v>
      </c>
      <c r="AU6" s="1">
        <f>((5-1)*(FullandFinal_Project[[#This Row],[population]]-$AT$13)/($AT$14-$AT$13))+1</f>
        <v>1.1153866526996388</v>
      </c>
      <c r="AV6" s="8">
        <v>3567.87</v>
      </c>
      <c r="AW6" s="1">
        <f>((5-1)*(FullandFinal_Project[[#This Row],[total_crime]]-$AV$13)/($AV$14-$AV$13))+1</f>
        <v>2.282278986837488</v>
      </c>
      <c r="AX6" s="8">
        <v>12.6</v>
      </c>
      <c r="AY6" s="1">
        <f>((5-1)*(FullandFinal_Project[[#This Row],[murder]]-$AX$13)/($AX$14-$AX$13))+1</f>
        <v>3.4774714189643574</v>
      </c>
      <c r="AZ6" s="8">
        <v>79.64</v>
      </c>
      <c r="BA6" s="1">
        <f>((5-1)*(FullandFinal_Project[[#This Row],[rape]]-$AZ$13)/($AZ$14-$AZ$13))+1</f>
        <v>3.9192825112107621</v>
      </c>
      <c r="BB6" s="8">
        <v>211.15</v>
      </c>
      <c r="BC6" s="1">
        <f>((5-1)*(FullandFinal_Project[[#This Row],[robbery]]-$BB$13)/($BB$14-$BB$13))+1</f>
        <v>2.2651140484968382</v>
      </c>
      <c r="BD6" s="8">
        <v>315.5</v>
      </c>
      <c r="BE6" s="1">
        <f>((5-1)*(FullandFinal_Project[[#This Row],[aggravated_assault]]-$BD$13)/($BD$14-$BD$13))+1</f>
        <v>1.2065937337203243</v>
      </c>
      <c r="BF6" s="8">
        <v>618.9</v>
      </c>
      <c r="BG6" s="1">
        <f>((5-1)*(FullandFinal_Project[[#This Row],[tot_violent_crime]]-$BF$13)/($BF$14-$BF$13))+1</f>
        <v>1.9740089841595081</v>
      </c>
      <c r="BH6" s="8">
        <v>805.17</v>
      </c>
      <c r="BI6" s="1">
        <f>((5-1)*(FullandFinal_Project[[#This Row],[burglary]]-$BH$13)/($BH$14-$BH$13))+1</f>
        <v>3.8382872910786792</v>
      </c>
      <c r="BJ6" s="8">
        <v>1635.16</v>
      </c>
      <c r="BK6" s="1">
        <f>((5-1)*(FullandFinal_Project[[#This Row],[larceny]]-$BJ$13)/($BJ$14-$BJ$13))+1</f>
        <v>1.4014460085016052</v>
      </c>
      <c r="BL6" s="8">
        <v>503.06</v>
      </c>
      <c r="BM6" s="1">
        <f>((5-1)*(FullandFinal_Project[[#This Row],[vehicle_theft]]-$BL$13)/($BL$14-$BL$13))+1</f>
        <v>3.4240236571380973</v>
      </c>
      <c r="BN6" s="8">
        <v>2943.38</v>
      </c>
      <c r="BO6" s="1">
        <f>((5-1)*(FullandFinal_Project[[#This Row],[total_property_crim]]-$BN$13)/($BN$14-$BN$13))+1</f>
        <v>2.2669241836408212</v>
      </c>
      <c r="BP6" s="7">
        <v>63893</v>
      </c>
      <c r="BQ6" s="1">
        <f>((5-1)*(FullandFinal_Project[[#This Row],[Median Household Income]]-$BP$13)/($BP$14-$BP$13))+1</f>
        <v>1</v>
      </c>
      <c r="BR6" s="5">
        <v>66.142857142857139</v>
      </c>
      <c r="BS6" s="1">
        <f>((5-1)*(FullandFinal_Project[[#This Row],[AQI]]-$BR$13)/($BR$14-$BR$13))+1</f>
        <v>4.6507142621490551</v>
      </c>
      <c r="BT6" s="4">
        <v>6.25E-2</v>
      </c>
      <c r="BU6" s="1">
        <f>((5-1)*(FullandFinal_Project[[#This Row],[State Tax Rate]]-$BT$13)/($BT$14-$BT$13))+1</f>
        <v>3.7692307692307696</v>
      </c>
      <c r="BV6" s="4">
        <v>0</v>
      </c>
      <c r="BW6" s="1">
        <f>((5-1)*(FullandFinal_Project[[#This Row],[Avg local total rate]]-$BV$13)/($BV$14-$BV$13))+1</f>
        <v>1</v>
      </c>
      <c r="BX6" s="4">
        <v>6.25E-2</v>
      </c>
      <c r="BY6" s="1">
        <f>((5-1)*(FullandFinal_Project[[#This Row],[Combined Rate]]-$BX$13)/($BX$14-$BX$13))+1</f>
        <v>1</v>
      </c>
    </row>
    <row r="7" spans="1:77" x14ac:dyDescent="0.25">
      <c r="A7" t="s">
        <v>147</v>
      </c>
      <c r="B7" t="s">
        <v>96</v>
      </c>
      <c r="C7" t="s">
        <v>97</v>
      </c>
      <c r="D7" s="8">
        <v>135.80000000000001</v>
      </c>
      <c r="E7" s="1">
        <f>((5-1)*(FullandFinal_Project[[#This Row],[Quality of Life Index]]-$D$13)/($D$14-$D$13))+1</f>
        <v>1</v>
      </c>
      <c r="F7" s="8">
        <v>100</v>
      </c>
      <c r="G7" s="1">
        <f>((5-1)*(FullandFinal_Project[[#This Row],[Purchasing Power Index]]-$F$13)/($F$14-$F$13))+1</f>
        <v>1</v>
      </c>
      <c r="H7" s="8">
        <v>50</v>
      </c>
      <c r="I7" s="1">
        <f>((5-1)*(FullandFinal_Project[[#This Row],[Safety Index]]-$H$13)/($H$14-$H$13))+1</f>
        <v>3.5396825396825395</v>
      </c>
      <c r="J7" s="10">
        <v>62.5</v>
      </c>
      <c r="K7" s="1">
        <f>((5-1)*(FullandFinal_Project[[#This Row],[Health Care Index]]-$J$13)/($J$14-$J$13))+1</f>
        <v>2.7297297297297298</v>
      </c>
      <c r="L7" s="8">
        <v>100</v>
      </c>
      <c r="M7" s="1">
        <f>((5-1)*(FullandFinal_Project[[#This Row],[Cost of Living Index]]-$L$13)/($L$14-$L$13))+1</f>
        <v>4.1904761904761907</v>
      </c>
      <c r="N7">
        <v>10.3</v>
      </c>
      <c r="O7" s="1">
        <f>((5-1)*(FullandFinal_Project[[#This Row],[Property Price to Income Ratio]]-$N$13)/($N$14-$N$13))+1</f>
        <v>5</v>
      </c>
      <c r="P7" s="8">
        <v>43.6</v>
      </c>
      <c r="Q7" s="1">
        <f>((5-1)*(FullandFinal_Project[[#This Row],[Traffic Commute Time Index]]-$P$13)/($P$14-$P$13))+1</f>
        <v>3.645418326693227</v>
      </c>
      <c r="R7" s="8">
        <v>57.9</v>
      </c>
      <c r="S7" s="1">
        <f>((5-1)*(FullandFinal_Project[[#This Row],[Pollution Index]]-$R$13)/($R$14-$R$13))+1</f>
        <v>5</v>
      </c>
      <c r="T7" s="8">
        <v>79.7</v>
      </c>
      <c r="U7" s="1">
        <f>((5-1)*(FullandFinal_Project[[#This Row],[Climate Index]]-$T$13)/($T$14-$T$13))+1</f>
        <v>3.2829268292682934</v>
      </c>
      <c r="V7" s="8">
        <v>100</v>
      </c>
      <c r="W7" s="1">
        <f>((5-1)*(FullandFinal_Project[[#This Row],[Rent Index]]-$V$13)/($V$14-$V$13))+1</f>
        <v>5</v>
      </c>
      <c r="X7" s="11">
        <v>100</v>
      </c>
      <c r="Y7" s="1">
        <f>((5-1)*(FullandFinal_Project[[#This Row],[Restaurant Price Index]]-$X$13)/($X$14-$X$13))+1</f>
        <v>4.8472222222222232</v>
      </c>
      <c r="Z7" s="8">
        <v>100</v>
      </c>
      <c r="AA7" s="1">
        <f>((5-1)*(FullandFinal_Project[[#This Row],[Local Purchasing Power Index]]-$Z$13)/($Z$14-$Z$13))+1</f>
        <v>1</v>
      </c>
      <c r="AB7" s="8">
        <v>62.5</v>
      </c>
      <c r="AC7" s="1">
        <f>((5-1)*(FullandFinal_Project[[#This Row],[Health Care Index.1]]-$AB$13)/($AB$14-$AB$13))+1</f>
        <v>2.7297297297297298</v>
      </c>
      <c r="AD7" s="8">
        <v>116.6</v>
      </c>
      <c r="AE7" s="1">
        <f>((5-1)*(FullandFinal_Project[[#This Row],[Health Care Exp. Index]]-$AD$13)/($AD$14-$AD$13))+1</f>
        <v>3.02680965147453</v>
      </c>
      <c r="AF7" s="8">
        <v>167.9</v>
      </c>
      <c r="AG7" s="1">
        <f>((5-1)*(FullandFinal_Project[[#This Row],[Traffic Index]]-$AF$13)/($AF$14-$AF$13))+1</f>
        <v>2.2170087976539588</v>
      </c>
      <c r="AH7" s="8">
        <v>43.6</v>
      </c>
      <c r="AI7" s="1">
        <f>((5-1)*(FullandFinal_Project[[#This Row],[Time Index (in minutes)]]-$AH$13)/($AH$14-$AH$13))+1</f>
        <v>3.645418326693227</v>
      </c>
      <c r="AJ7" s="8">
        <v>2884.5</v>
      </c>
      <c r="AK7" s="1">
        <f>((5-1)*(FullandFinal_Project[[#This Row],[Time Exp. Index]]-$AJ$13)/($AJ$14-$AJ$13))+1</f>
        <v>2.4547588371114033</v>
      </c>
      <c r="AL7" s="8">
        <v>191.6</v>
      </c>
      <c r="AM7" s="1">
        <f>((5-1)*(FullandFinal_Project[[#This Row],[Insufficiency Index]]-$AL$13)/($AL$14-$AL$13))+1</f>
        <v>1.4392905866302863</v>
      </c>
      <c r="AN7" s="8">
        <v>3213.7</v>
      </c>
      <c r="AO7" s="1">
        <f>((5-1)*(FullandFinal_Project[[#This Row],[CO2 Emission Index]]-AN18)/($AN$14-$AN$13))+1</f>
        <v>3.0190679629949582</v>
      </c>
      <c r="AP7">
        <v>63</v>
      </c>
      <c r="AQ7" s="1">
        <f>((5-1)*(FullandFinal_Project[[#This Row],[Temperature-High (°F)]]-$AP$13)/($AP$14-$AP$13))+1</f>
        <v>1.6666666666666665</v>
      </c>
      <c r="AR7">
        <v>49</v>
      </c>
      <c r="AS7" s="1">
        <f>((5-1)*(FullandFinal_Project[[#This Row],[Temperature-Low (°F)]]-$AR$13)/($AR$14-$AR$13))+1</f>
        <v>2.6551724137931032</v>
      </c>
      <c r="AT7" s="9">
        <v>8804190</v>
      </c>
      <c r="AU7" s="1">
        <f>((5-1)*(FullandFinal_Project[[#This Row],[population]]-$AT$13)/($AT$14-$AT$13))+1</f>
        <v>5</v>
      </c>
      <c r="AV7" s="8">
        <v>1987.49</v>
      </c>
      <c r="AW7" s="1">
        <f>((5-1)*(FullandFinal_Project[[#This Row],[total_crime]]-$AV$13)/($AV$14-$AV$13))+1</f>
        <v>1</v>
      </c>
      <c r="AX7" s="8">
        <v>3.39</v>
      </c>
      <c r="AY7" s="1">
        <f>((5-1)*(FullandFinal_Project[[#This Row],[murder]]-$AX$13)/($AX$14-$AX$13))+1</f>
        <v>1</v>
      </c>
      <c r="AZ7" s="8">
        <v>27.56</v>
      </c>
      <c r="BA7" s="1">
        <f>((5-1)*(FullandFinal_Project[[#This Row],[rape]]-$AZ$13)/($AZ$14-$AZ$13))+1</f>
        <v>1</v>
      </c>
      <c r="BB7" s="8">
        <v>162.41999999999999</v>
      </c>
      <c r="BC7" s="1">
        <f>((5-1)*(FullandFinal_Project[[#This Row],[robbery]]-$BB$13)/($BB$14-$BB$13))+1</f>
        <v>1.6808740221203129</v>
      </c>
      <c r="BD7" s="8">
        <v>345.52</v>
      </c>
      <c r="BE7" s="1">
        <f>((5-1)*(FullandFinal_Project[[#This Row],[aggravated_assault]]-$BD$13)/($BD$14-$BD$13))+1</f>
        <v>1.6534196621269626</v>
      </c>
      <c r="BF7" s="8">
        <v>538.9</v>
      </c>
      <c r="BG7" s="1">
        <f>((5-1)*(FullandFinal_Project[[#This Row],[tot_violent_crime]]-$BF$13)/($BF$14-$BF$13))+1</f>
        <v>1.4696351170304986</v>
      </c>
      <c r="BH7" s="8">
        <v>128.87</v>
      </c>
      <c r="BI7" s="1">
        <f>((5-1)*(FullandFinal_Project[[#This Row],[burglary]]-$BH$13)/($BH$14-$BH$13))+1</f>
        <v>1</v>
      </c>
      <c r="BJ7" s="8">
        <v>1253.1500000000001</v>
      </c>
      <c r="BK7" s="1">
        <f>((5-1)*(FullandFinal_Project[[#This Row],[larceny]]-$BJ$13)/($BJ$14-$BJ$13))+1</f>
        <v>1</v>
      </c>
      <c r="BL7" s="8">
        <v>66.56</v>
      </c>
      <c r="BM7" s="1">
        <f>((5-1)*(FullandFinal_Project[[#This Row],[vehicle_theft]]-$BL$13)/($BL$14-$BL$13))+1</f>
        <v>1</v>
      </c>
      <c r="BN7" s="8">
        <v>1448.59</v>
      </c>
      <c r="BO7" s="1">
        <f>((5-1)*(FullandFinal_Project[[#This Row],[total_property_crim]]-$BN$13)/($BN$14-$BN$13))+1</f>
        <v>1</v>
      </c>
      <c r="BP7" s="7">
        <v>115409</v>
      </c>
      <c r="BQ7" s="1">
        <f>((5-1)*(FullandFinal_Project[[#This Row],[Median Household Income]]-$BP$13)/($BP$14-$BP$13))+1</f>
        <v>3.8305883322573111</v>
      </c>
      <c r="BR7" s="5">
        <v>56.335766423357661</v>
      </c>
      <c r="BS7" s="1">
        <f>((5-1)*(FullandFinal_Project[[#This Row],[AQI]]-$BR$13)/($BR$14-$BR$13))+1</f>
        <v>2.9901318858249768</v>
      </c>
      <c r="BT7" s="4">
        <v>6.8500000000000005E-2</v>
      </c>
      <c r="BU7" s="1">
        <f>((5-1)*(FullandFinal_Project[[#This Row],[State Tax Rate]]-$BT$13)/($BT$14-$BT$13))+1</f>
        <v>4.5076923076923094</v>
      </c>
      <c r="BV7" s="4">
        <v>1.3860000000000001E-2</v>
      </c>
      <c r="BW7" s="1">
        <f>((5-1)*(FullandFinal_Project[[#This Row],[Avg local total rate]]-$BV$13)/($BV$14-$BV$13))+1</f>
        <v>2.2233009708737868</v>
      </c>
      <c r="BX7" s="4">
        <v>8.2360000000000003E-2</v>
      </c>
      <c r="BY7" s="1">
        <f>((5-1)*(FullandFinal_Project[[#This Row],[Combined Rate]]-$BX$13)/($BX$14-$BX$13))+1</f>
        <v>3.5243088655862733</v>
      </c>
    </row>
    <row r="8" spans="1:77" x14ac:dyDescent="0.25">
      <c r="A8" t="s">
        <v>98</v>
      </c>
      <c r="B8" t="s">
        <v>99</v>
      </c>
      <c r="C8" t="s">
        <v>100</v>
      </c>
      <c r="D8" s="8">
        <v>139.9</v>
      </c>
      <c r="E8" s="1">
        <f>((5-1)*(FullandFinal_Project[[#This Row],[Quality of Life Index]]-$D$13)/($D$14-$D$13))+1</f>
        <v>1.4866468842729965</v>
      </c>
      <c r="F8" s="8">
        <v>109.2</v>
      </c>
      <c r="G8" s="1">
        <f>((5-1)*(FullandFinal_Project[[#This Row],[Purchasing Power Index]]-$F$13)/($F$14-$F$13))+1</f>
        <v>3.9677419354838706</v>
      </c>
      <c r="H8" s="8">
        <v>38</v>
      </c>
      <c r="I8" s="1">
        <f>((5-1)*(FullandFinal_Project[[#This Row],[Safety Index]]-$H$13)/($H$14-$H$13))+1</f>
        <v>1.6349206349206349</v>
      </c>
      <c r="J8" s="10">
        <v>63.9</v>
      </c>
      <c r="K8" s="1">
        <f>((5-1)*(FullandFinal_Project[[#This Row],[Health Care Index]]-$J$13)/($J$14-$J$13))+1</f>
        <v>3.0324324324324321</v>
      </c>
      <c r="L8" s="8">
        <v>106.8</v>
      </c>
      <c r="M8" s="1">
        <f>((5-1)*(FullandFinal_Project[[#This Row],[Cost of Living Index]]-$L$13)/($L$14-$L$13))+1</f>
        <v>5</v>
      </c>
      <c r="N8">
        <v>9</v>
      </c>
      <c r="O8" s="1">
        <f>((5-1)*(FullandFinal_Project[[#This Row],[Property Price to Income Ratio]]-$N$13)/($N$14-$N$13))+1</f>
        <v>4.2463768115942031</v>
      </c>
      <c r="P8" s="8">
        <v>52.1</v>
      </c>
      <c r="Q8" s="1">
        <f>((5-1)*(FullandFinal_Project[[#This Row],[Traffic Commute Time Index]]-$P$13)/($P$14-$P$13))+1</f>
        <v>5</v>
      </c>
      <c r="R8" s="8">
        <v>52.5</v>
      </c>
      <c r="S8" s="1">
        <f>((5-1)*(FullandFinal_Project[[#This Row],[Pollution Index]]-$R$13)/($R$14-$R$13))+1</f>
        <v>4.1724137931034484</v>
      </c>
      <c r="T8" s="8">
        <v>97.3</v>
      </c>
      <c r="U8" s="1">
        <f>((5-1)*(FullandFinal_Project[[#This Row],[Climate Index]]-$T$13)/($T$14-$T$13))+1</f>
        <v>5</v>
      </c>
      <c r="V8" s="8">
        <v>92.9</v>
      </c>
      <c r="W8" s="1">
        <f>((5-1)*(FullandFinal_Project[[#This Row],[Rent Index]]-$V$13)/($V$14-$V$13))+1</f>
        <v>4.5186440677966111</v>
      </c>
      <c r="X8" s="11">
        <v>92.6</v>
      </c>
      <c r="Y8" s="1">
        <f>((5-1)*(FullandFinal_Project[[#This Row],[Restaurant Price Index]]-$X$13)/($X$14-$X$13))+1</f>
        <v>3.8194444444444442</v>
      </c>
      <c r="Z8" s="8">
        <v>109.2</v>
      </c>
      <c r="AA8" s="1">
        <f>((5-1)*(FullandFinal_Project[[#This Row],[Local Purchasing Power Index]]-$Z$13)/($Z$14-$Z$13))+1</f>
        <v>3.7259259259259268</v>
      </c>
      <c r="AB8" s="8">
        <v>63.9</v>
      </c>
      <c r="AC8" s="1">
        <f>((5-1)*(FullandFinal_Project[[#This Row],[Health Care Index.1]]-$AB$13)/($AB$14-$AB$13))+1</f>
        <v>3.0324324324324321</v>
      </c>
      <c r="AD8" s="8">
        <v>118</v>
      </c>
      <c r="AE8" s="1">
        <f>((5-1)*(FullandFinal_Project[[#This Row],[Health Care Exp. Index]]-$AD$13)/($AD$14-$AD$13))+1</f>
        <v>3.1769436997319032</v>
      </c>
      <c r="AF8" s="8">
        <v>262.8</v>
      </c>
      <c r="AG8" s="1">
        <f>((5-1)*(FullandFinal_Project[[#This Row],[Traffic Index]]-$AF$13)/($AF$14-$AF$13))+1</f>
        <v>5</v>
      </c>
      <c r="AH8" s="8">
        <v>52.1</v>
      </c>
      <c r="AI8" s="1">
        <f>((5-1)*(FullandFinal_Project[[#This Row],[Time Index (in minutes)]]-$AH$13)/($AH$14-$AH$13))+1</f>
        <v>5</v>
      </c>
      <c r="AJ8" s="8">
        <v>7872.6</v>
      </c>
      <c r="AK8" s="1">
        <f>((5-1)*(FullandFinal_Project[[#This Row],[Time Exp. Index]]-$AJ$13)/($AJ$14-$AJ$13))+1</f>
        <v>5</v>
      </c>
      <c r="AL8" s="8">
        <v>583.1</v>
      </c>
      <c r="AM8" s="1">
        <f>((5-1)*(FullandFinal_Project[[#This Row],[Insufficiency Index]]-$AL$13)/($AL$14-$AL$13))+1</f>
        <v>5</v>
      </c>
      <c r="AN8" s="8">
        <v>9580.4</v>
      </c>
      <c r="AO8" s="1">
        <f>((5-1)*(FullandFinal_Project[[#This Row],[CO2 Emission Index]]-AN19)/($AN$14-$AN$13))+1</f>
        <v>7.0190679629949582</v>
      </c>
      <c r="AP8">
        <v>64</v>
      </c>
      <c r="AQ8" s="1">
        <f>((5-1)*(FullandFinal_Project[[#This Row],[Temperature-High (°F)]]-$AP$13)/($AP$14-$AP$13))+1</f>
        <v>1.8333333333333335</v>
      </c>
      <c r="AR8">
        <v>51</v>
      </c>
      <c r="AS8" s="1">
        <f>((5-1)*(FullandFinal_Project[[#This Row],[Temperature-Low (°F)]]-$AR$13)/($AR$14-$AR$13))+1</f>
        <v>2.931034482758621</v>
      </c>
      <c r="AT8" s="9">
        <v>881255</v>
      </c>
      <c r="AU8" s="1">
        <f>((5-1)*(FullandFinal_Project[[#This Row],[population]]-$AT$13)/($AT$14-$AT$13))+1</f>
        <v>1.2360593978738288</v>
      </c>
      <c r="AV8" s="8">
        <v>6917.4</v>
      </c>
      <c r="AW8" s="1">
        <f>((5-1)*(FullandFinal_Project[[#This Row],[total_crime]]-$AV$13)/($AV$14-$AV$13))+1</f>
        <v>5</v>
      </c>
      <c r="AX8" s="8">
        <v>6.35</v>
      </c>
      <c r="AY8" s="1">
        <f>((5-1)*(FullandFinal_Project[[#This Row],[murder]]-$AX$13)/($AX$14-$AX$13))+1</f>
        <v>1.796234028244788</v>
      </c>
      <c r="AZ8" s="8">
        <v>41.65</v>
      </c>
      <c r="BA8" s="1">
        <f>((5-1)*(FullandFinal_Project[[#This Row],[rape]]-$AZ$13)/($AZ$14-$AZ$13))+1</f>
        <v>1.7897982062780269</v>
      </c>
      <c r="BB8" s="8">
        <v>365.39</v>
      </c>
      <c r="BC8" s="1">
        <f>((5-1)*(FullandFinal_Project[[#This Row],[robbery]]-$BB$13)/($BB$14-$BB$13))+1</f>
        <v>4.1143482300752332</v>
      </c>
      <c r="BD8" s="8">
        <v>301.62</v>
      </c>
      <c r="BE8" s="1">
        <f>((5-1)*(FullandFinal_Project[[#This Row],[aggravated_assault]]-$BD$13)/($BD$14-$BD$13))+1</f>
        <v>1</v>
      </c>
      <c r="BF8" s="8">
        <v>715</v>
      </c>
      <c r="BG8" s="1">
        <f>((5-1)*(FullandFinal_Project[[#This Row],[tot_violent_crime]]-$BF$13)/($BF$14-$BF$13))+1</f>
        <v>2.5798880920482308</v>
      </c>
      <c r="BH8" s="8">
        <v>560</v>
      </c>
      <c r="BI8" s="1">
        <f>((5-1)*(FullandFinal_Project[[#This Row],[burglary]]-$BH$13)/($BH$14-$BH$13))+1</f>
        <v>2.8093609342048662</v>
      </c>
      <c r="BJ8" s="8">
        <v>5059.49</v>
      </c>
      <c r="BK8" s="1">
        <f>((5-1)*(FullandFinal_Project[[#This Row],[larceny]]-$BJ$13)/($BJ$14-$BJ$13))+1</f>
        <v>5</v>
      </c>
      <c r="BL8" s="8">
        <v>548.54</v>
      </c>
      <c r="BM8" s="1">
        <f>((5-1)*(FullandFinal_Project[[#This Row],[vehicle_theft]]-$BL$13)/($BL$14-$BL$13))+1</f>
        <v>3.6765885962598399</v>
      </c>
      <c r="BN8" s="8">
        <v>6168.02</v>
      </c>
      <c r="BO8" s="1">
        <f>((5-1)*(FullandFinal_Project[[#This Row],[total_property_crim]]-$BN$13)/($BN$14-$BN$13))+1</f>
        <v>5</v>
      </c>
      <c r="BP8" s="7">
        <v>136692</v>
      </c>
      <c r="BQ8" s="1">
        <f>((5-1)*(FullandFinal_Project[[#This Row],[Median Household Income]]-$BP$13)/($BP$14-$BP$13))+1</f>
        <v>5</v>
      </c>
      <c r="BR8" s="5">
        <v>46.950819672131146</v>
      </c>
      <c r="BS8" s="1">
        <f>((5-1)*(FullandFinal_Project[[#This Row],[AQI]]-$BR$13)/($BR$14-$BR$13))+1</f>
        <v>1.4010288966133051</v>
      </c>
      <c r="BT8" s="4">
        <v>0.04</v>
      </c>
      <c r="BU8" s="1">
        <f>((5-1)*(FullandFinal_Project[[#This Row],[State Tax Rate]]-$BT$13)/($BT$14-$BT$13))+1</f>
        <v>1</v>
      </c>
      <c r="BV8" s="4">
        <v>4.5319999999999999E-2</v>
      </c>
      <c r="BW8" s="1">
        <f>((5-1)*(FullandFinal_Project[[#This Row],[Avg local total rate]]-$BV$13)/($BV$14-$BV$13))+1</f>
        <v>5</v>
      </c>
      <c r="BX8" s="4">
        <v>8.5319999999999993E-2</v>
      </c>
      <c r="BY8" s="1">
        <f>((5-1)*(FullandFinal_Project[[#This Row],[Combined Rate]]-$BX$13)/($BX$14-$BX$13))+1</f>
        <v>3.9005401970130276</v>
      </c>
    </row>
    <row r="9" spans="1:77" x14ac:dyDescent="0.25">
      <c r="A9" t="s">
        <v>101</v>
      </c>
      <c r="B9" t="s">
        <v>102</v>
      </c>
      <c r="C9" t="s">
        <v>103</v>
      </c>
      <c r="D9" s="8">
        <v>158</v>
      </c>
      <c r="E9" s="1">
        <f>((5-1)*(FullandFinal_Project[[#This Row],[Quality of Life Index]]-$D$13)/($D$14-$D$13))+1</f>
        <v>3.6350148367952517</v>
      </c>
      <c r="F9" s="8">
        <v>107.6</v>
      </c>
      <c r="G9" s="1">
        <f>((5-1)*(FullandFinal_Project[[#This Row],[Purchasing Power Index]]-$F$13)/($F$14-$F$13))+1</f>
        <v>3.4516129032258034</v>
      </c>
      <c r="H9" s="8">
        <v>45.7</v>
      </c>
      <c r="I9" s="1">
        <f>((5-1)*(FullandFinal_Project[[#This Row],[Safety Index]]-$H$13)/($H$14-$H$13))+1</f>
        <v>2.8571428571428577</v>
      </c>
      <c r="J9" s="10">
        <v>66.900000000000006</v>
      </c>
      <c r="K9" s="1">
        <f>((5-1)*(FullandFinal_Project[[#This Row],[Health Care Index]]-$J$13)/($J$14-$J$13))+1</f>
        <v>3.6810810810810821</v>
      </c>
      <c r="L9" s="8">
        <v>104</v>
      </c>
      <c r="M9" s="1">
        <f>((5-1)*(FullandFinal_Project[[#This Row],[Cost of Living Index]]-$L$13)/($L$14-$L$13))+1</f>
        <v>4.666666666666667</v>
      </c>
      <c r="N9">
        <v>6.6</v>
      </c>
      <c r="O9" s="1">
        <f>((5-1)*(FullandFinal_Project[[#This Row],[Property Price to Income Ratio]]-$N$13)/($N$14-$N$13))+1</f>
        <v>2.8550724637681157</v>
      </c>
      <c r="P9" s="8">
        <v>46.5</v>
      </c>
      <c r="Q9" s="1">
        <f>((5-1)*(FullandFinal_Project[[#This Row],[Traffic Commute Time Index]]-$P$13)/($P$14-$P$13))+1</f>
        <v>4.1075697211155378</v>
      </c>
      <c r="R9" s="8">
        <v>37.4</v>
      </c>
      <c r="S9" s="1">
        <f>((5-1)*(FullandFinal_Project[[#This Row],[Pollution Index]]-$R$13)/($R$14-$R$13))+1</f>
        <v>1.85823754789272</v>
      </c>
      <c r="T9" s="8">
        <v>91.7</v>
      </c>
      <c r="U9" s="1">
        <f>((5-1)*(FullandFinal_Project[[#This Row],[Climate Index]]-$T$13)/($T$14-$T$13))+1</f>
        <v>4.4536585365853663</v>
      </c>
      <c r="V9" s="8">
        <v>74.3</v>
      </c>
      <c r="W9" s="1">
        <f>((5-1)*(FullandFinal_Project[[#This Row],[Rent Index]]-$V$13)/($V$14-$V$13))+1</f>
        <v>3.2576271186440677</v>
      </c>
      <c r="X9" s="11">
        <v>101.1</v>
      </c>
      <c r="Y9" s="1">
        <f>((5-1)*(FullandFinal_Project[[#This Row],[Restaurant Price Index]]-$X$13)/($X$14-$X$13))+1</f>
        <v>5</v>
      </c>
      <c r="Z9" s="8">
        <v>107.6</v>
      </c>
      <c r="AA9" s="1">
        <f>((5-1)*(FullandFinal_Project[[#This Row],[Local Purchasing Power Index]]-$Z$13)/($Z$14-$Z$13))+1</f>
        <v>3.2518518518518502</v>
      </c>
      <c r="AB9" s="8">
        <v>66.900000000000006</v>
      </c>
      <c r="AC9" s="1">
        <f>((5-1)*(FullandFinal_Project[[#This Row],[Health Care Index.1]]-$AB$13)/($AB$14-$AB$13))+1</f>
        <v>3.6810810810810821</v>
      </c>
      <c r="AD9" s="8">
        <v>124.6</v>
      </c>
      <c r="AE9" s="1">
        <f>((5-1)*(FullandFinal_Project[[#This Row],[Health Care Exp. Index]]-$AD$13)/($AD$14-$AD$13))+1</f>
        <v>3.8847184986595167</v>
      </c>
      <c r="AF9" s="8">
        <v>223.7</v>
      </c>
      <c r="AG9" s="1">
        <f>((5-1)*(FullandFinal_Project[[#This Row],[Traffic Index]]-$AF$13)/($AF$14-$AF$13))+1</f>
        <v>3.8533724340175945</v>
      </c>
      <c r="AH9" s="8">
        <v>46.5</v>
      </c>
      <c r="AI9" s="1">
        <f>((5-1)*(FullandFinal_Project[[#This Row],[Time Index (in minutes)]]-$AH$13)/($AH$14-$AH$13))+1</f>
        <v>4.1075697211155378</v>
      </c>
      <c r="AJ9" s="8">
        <v>4247.8999999999996</v>
      </c>
      <c r="AK9" s="1">
        <f>((5-1)*(FullandFinal_Project[[#This Row],[Time Exp. Index]]-$AJ$13)/($AJ$14-$AJ$13))+1</f>
        <v>3.1504509446237448</v>
      </c>
      <c r="AL9" s="8">
        <v>341.7</v>
      </c>
      <c r="AM9" s="1">
        <f>((5-1)*(FullandFinal_Project[[#This Row],[Insufficiency Index]]-$AL$13)/($AL$14-$AL$13))+1</f>
        <v>2.8044565711687128</v>
      </c>
      <c r="AN9" s="8">
        <v>8742.1</v>
      </c>
      <c r="AO9" s="1">
        <f>((5-1)*(FullandFinal_Project[[#This Row],[CO2 Emission Index]]-AN20)/($AN$14-$AN$13))+1</f>
        <v>6.4923900921984705</v>
      </c>
      <c r="AP9">
        <v>61</v>
      </c>
      <c r="AQ9" s="1">
        <f>((5-1)*(FullandFinal_Project[[#This Row],[Temperature-High (°F)]]-$AP$13)/($AP$14-$AP$13))+1</f>
        <v>1.3333333333333333</v>
      </c>
      <c r="AR9">
        <v>46</v>
      </c>
      <c r="AS9" s="1">
        <f>((5-1)*(FullandFinal_Project[[#This Row],[Temperature-Low (°F)]]-$AR$13)/($AR$14-$AR$13))+1</f>
        <v>2.2413793103448274</v>
      </c>
      <c r="AT9" s="9">
        <v>721365</v>
      </c>
      <c r="AU9" s="1">
        <f>((5-1)*(FullandFinal_Project[[#This Row],[population]]-$AT$13)/($AT$14-$AT$13))+1</f>
        <v>1.1601006196087094</v>
      </c>
      <c r="AV9" s="8">
        <v>5911.99</v>
      </c>
      <c r="AW9" s="1">
        <f>((5-1)*(FullandFinal_Project[[#This Row],[total_crime]]-$AV$13)/($AV$14-$AV$13))+1</f>
        <v>4.1842366290662509</v>
      </c>
      <c r="AX9" s="8">
        <v>3.74</v>
      </c>
      <c r="AY9" s="1">
        <f>((5-1)*(FullandFinal_Project[[#This Row],[murder]]-$AX$13)/($AX$14-$AX$13))+1</f>
        <v>1.0941492938802959</v>
      </c>
      <c r="AZ9" s="8">
        <v>36.869999999999997</v>
      </c>
      <c r="BA9" s="1">
        <f>((5-1)*(FullandFinal_Project[[#This Row],[rape]]-$AZ$13)/($AZ$14-$AZ$13))+1</f>
        <v>1.5218609865470851</v>
      </c>
      <c r="BB9" s="8">
        <v>210.02</v>
      </c>
      <c r="BC9" s="1">
        <f>((5-1)*(FullandFinal_Project[[#This Row],[robbery]]-$BB$13)/($BB$14-$BB$13))+1</f>
        <v>2.2515661061655128</v>
      </c>
      <c r="BD9" s="8">
        <v>382.05</v>
      </c>
      <c r="BE9" s="1">
        <f>((5-1)*(FullandFinal_Project[[#This Row],[aggravated_assault]]-$BD$13)/($BD$14-$BD$13))+1</f>
        <v>2.1971422192453671</v>
      </c>
      <c r="BF9" s="8">
        <v>632.69000000000005</v>
      </c>
      <c r="BG9" s="1">
        <f>((5-1)*(FullandFinal_Project[[#This Row],[tot_violent_crime]]-$BF$13)/($BF$14-$BF$13))+1</f>
        <v>2.0609504295058718</v>
      </c>
      <c r="BH9" s="8">
        <v>1081.98</v>
      </c>
      <c r="BI9" s="1">
        <f>((5-1)*(FullandFinal_Project[[#This Row],[burglary]]-$BH$13)/($BH$14-$BH$13))+1</f>
        <v>5</v>
      </c>
      <c r="BJ9" s="8">
        <v>3673.45</v>
      </c>
      <c r="BK9" s="1">
        <f>((5-1)*(FullandFinal_Project[[#This Row],[larceny]]-$BJ$13)/($BJ$14-$BJ$13))+1</f>
        <v>3.5434406805487684</v>
      </c>
      <c r="BL9" s="8">
        <v>503.21</v>
      </c>
      <c r="BM9" s="1">
        <f>((5-1)*(FullandFinal_Project[[#This Row],[vehicle_theft]]-$BL$13)/($BL$14-$BL$13))+1</f>
        <v>3.4248566549584196</v>
      </c>
      <c r="BN9" s="8">
        <v>5258.64</v>
      </c>
      <c r="BO9" s="1">
        <f>((5-1)*(FullandFinal_Project[[#This Row],[total_property_crim]]-$BN$13)/($BN$14-$BN$13))+1</f>
        <v>4.2292459046961177</v>
      </c>
      <c r="BP9" s="7">
        <v>68905</v>
      </c>
      <c r="BQ9" s="1">
        <f>((5-1)*(FullandFinal_Project[[#This Row],[Median Household Income]]-$BP$13)/($BP$14-$BP$13))+1</f>
        <v>1.2753883981922829</v>
      </c>
      <c r="BR9" s="5">
        <v>48.239436619718312</v>
      </c>
      <c r="BS9" s="1">
        <f>((5-1)*(FullandFinal_Project[[#This Row],[AQI]]-$BR$13)/($BR$14-$BR$13))+1</f>
        <v>1.6192235329432305</v>
      </c>
      <c r="BT9" s="4">
        <v>6.25E-2</v>
      </c>
      <c r="BU9" s="1">
        <f>((5-1)*(FullandFinal_Project[[#This Row],[State Tax Rate]]-$BT$13)/($BT$14-$BT$13))+1</f>
        <v>3.7692307692307696</v>
      </c>
      <c r="BV9" s="4">
        <v>1.9480000000000001E-2</v>
      </c>
      <c r="BW9" s="1">
        <f>((5-1)*(FullandFinal_Project[[#This Row],[Avg local total rate]]-$BV$13)/($BV$14-$BV$13))+1</f>
        <v>2.7193292144748455</v>
      </c>
      <c r="BX9" s="4">
        <v>8.1979999999999997E-2</v>
      </c>
      <c r="BY9" s="1">
        <f>((5-1)*(FullandFinal_Project[[#This Row],[Combined Rate]]-$BX$13)/($BX$14-$BX$13))+1</f>
        <v>3.4760088973625671</v>
      </c>
    </row>
    <row r="10" spans="1:77" x14ac:dyDescent="0.25">
      <c r="A10" t="s">
        <v>104</v>
      </c>
      <c r="B10" t="s">
        <v>105</v>
      </c>
      <c r="C10" t="s">
        <v>106</v>
      </c>
      <c r="D10" s="8">
        <v>169.5</v>
      </c>
      <c r="E10" s="1">
        <f>((5-1)*(FullandFinal_Project[[#This Row],[Quality of Life Index]]-$D$13)/($D$14-$D$13))+1</f>
        <v>5</v>
      </c>
      <c r="F10" s="8">
        <v>103.8</v>
      </c>
      <c r="G10" s="1">
        <f>((5-1)*(FullandFinal_Project[[#This Row],[Purchasing Power Index]]-$F$13)/($F$14-$F$13))+1</f>
        <v>2.2258064516129017</v>
      </c>
      <c r="H10" s="8">
        <v>53.8</v>
      </c>
      <c r="I10" s="1">
        <f>((5-1)*(FullandFinal_Project[[#This Row],[Safety Index]]-$H$13)/($H$14-$H$13))+1</f>
        <v>4.1428571428571423</v>
      </c>
      <c r="J10" s="10">
        <v>67</v>
      </c>
      <c r="K10" s="1">
        <f>((5-1)*(FullandFinal_Project[[#This Row],[Health Care Index]]-$J$13)/($J$14-$J$13))+1</f>
        <v>3.7027027027027026</v>
      </c>
      <c r="L10" s="8">
        <v>84.3</v>
      </c>
      <c r="M10" s="1">
        <f>((5-1)*(FullandFinal_Project[[#This Row],[Cost of Living Index]]-$L$13)/($L$14-$L$13))+1</f>
        <v>2.3214285714285712</v>
      </c>
      <c r="N10">
        <v>4.8</v>
      </c>
      <c r="O10" s="1">
        <f>((5-1)*(FullandFinal_Project[[#This Row],[Property Price to Income Ratio]]-$N$13)/($N$14-$N$13))+1</f>
        <v>1.8115942028985508</v>
      </c>
      <c r="P10" s="8">
        <v>36.700000000000003</v>
      </c>
      <c r="Q10" s="1">
        <f>((5-1)*(FullandFinal_Project[[#This Row],[Traffic Commute Time Index]]-$P$13)/($P$14-$P$13))+1</f>
        <v>2.5458167330677295</v>
      </c>
      <c r="R10" s="8">
        <v>33.5</v>
      </c>
      <c r="S10" s="1">
        <f>((5-1)*(FullandFinal_Project[[#This Row],[Pollution Index]]-$R$13)/($R$14-$R$13))+1</f>
        <v>1.2605363984674329</v>
      </c>
      <c r="T10" s="8">
        <v>84.7</v>
      </c>
      <c r="U10" s="1">
        <f>((5-1)*(FullandFinal_Project[[#This Row],[Climate Index]]-$T$13)/($T$14-$T$13))+1</f>
        <v>3.7707317073170739</v>
      </c>
      <c r="V10" s="8">
        <v>55.3</v>
      </c>
      <c r="W10" s="1">
        <f>((5-1)*(FullandFinal_Project[[#This Row],[Rent Index]]-$V$13)/($V$14-$V$13))+1</f>
        <v>1.9694915254237286</v>
      </c>
      <c r="X10" s="11">
        <v>78.099999999999994</v>
      </c>
      <c r="Y10" s="1">
        <f>((5-1)*(FullandFinal_Project[[#This Row],[Restaurant Price Index]]-$X$13)/($X$14-$X$13))+1</f>
        <v>1.8055555555555554</v>
      </c>
      <c r="Z10" s="8">
        <v>103.8</v>
      </c>
      <c r="AA10" s="1">
        <f>((5-1)*(FullandFinal_Project[[#This Row],[Local Purchasing Power Index]]-$Z$13)/($Z$14-$Z$13))+1</f>
        <v>2.1259259259259249</v>
      </c>
      <c r="AB10" s="8">
        <v>67</v>
      </c>
      <c r="AC10" s="1">
        <f>((5-1)*(FullandFinal_Project[[#This Row],[Health Care Index.1]]-$AB$13)/($AB$14-$AB$13))+1</f>
        <v>3.7027027027027026</v>
      </c>
      <c r="AD10" s="8">
        <v>123.6</v>
      </c>
      <c r="AE10" s="1">
        <f>((5-1)*(FullandFinal_Project[[#This Row],[Health Care Exp. Index]]-$AD$13)/($AD$14-$AD$13))+1</f>
        <v>3.7774798927613933</v>
      </c>
      <c r="AF10" s="8">
        <v>176.9</v>
      </c>
      <c r="AG10" s="1">
        <f>((5-1)*(FullandFinal_Project[[#This Row],[Traffic Index]]-$AF$13)/($AF$14-$AF$13))+1</f>
        <v>2.4809384164222874</v>
      </c>
      <c r="AH10" s="8">
        <v>36.700000000000003</v>
      </c>
      <c r="AI10" s="1">
        <f>((5-1)*(FullandFinal_Project[[#This Row],[Time Index (in minutes)]]-$AH$13)/($AH$14-$AH$13))+1</f>
        <v>2.5458167330677295</v>
      </c>
      <c r="AJ10" s="8">
        <v>844.9</v>
      </c>
      <c r="AK10" s="1">
        <f>((5-1)*(FullandFinal_Project[[#This Row],[Time Exp. Index]]-$AJ$13)/($AJ$14-$AJ$13))+1</f>
        <v>1.4140271204602568</v>
      </c>
      <c r="AL10" s="8">
        <v>211.2</v>
      </c>
      <c r="AM10" s="1">
        <f>((5-1)*(FullandFinal_Project[[#This Row],[Insufficiency Index]]-$AL$13)/($AL$14-$AL$13))+1</f>
        <v>1.6175534333788084</v>
      </c>
      <c r="AN10" s="8">
        <v>9321.7999999999993</v>
      </c>
      <c r="AO10" s="1">
        <f>((5-1)*(FullandFinal_Project[[#This Row],[CO2 Emission Index]]-AN21)/($AN$14-$AN$13))+1</f>
        <v>6.8565976094365997</v>
      </c>
      <c r="AP10">
        <v>83</v>
      </c>
      <c r="AQ10" s="1">
        <f>((5-1)*(FullandFinal_Project[[#This Row],[Temperature-High (°F)]]-$AP$13)/($AP$14-$AP$13))+1</f>
        <v>5</v>
      </c>
      <c r="AR10">
        <v>66</v>
      </c>
      <c r="AS10" s="1">
        <f>((5-1)*(FullandFinal_Project[[#This Row],[Temperature-Low (°F)]]-$AR$13)/($AR$14-$AR$13))+1</f>
        <v>5</v>
      </c>
      <c r="AT10" s="9">
        <v>384360</v>
      </c>
      <c r="AU10" s="1">
        <f>((5-1)*(FullandFinal_Project[[#This Row],[population]]-$AT$13)/($AT$14-$AT$13))+1</f>
        <v>1</v>
      </c>
      <c r="AV10" s="8">
        <v>2218.2399999999998</v>
      </c>
      <c r="AW10" s="1">
        <f>((5-1)*(FullandFinal_Project[[#This Row],[total_crime]]-$AV$13)/($AV$14-$AV$13))+1</f>
        <v>1.1872245132264077</v>
      </c>
      <c r="AX10" s="8">
        <v>10.15</v>
      </c>
      <c r="AY10" s="1">
        <f>((5-1)*(FullandFinal_Project[[#This Row],[murder]]-$AX$13)/($AX$14-$AX$13))+1</f>
        <v>2.8184263618022865</v>
      </c>
      <c r="AZ10" s="8">
        <v>31.48</v>
      </c>
      <c r="BA10" s="1">
        <f>((5-1)*(FullandFinal_Project[[#This Row],[rape]]-$AZ$13)/($AZ$14-$AZ$13))+1</f>
        <v>1.2197309417040361</v>
      </c>
      <c r="BB10" s="8">
        <v>105.63</v>
      </c>
      <c r="BC10" s="1">
        <f>((5-1)*(FullandFinal_Project[[#This Row],[robbery]]-$BB$13)/($BB$14-$BB$13))+1</f>
        <v>1</v>
      </c>
      <c r="BD10" s="8">
        <v>317.14999999999998</v>
      </c>
      <c r="BE10" s="1">
        <f>((5-1)*(FullandFinal_Project[[#This Row],[aggravated_assault]]-$BD$13)/($BD$14-$BD$13))+1</f>
        <v>1.2311527870804491</v>
      </c>
      <c r="BF10" s="8">
        <v>464.41</v>
      </c>
      <c r="BG10" s="1">
        <f>((5-1)*(FullandFinal_Project[[#This Row],[tot_violent_crime]]-$BF$13)/($BF$14-$BF$13))+1</f>
        <v>1</v>
      </c>
      <c r="BH10" s="8">
        <v>321.31</v>
      </c>
      <c r="BI10" s="1">
        <f>((5-1)*(FullandFinal_Project[[#This Row],[burglary]]-$BH$13)/($BH$14-$BH$13))+1</f>
        <v>1.8076297594191646</v>
      </c>
      <c r="BJ10" s="8">
        <v>1274.8499999999999</v>
      </c>
      <c r="BK10" s="1">
        <f>((5-1)*(FullandFinal_Project[[#This Row],[larceny]]-$BJ$13)/($BJ$14-$BJ$13))+1</f>
        <v>1.0228040584918845</v>
      </c>
      <c r="BL10" s="8">
        <v>147.52000000000001</v>
      </c>
      <c r="BM10" s="1">
        <f>((5-1)*(FullandFinal_Project[[#This Row],[vehicle_theft]]-$BL$13)/($BL$14-$BL$13))+1</f>
        <v>1.4495966902219939</v>
      </c>
      <c r="BN10" s="8">
        <v>1743.68</v>
      </c>
      <c r="BO10" s="1">
        <f>((5-1)*(FullandFinal_Project[[#This Row],[total_property_crim]]-$BN$13)/($BN$14-$BN$13))+1</f>
        <v>1.2501064747225832</v>
      </c>
      <c r="BP10" s="7">
        <v>88213</v>
      </c>
      <c r="BQ10" s="1">
        <f>((5-1)*(FullandFinal_Project[[#This Row],[Median Household Income]]-$BP$13)/($BP$14-$BP$13))+1</f>
        <v>2.3362820917869751</v>
      </c>
      <c r="BR10" s="5">
        <v>50.292817679558013</v>
      </c>
      <c r="BS10" s="1">
        <f>((5-1)*(FullandFinal_Project[[#This Row],[AQI]]-$BR$13)/($BR$14-$BR$13))+1</f>
        <v>1.9669115983822225</v>
      </c>
      <c r="BT10" s="4">
        <v>6.5000000000000002E-2</v>
      </c>
      <c r="BU10" s="1">
        <f>((5-1)*(FullandFinal_Project[[#This Row],[State Tax Rate]]-$BT$13)/($BT$14-$BT$13))+1</f>
        <v>4.0769230769230775</v>
      </c>
      <c r="BV10" s="4">
        <v>2.8969999999999999E-2</v>
      </c>
      <c r="BW10" s="1">
        <f>((5-1)*(FullandFinal_Project[[#This Row],[Avg local total rate]]-$BV$13)/($BV$14-$BV$13))+1</f>
        <v>3.5569285083848192</v>
      </c>
      <c r="BX10" s="4">
        <v>9.3969999999999998E-2</v>
      </c>
      <c r="BY10" s="1">
        <f>((5-1)*(FullandFinal_Project[[#This Row],[Combined Rate]]-$BX$13)/($BX$14-$BX$13))+1</f>
        <v>5</v>
      </c>
    </row>
    <row r="11" spans="1:77" x14ac:dyDescent="0.25">
      <c r="D11" s="8"/>
      <c r="F11" s="8"/>
      <c r="H11" s="8"/>
      <c r="J11" s="10"/>
      <c r="L11" s="8"/>
      <c r="P11" s="8"/>
      <c r="R11" s="8"/>
      <c r="T11" s="8"/>
      <c r="V11" s="8"/>
      <c r="X11" s="11"/>
      <c r="Z11" s="8"/>
      <c r="AB11" s="8"/>
      <c r="AD11" s="8"/>
      <c r="AF11" s="8"/>
      <c r="AH11" s="8"/>
      <c r="AJ11" s="8"/>
      <c r="AL11" s="8"/>
      <c r="AN11" s="8"/>
      <c r="AT11" s="9"/>
      <c r="AV11" s="8"/>
      <c r="AX11" s="8"/>
      <c r="AZ11" s="8"/>
      <c r="BB11" s="8"/>
      <c r="BD11" s="8"/>
      <c r="BF11" s="8"/>
      <c r="BH11" s="8"/>
      <c r="BJ11" s="8"/>
      <c r="BL11" s="8"/>
      <c r="BN11" s="8"/>
      <c r="BP11" s="7"/>
    </row>
    <row r="12" spans="1:77" x14ac:dyDescent="0.25">
      <c r="D12" s="8"/>
      <c r="F12" s="8"/>
      <c r="H12" s="8"/>
      <c r="J12" s="10"/>
      <c r="L12" s="8"/>
      <c r="P12" s="8"/>
      <c r="R12" s="8"/>
      <c r="T12" s="8"/>
      <c r="V12" s="8"/>
      <c r="X12" s="11"/>
      <c r="Z12" s="8"/>
      <c r="AB12" s="8"/>
      <c r="AD12" s="8"/>
      <c r="AF12" s="8"/>
      <c r="AH12" s="8"/>
      <c r="AJ12" s="8"/>
      <c r="AL12" s="8"/>
      <c r="AN12" s="8"/>
      <c r="AT12" s="9"/>
      <c r="AV12" s="8"/>
      <c r="AX12" s="8"/>
      <c r="AZ12" s="8"/>
      <c r="BB12" s="8"/>
      <c r="BD12" s="8"/>
      <c r="BF12" s="8"/>
      <c r="BH12" s="8"/>
      <c r="BJ12" s="8"/>
      <c r="BL12" s="8"/>
      <c r="BN12" s="8"/>
      <c r="BP12" s="7"/>
    </row>
    <row r="13" spans="1:77" x14ac:dyDescent="0.25">
      <c r="C13" s="12" t="s">
        <v>107</v>
      </c>
      <c r="D13" s="13">
        <f>MIN(FullandFinal_Project[Quality of Life Index])</f>
        <v>135.80000000000001</v>
      </c>
      <c r="E13" s="14"/>
      <c r="F13" s="13">
        <f>MIN(FullandFinal_Project[Purchasing Power Index])</f>
        <v>100</v>
      </c>
      <c r="G13" s="14"/>
      <c r="H13" s="13">
        <f>MIN(FullandFinal_Project[Safety Index])</f>
        <v>34</v>
      </c>
      <c r="I13" s="14"/>
      <c r="J13" s="15">
        <f>MIN(FullandFinal_Project[Health Care Index])</f>
        <v>54.5</v>
      </c>
      <c r="K13" s="14"/>
      <c r="L13" s="13">
        <f>MIN(FullandFinal_Project[Cost of Living Index])</f>
        <v>73.2</v>
      </c>
      <c r="M13" s="14"/>
      <c r="N13" s="14">
        <f>MIN(FullandFinal_Project[Property Price to Income Ratio])</f>
        <v>3.4</v>
      </c>
      <c r="O13" s="14"/>
      <c r="P13" s="13">
        <f>MIN(FullandFinal_Project[Traffic Commute Time Index])</f>
        <v>27</v>
      </c>
      <c r="Q13" s="14"/>
      <c r="R13" s="13">
        <f>MIN(FullandFinal_Project[Pollution Index])</f>
        <v>31.8</v>
      </c>
      <c r="S13" s="14"/>
      <c r="T13" s="13">
        <f>MIN(FullandFinal_Project[Climate Index])</f>
        <v>56.3</v>
      </c>
      <c r="U13" s="14"/>
      <c r="V13" s="13">
        <f>MIN(FullandFinal_Project[Rent Index])</f>
        <v>41</v>
      </c>
      <c r="W13" s="14"/>
      <c r="X13" s="16">
        <f>MIN(FullandFinal_Project[Restaurant Price Index])</f>
        <v>72.3</v>
      </c>
      <c r="Y13" s="14"/>
      <c r="Z13" s="13">
        <f>MIN(FullandFinal_Project[Local Purchasing Power Index])</f>
        <v>100</v>
      </c>
      <c r="AA13" s="14"/>
      <c r="AB13" s="13">
        <f>MIN(FullandFinal_Project[Health Care Index.1])</f>
        <v>54.5</v>
      </c>
      <c r="AC13" s="14"/>
      <c r="AD13" s="13">
        <f>MIN(FullandFinal_Project[Health Care Exp. Index])</f>
        <v>97.7</v>
      </c>
      <c r="AE13" s="14"/>
      <c r="AF13" s="13">
        <f>MIN(FullandFinal_Project[Traffic Index])</f>
        <v>126.4</v>
      </c>
      <c r="AG13" s="14"/>
      <c r="AH13" s="13">
        <f>MIN(FullandFinal_Project[Time Index (in minutes)])</f>
        <v>27</v>
      </c>
      <c r="AI13" s="14"/>
      <c r="AJ13" s="13">
        <f>MIN(FullandFinal_Project[Time Exp. Index])</f>
        <v>33.5</v>
      </c>
      <c r="AK13" s="14"/>
      <c r="AL13" s="13">
        <f>MIN(FullandFinal_Project[Insufficiency Index])</f>
        <v>143.30000000000001</v>
      </c>
      <c r="AM13" s="14"/>
      <c r="AN13" s="13">
        <f>MIN(FullandFinal_Project[CO2 Emission Index])</f>
        <v>3213.7</v>
      </c>
      <c r="AO13" s="14"/>
      <c r="AP13" s="14">
        <f>MIN(FullandFinal_Project[Temperature-High (°F)])</f>
        <v>59</v>
      </c>
      <c r="AQ13" s="14"/>
      <c r="AR13" s="14">
        <f>MIN(FullandFinal_Project[Temperature-Low (°F)])</f>
        <v>37</v>
      </c>
      <c r="AS13" s="14"/>
      <c r="AT13" s="17">
        <f>MIN(FullandFinal_Project[population])</f>
        <v>384360</v>
      </c>
      <c r="AU13" s="14"/>
      <c r="AV13" s="13">
        <f>MIN(FullandFinal_Project[total_crime])</f>
        <v>1987.49</v>
      </c>
      <c r="AW13" s="14"/>
      <c r="AX13" s="13">
        <f>MIN(FullandFinal_Project[murder])</f>
        <v>3.39</v>
      </c>
      <c r="AY13" s="14"/>
      <c r="AZ13" s="13">
        <f>MIN(FullandFinal_Project[rape])</f>
        <v>27.56</v>
      </c>
      <c r="BA13" s="14"/>
      <c r="BB13" s="13">
        <f>MIN(FullandFinal_Project[robbery])</f>
        <v>105.63</v>
      </c>
      <c r="BC13" s="14"/>
      <c r="BD13" s="13">
        <f>MIN(FullandFinal_Project[aggravated_assault])</f>
        <v>301.62</v>
      </c>
      <c r="BE13" s="14"/>
      <c r="BF13" s="13">
        <f>MIN(FullandFinal_Project[tot_violent_crime])</f>
        <v>464.41</v>
      </c>
      <c r="BG13" s="14"/>
      <c r="BH13" s="13">
        <f>MIN(FullandFinal_Project[burglary])</f>
        <v>128.87</v>
      </c>
      <c r="BI13" s="14"/>
      <c r="BJ13" s="13">
        <f>MIN(FullandFinal_Project[larceny])</f>
        <v>1253.1500000000001</v>
      </c>
      <c r="BK13" s="14"/>
      <c r="BL13" s="13">
        <f>MIN(FullandFinal_Project[vehicle_theft])</f>
        <v>66.56</v>
      </c>
      <c r="BM13" s="14"/>
      <c r="BN13" s="13">
        <f>MIN(FullandFinal_Project[total_property_crim])</f>
        <v>1448.59</v>
      </c>
      <c r="BO13" s="14"/>
      <c r="BP13" s="18">
        <f>MIN(FullandFinal_Project[Median Household Income])</f>
        <v>63893</v>
      </c>
      <c r="BQ13" s="14"/>
      <c r="BR13" s="19">
        <f>MIN(FullandFinal_Project[AQI])</f>
        <v>44.582417582417584</v>
      </c>
      <c r="BS13" s="14"/>
      <c r="BT13" s="20">
        <f>MIN(FullandFinal_Project[State Tax Rate])</f>
        <v>0.04</v>
      </c>
      <c r="BU13" s="14"/>
      <c r="BV13" s="20">
        <f>MIN(FullandFinal_Project[Avg local total rate])</f>
        <v>0</v>
      </c>
      <c r="BW13" s="14"/>
      <c r="BX13" s="21">
        <f>MIN(FullandFinal_Project[Combined Rate])</f>
        <v>6.25E-2</v>
      </c>
    </row>
    <row r="14" spans="1:77" x14ac:dyDescent="0.25">
      <c r="C14" s="22" t="s">
        <v>108</v>
      </c>
      <c r="D14" s="23">
        <f>MAX(FullandFinal_Project[Quality of Life Index])</f>
        <v>169.5</v>
      </c>
      <c r="E14" s="24"/>
      <c r="F14" s="23">
        <f>MAX(FullandFinal_Project[Purchasing Power Index])</f>
        <v>112.4</v>
      </c>
      <c r="G14" s="24"/>
      <c r="H14" s="23">
        <f>MAX(FullandFinal_Project[Safety Index])</f>
        <v>59.2</v>
      </c>
      <c r="I14" s="24"/>
      <c r="J14" s="25">
        <f>MAX(FullandFinal_Project[Health Care Index])</f>
        <v>73</v>
      </c>
      <c r="K14" s="24"/>
      <c r="L14" s="23">
        <f>MAX(FullandFinal_Project[Cost of Living Index])</f>
        <v>106.8</v>
      </c>
      <c r="M14" s="24"/>
      <c r="N14" s="24">
        <f>MAX(FullandFinal_Project[Property Price to Income Ratio])</f>
        <v>10.3</v>
      </c>
      <c r="O14" s="24"/>
      <c r="P14" s="23">
        <f>MAX(FullandFinal_Project[Traffic Commute Time Index])</f>
        <v>52.1</v>
      </c>
      <c r="Q14" s="24"/>
      <c r="R14" s="23">
        <f>MAX(FullandFinal_Project[Pollution Index])</f>
        <v>57.9</v>
      </c>
      <c r="S14" s="24"/>
      <c r="T14" s="23">
        <f>MAX(FullandFinal_Project[Climate Index])</f>
        <v>97.3</v>
      </c>
      <c r="U14" s="24"/>
      <c r="V14" s="23">
        <f>MAX(FullandFinal_Project[Rent Index])</f>
        <v>100</v>
      </c>
      <c r="W14" s="24"/>
      <c r="X14" s="26">
        <f>MAX(FullandFinal_Project[Restaurant Price Index])</f>
        <v>101.1</v>
      </c>
      <c r="Y14" s="24"/>
      <c r="Z14" s="23">
        <f>MAX(FullandFinal_Project[Local Purchasing Power Index])</f>
        <v>113.5</v>
      </c>
      <c r="AA14" s="24"/>
      <c r="AB14" s="23">
        <f>MAX(FullandFinal_Project[Health Care Index.1])</f>
        <v>73</v>
      </c>
      <c r="AC14" s="24"/>
      <c r="AD14" s="23">
        <f>MAX(FullandFinal_Project[Health Care Exp. Index])</f>
        <v>135</v>
      </c>
      <c r="AE14" s="24"/>
      <c r="AF14" s="23">
        <f>MAX(FullandFinal_Project[Traffic Index])</f>
        <v>262.8</v>
      </c>
      <c r="AG14" s="24"/>
      <c r="AH14" s="23">
        <f>MAX(FullandFinal_Project[Time Index (in minutes)])</f>
        <v>52.1</v>
      </c>
      <c r="AI14" s="24"/>
      <c r="AJ14" s="23">
        <f>MAX(FullandFinal_Project[Time Exp. Index])</f>
        <v>7872.6</v>
      </c>
      <c r="AK14" s="24"/>
      <c r="AL14" s="23">
        <f>MAX(FullandFinal_Project[Insufficiency Index])</f>
        <v>583.1</v>
      </c>
      <c r="AM14" s="24"/>
      <c r="AN14" s="23">
        <f>MAX(FullandFinal_Project[CO2 Emission Index])</f>
        <v>9580.4</v>
      </c>
      <c r="AO14" s="24"/>
      <c r="AP14" s="24">
        <f>MAX(FullandFinal_Project[Temperature-High (°F)])</f>
        <v>83</v>
      </c>
      <c r="AQ14" s="24"/>
      <c r="AR14" s="24">
        <f>MAX(FullandFinal_Project[Temperature-Low (°F)])</f>
        <v>66</v>
      </c>
      <c r="AS14" s="24"/>
      <c r="AT14" s="27">
        <f>MAX(FullandFinal_Project[population])</f>
        <v>8804190</v>
      </c>
      <c r="AU14" s="24"/>
      <c r="AV14" s="23">
        <f>MAX(FullandFinal_Project[total_crime])</f>
        <v>6917.4</v>
      </c>
      <c r="AW14" s="24"/>
      <c r="AX14" s="23">
        <f>MAX(FullandFinal_Project[murder])</f>
        <v>18.260000000000002</v>
      </c>
      <c r="AY14" s="24"/>
      <c r="AZ14" s="23">
        <f>MAX(FullandFinal_Project[rape])</f>
        <v>98.92</v>
      </c>
      <c r="BA14" s="24"/>
      <c r="BB14" s="23">
        <f>MAX(FullandFinal_Project[robbery])</f>
        <v>439.26</v>
      </c>
      <c r="BC14" s="24"/>
      <c r="BD14" s="23">
        <f>MAX(FullandFinal_Project[aggravated_assault])</f>
        <v>570.36</v>
      </c>
      <c r="BE14" s="24"/>
      <c r="BF14" s="23">
        <f>MAX(FullandFinal_Project[tot_violent_crime])</f>
        <v>1098.8599999999999</v>
      </c>
      <c r="BG14" s="24"/>
      <c r="BH14" s="23">
        <f>MAX(FullandFinal_Project[burglary])</f>
        <v>1081.98</v>
      </c>
      <c r="BI14" s="24"/>
      <c r="BJ14" s="23">
        <f>MAX(FullandFinal_Project[larceny])</f>
        <v>5059.49</v>
      </c>
      <c r="BK14" s="24"/>
      <c r="BL14" s="23">
        <f>MAX(FullandFinal_Project[vehicle_theft])</f>
        <v>786.85</v>
      </c>
      <c r="BM14" s="24"/>
      <c r="BN14" s="23">
        <f>MAX(FullandFinal_Project[total_property_crim])</f>
        <v>6168.02</v>
      </c>
      <c r="BO14" s="24"/>
      <c r="BP14" s="28">
        <f>MAX(FullandFinal_Project[Median Household Income])</f>
        <v>136692</v>
      </c>
      <c r="BQ14" s="24"/>
      <c r="BR14" s="29">
        <f>MAX(FullandFinal_Project[AQI])</f>
        <v>68.205673758865245</v>
      </c>
      <c r="BS14" s="24"/>
      <c r="BT14" s="30">
        <f>MAX(FullandFinal_Project[State Tax Rate])</f>
        <v>7.2499999999999995E-2</v>
      </c>
      <c r="BU14" s="24"/>
      <c r="BV14" s="30">
        <f>MAX(FullandFinal_Project[Avg local total rate])</f>
        <v>4.5319999999999999E-2</v>
      </c>
      <c r="BW14" s="24"/>
      <c r="BX14" s="31">
        <f>MAX(FullandFinal_Project[Combined Rate])</f>
        <v>9.3969999999999998E-2</v>
      </c>
    </row>
  </sheetData>
  <sheetProtection sheet="1" objects="1" scenarios="1"/>
  <phoneticPr fontId="1" type="noConversion"/>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CAB51-7E89-449D-BCF0-991D39870D76}">
  <sheetPr codeName="Sheet5">
    <tabColor theme="5"/>
  </sheetPr>
  <dimension ref="A6:D40"/>
  <sheetViews>
    <sheetView showGridLines="0" workbookViewId="0">
      <selection activeCell="J24" sqref="J24"/>
    </sheetView>
  </sheetViews>
  <sheetFormatPr defaultRowHeight="15" x14ac:dyDescent="0.25"/>
  <cols>
    <col min="2" max="2" width="25.140625" customWidth="1"/>
  </cols>
  <sheetData>
    <row r="6" spans="1:4" ht="15.75" x14ac:dyDescent="0.25">
      <c r="A6" s="66">
        <v>1</v>
      </c>
      <c r="B6" s="66" t="s">
        <v>217</v>
      </c>
      <c r="C6" s="66" t="s">
        <v>206</v>
      </c>
      <c r="D6" s="66"/>
    </row>
    <row r="7" spans="1:4" ht="15.75" x14ac:dyDescent="0.25">
      <c r="A7" s="66">
        <v>2</v>
      </c>
      <c r="B7" s="66" t="s">
        <v>216</v>
      </c>
      <c r="C7" s="66" t="s">
        <v>229</v>
      </c>
      <c r="D7" s="66"/>
    </row>
    <row r="8" spans="1:4" ht="15.75" x14ac:dyDescent="0.25">
      <c r="A8" s="66">
        <v>3</v>
      </c>
      <c r="B8" s="66" t="s">
        <v>215</v>
      </c>
      <c r="C8" s="67" t="s">
        <v>228</v>
      </c>
      <c r="D8" s="66"/>
    </row>
    <row r="10" spans="1:4" ht="15.75" x14ac:dyDescent="0.25">
      <c r="A10" s="66">
        <v>1</v>
      </c>
      <c r="B10" s="66" t="s">
        <v>217</v>
      </c>
      <c r="C10" t="s">
        <v>207</v>
      </c>
    </row>
    <row r="11" spans="1:4" ht="15.75" x14ac:dyDescent="0.25">
      <c r="A11" s="66">
        <v>2</v>
      </c>
      <c r="B11" s="66" t="s">
        <v>216</v>
      </c>
      <c r="C11" t="s">
        <v>208</v>
      </c>
    </row>
    <row r="12" spans="1:4" ht="15.75" x14ac:dyDescent="0.25">
      <c r="A12" s="66">
        <v>3</v>
      </c>
      <c r="B12" s="66" t="s">
        <v>215</v>
      </c>
      <c r="C12" s="67" t="s">
        <v>227</v>
      </c>
    </row>
    <row r="14" spans="1:4" ht="15.75" x14ac:dyDescent="0.25">
      <c r="A14" s="66">
        <v>1</v>
      </c>
      <c r="B14" s="66" t="s">
        <v>217</v>
      </c>
      <c r="C14" t="s">
        <v>226</v>
      </c>
    </row>
    <row r="15" spans="1:4" ht="15.75" x14ac:dyDescent="0.25">
      <c r="A15" s="66">
        <v>2</v>
      </c>
      <c r="B15" s="66" t="s">
        <v>216</v>
      </c>
      <c r="C15" t="s">
        <v>225</v>
      </c>
    </row>
    <row r="16" spans="1:4" ht="15.75" x14ac:dyDescent="0.25">
      <c r="A16" s="66">
        <v>3</v>
      </c>
      <c r="B16" s="66" t="s">
        <v>215</v>
      </c>
      <c r="C16" s="67" t="s">
        <v>224</v>
      </c>
    </row>
    <row r="18" spans="1:3" ht="15.75" x14ac:dyDescent="0.25">
      <c r="A18" s="66">
        <v>1</v>
      </c>
      <c r="B18" s="66" t="s">
        <v>217</v>
      </c>
      <c r="C18" t="s">
        <v>206</v>
      </c>
    </row>
    <row r="19" spans="1:3" ht="15.75" x14ac:dyDescent="0.25">
      <c r="A19" s="66">
        <v>2</v>
      </c>
      <c r="B19" s="66" t="s">
        <v>216</v>
      </c>
      <c r="C19" t="s">
        <v>210</v>
      </c>
    </row>
    <row r="20" spans="1:3" ht="15.75" x14ac:dyDescent="0.25">
      <c r="A20" s="66">
        <v>3</v>
      </c>
      <c r="B20" s="66" t="s">
        <v>215</v>
      </c>
      <c r="C20" s="67" t="s">
        <v>223</v>
      </c>
    </row>
    <row r="22" spans="1:3" ht="15.75" x14ac:dyDescent="0.25">
      <c r="A22" s="66">
        <v>1</v>
      </c>
      <c r="B22" s="66" t="s">
        <v>217</v>
      </c>
      <c r="C22" t="s">
        <v>206</v>
      </c>
    </row>
    <row r="23" spans="1:3" ht="15.75" x14ac:dyDescent="0.25">
      <c r="A23" s="66">
        <v>2</v>
      </c>
      <c r="B23" s="66" t="s">
        <v>216</v>
      </c>
      <c r="C23" t="s">
        <v>211</v>
      </c>
    </row>
    <row r="24" spans="1:3" ht="15.75" x14ac:dyDescent="0.25">
      <c r="A24" s="66">
        <v>3</v>
      </c>
      <c r="B24" s="66" t="s">
        <v>215</v>
      </c>
      <c r="C24" s="67" t="s">
        <v>222</v>
      </c>
    </row>
    <row r="26" spans="1:3" ht="15.75" x14ac:dyDescent="0.25">
      <c r="A26" s="66">
        <v>1</v>
      </c>
      <c r="B26" s="66" t="s">
        <v>217</v>
      </c>
      <c r="C26" t="s">
        <v>221</v>
      </c>
    </row>
    <row r="27" spans="1:3" ht="15.75" x14ac:dyDescent="0.25">
      <c r="A27" s="66">
        <v>2</v>
      </c>
      <c r="B27" s="66" t="s">
        <v>216</v>
      </c>
      <c r="C27" t="s">
        <v>213</v>
      </c>
    </row>
    <row r="28" spans="1:3" ht="15.75" x14ac:dyDescent="0.25">
      <c r="A28" s="66">
        <v>3</v>
      </c>
      <c r="B28" s="66" t="s">
        <v>215</v>
      </c>
      <c r="C28" s="67" t="s">
        <v>220</v>
      </c>
    </row>
    <row r="30" spans="1:3" ht="15.75" x14ac:dyDescent="0.25">
      <c r="A30" s="66">
        <v>1</v>
      </c>
      <c r="B30" s="66" t="s">
        <v>217</v>
      </c>
      <c r="C30" t="s">
        <v>219</v>
      </c>
    </row>
    <row r="31" spans="1:3" ht="15.75" x14ac:dyDescent="0.25">
      <c r="A31" s="66">
        <v>2</v>
      </c>
      <c r="B31" s="66" t="s">
        <v>216</v>
      </c>
      <c r="C31" t="s">
        <v>209</v>
      </c>
    </row>
    <row r="32" spans="1:3" ht="15.75" x14ac:dyDescent="0.25">
      <c r="A32" s="66">
        <v>3</v>
      </c>
      <c r="B32" s="66" t="s">
        <v>215</v>
      </c>
      <c r="C32" s="67" t="s">
        <v>218</v>
      </c>
    </row>
    <row r="34" spans="1:3" ht="15.75" x14ac:dyDescent="0.25">
      <c r="A34" s="66">
        <v>1</v>
      </c>
      <c r="B34" s="66" t="s">
        <v>217</v>
      </c>
      <c r="C34" t="s">
        <v>206</v>
      </c>
    </row>
    <row r="35" spans="1:3" ht="15.75" x14ac:dyDescent="0.25">
      <c r="A35" s="66">
        <v>2</v>
      </c>
      <c r="B35" s="66" t="s">
        <v>216</v>
      </c>
      <c r="C35" t="s">
        <v>212</v>
      </c>
    </row>
    <row r="36" spans="1:3" ht="15.75" x14ac:dyDescent="0.25">
      <c r="A36" s="66">
        <v>3</v>
      </c>
      <c r="B36" s="66" t="s">
        <v>215</v>
      </c>
      <c r="C36" s="67" t="s">
        <v>214</v>
      </c>
    </row>
    <row r="38" spans="1:3" ht="15.75" x14ac:dyDescent="0.25">
      <c r="A38" s="66"/>
      <c r="B38" s="66"/>
    </row>
    <row r="39" spans="1:3" ht="15.75" x14ac:dyDescent="0.25">
      <c r="A39" s="66"/>
      <c r="B39" s="66"/>
    </row>
    <row r="40" spans="1:3" ht="15.75" x14ac:dyDescent="0.25">
      <c r="A40" s="66"/>
      <c r="B40" s="66"/>
    </row>
  </sheetData>
  <sheetProtection sheet="1" objects="1" scenarios="1"/>
  <hyperlinks>
    <hyperlink ref="C8" r:id="rId1" xr:uid="{CFCC3A3F-7795-4EFD-89DE-77A6F0261D2E}"/>
    <hyperlink ref="C12" r:id="rId2" xr:uid="{C194F878-EB2B-4837-B584-EDDEDF7E8E68}"/>
    <hyperlink ref="C16" r:id="rId3" xr:uid="{87B40D2C-5BD2-4BA9-B116-A75782DB157C}"/>
    <hyperlink ref="C20" r:id="rId4" xr:uid="{D003651A-614C-41AD-B6AC-248C657ED848}"/>
    <hyperlink ref="C24" r:id="rId5" xr:uid="{2BAC2EE8-DE15-4B14-A0E0-917A5D1A933A}"/>
    <hyperlink ref="C28" r:id="rId6" location="Daily" xr:uid="{FDAC5E8C-7761-46DD-BDF1-F02B97EF9DD3}"/>
    <hyperlink ref="C32" r:id="rId7" xr:uid="{D0110B01-0A62-4594-91DA-79F2D4B1BEE2}"/>
    <hyperlink ref="C36" r:id="rId8" xr:uid="{938A14B3-7195-4859-AB36-63BEED8B50D4}"/>
  </hyperlinks>
  <pageMargins left="0.7" right="0.7" top="0.75" bottom="0.75" header="0.3" footer="0.3"/>
  <pageSetup orientation="portrait" r:id="rId9"/>
  <drawing r:id="rId10"/>
  <picture r:id="rId1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4359A-051F-4B35-9C0F-78B96FD77EEB}">
  <dimension ref="A1:A5"/>
  <sheetViews>
    <sheetView showGridLines="0" workbookViewId="0">
      <selection activeCell="E17" sqref="E17"/>
    </sheetView>
  </sheetViews>
  <sheetFormatPr defaultRowHeight="15" x14ac:dyDescent="0.25"/>
  <cols>
    <col min="1" max="1" width="18.5703125" customWidth="1"/>
  </cols>
  <sheetData>
    <row r="1" spans="1:1" ht="15.75" thickBot="1" x14ac:dyDescent="0.3">
      <c r="A1" s="73" t="s">
        <v>232</v>
      </c>
    </row>
    <row r="2" spans="1:1" x14ac:dyDescent="0.25">
      <c r="A2" s="71" t="s">
        <v>233</v>
      </c>
    </row>
    <row r="3" spans="1:1" x14ac:dyDescent="0.25">
      <c r="A3" s="71" t="s">
        <v>234</v>
      </c>
    </row>
    <row r="4" spans="1:1" x14ac:dyDescent="0.25">
      <c r="A4" s="71" t="s">
        <v>235</v>
      </c>
    </row>
    <row r="5" spans="1:1" ht="15.75" thickBot="1" x14ac:dyDescent="0.3">
      <c r="A5" s="72" t="s">
        <v>236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55A8C-0E2A-4AF1-B312-F39930B216EC}">
  <sheetPr codeName="Sheet6"/>
  <dimension ref="A1:L44"/>
  <sheetViews>
    <sheetView zoomScale="136" workbookViewId="0">
      <selection activeCell="I12" sqref="I12"/>
    </sheetView>
  </sheetViews>
  <sheetFormatPr defaultRowHeight="15" x14ac:dyDescent="0.25"/>
  <cols>
    <col min="1" max="1" width="12.7109375" bestFit="1" customWidth="1"/>
    <col min="2" max="2" width="8" bestFit="1" customWidth="1"/>
    <col min="3" max="3" width="6.28515625" bestFit="1" customWidth="1"/>
    <col min="4" max="4" width="8.42578125" bestFit="1" customWidth="1"/>
    <col min="5" max="6" width="12.42578125" bestFit="1" customWidth="1"/>
    <col min="7" max="12" width="20.5703125" bestFit="1" customWidth="1"/>
    <col min="13" max="17" width="9.140625" bestFit="1" customWidth="1"/>
    <col min="18" max="19" width="10.85546875" bestFit="1" customWidth="1"/>
    <col min="20" max="20" width="12.5703125" bestFit="1" customWidth="1"/>
    <col min="21" max="21" width="4.42578125" bestFit="1" customWidth="1"/>
    <col min="22" max="22" width="6.140625" bestFit="1" customWidth="1"/>
    <col min="23" max="23" width="7.140625" bestFit="1" customWidth="1"/>
    <col min="24" max="24" width="8.28515625" bestFit="1" customWidth="1"/>
    <col min="25" max="25" width="6.140625" bestFit="1" customWidth="1"/>
    <col min="26" max="26" width="7.140625" bestFit="1" customWidth="1"/>
    <col min="27" max="27" width="23.5703125" bestFit="1" customWidth="1"/>
    <col min="28" max="28" width="29.42578125" bestFit="1" customWidth="1"/>
  </cols>
  <sheetData>
    <row r="1" spans="1:12" x14ac:dyDescent="0.25">
      <c r="A1" s="38" t="s">
        <v>9</v>
      </c>
      <c r="B1" s="38" t="s">
        <v>50</v>
      </c>
      <c r="C1" s="38" t="s">
        <v>52</v>
      </c>
      <c r="D1" s="38" t="s">
        <v>54</v>
      </c>
      <c r="E1" s="38" t="s">
        <v>56</v>
      </c>
      <c r="F1" s="38" t="s">
        <v>58</v>
      </c>
      <c r="G1" s="38" t="s">
        <v>109</v>
      </c>
      <c r="H1" s="38" t="s">
        <v>62</v>
      </c>
      <c r="I1" s="38" t="s">
        <v>64</v>
      </c>
      <c r="J1" s="38" t="s">
        <v>66</v>
      </c>
      <c r="K1" s="38" t="s">
        <v>68</v>
      </c>
      <c r="L1" s="38" t="s">
        <v>110</v>
      </c>
    </row>
    <row r="2" spans="1:12" x14ac:dyDescent="0.25">
      <c r="A2" s="36" t="s">
        <v>1</v>
      </c>
      <c r="B2" s="32">
        <v>481343</v>
      </c>
      <c r="C2" s="34">
        <v>5727.52</v>
      </c>
      <c r="D2" s="34">
        <v>16.41</v>
      </c>
      <c r="E2" s="34">
        <v>58.59</v>
      </c>
      <c r="F2" s="34">
        <v>293.55</v>
      </c>
      <c r="G2" s="34">
        <v>567.16</v>
      </c>
      <c r="H2" s="34">
        <v>935.72</v>
      </c>
      <c r="I2" s="34">
        <v>704.28</v>
      </c>
      <c r="J2" s="34">
        <v>3387.19</v>
      </c>
      <c r="K2" s="34">
        <v>684.96</v>
      </c>
      <c r="L2" s="34">
        <v>4776.43</v>
      </c>
    </row>
    <row r="3" spans="1:12" x14ac:dyDescent="0.25">
      <c r="A3" s="37" t="s">
        <v>83</v>
      </c>
      <c r="B3" s="33">
        <v>682903</v>
      </c>
      <c r="C3" s="35">
        <v>2758.22</v>
      </c>
      <c r="D3" s="35">
        <v>8.35</v>
      </c>
      <c r="E3" s="35">
        <v>42.47</v>
      </c>
      <c r="F3" s="35">
        <v>205.59</v>
      </c>
      <c r="G3" s="35">
        <v>412.8</v>
      </c>
      <c r="H3" s="35">
        <v>669.2</v>
      </c>
      <c r="I3" s="35">
        <v>308.83</v>
      </c>
      <c r="J3" s="35">
        <v>1603.74</v>
      </c>
      <c r="K3" s="35">
        <v>176.45</v>
      </c>
      <c r="L3" s="35">
        <v>2089.02</v>
      </c>
    </row>
    <row r="4" spans="1:12" x14ac:dyDescent="0.25">
      <c r="A4" s="36" t="s">
        <v>86</v>
      </c>
      <c r="B4" s="32">
        <v>2746388</v>
      </c>
      <c r="C4" s="34">
        <v>4381.6499999999996</v>
      </c>
      <c r="D4" s="34">
        <v>18.260000000000002</v>
      </c>
      <c r="E4" s="34">
        <v>65.11</v>
      </c>
      <c r="F4" s="34">
        <v>439.26</v>
      </c>
      <c r="G4" s="34">
        <v>570.36</v>
      </c>
      <c r="H4" s="34">
        <v>1098.8599999999999</v>
      </c>
      <c r="I4" s="34">
        <v>477.13</v>
      </c>
      <c r="J4" s="34">
        <v>2358.83</v>
      </c>
      <c r="K4" s="34">
        <v>427.84</v>
      </c>
      <c r="L4" s="34">
        <v>3263.8</v>
      </c>
    </row>
    <row r="5" spans="1:12" x14ac:dyDescent="0.25">
      <c r="A5" s="37" t="s">
        <v>89</v>
      </c>
      <c r="B5" s="33">
        <v>706616</v>
      </c>
      <c r="C5" s="35">
        <v>4360.93</v>
      </c>
      <c r="D5" s="35">
        <v>8.35</v>
      </c>
      <c r="E5" s="35">
        <v>98.92</v>
      </c>
      <c r="F5" s="35">
        <v>174.35</v>
      </c>
      <c r="G5" s="35">
        <v>393.99</v>
      </c>
      <c r="H5" s="35">
        <v>675.61</v>
      </c>
      <c r="I5" s="35">
        <v>612.91999999999996</v>
      </c>
      <c r="J5" s="35">
        <v>2267.29</v>
      </c>
      <c r="K5" s="35">
        <v>786.85</v>
      </c>
      <c r="L5" s="35">
        <v>3667.06</v>
      </c>
    </row>
    <row r="6" spans="1:12" x14ac:dyDescent="0.25">
      <c r="A6" s="36" t="s">
        <v>92</v>
      </c>
      <c r="B6" s="32">
        <v>627244</v>
      </c>
      <c r="C6" s="34">
        <v>3567.87</v>
      </c>
      <c r="D6" s="34">
        <v>12.6</v>
      </c>
      <c r="E6" s="34">
        <v>79.64</v>
      </c>
      <c r="F6" s="34">
        <v>211.15</v>
      </c>
      <c r="G6" s="34">
        <v>315.5</v>
      </c>
      <c r="H6" s="34">
        <v>618.9</v>
      </c>
      <c r="I6" s="34">
        <v>805.17</v>
      </c>
      <c r="J6" s="34">
        <v>1635.16</v>
      </c>
      <c r="K6" s="34">
        <v>503.06</v>
      </c>
      <c r="L6" s="34">
        <v>2943.38</v>
      </c>
    </row>
    <row r="7" spans="1:12" x14ac:dyDescent="0.25">
      <c r="A7" s="37" t="s">
        <v>95</v>
      </c>
      <c r="B7" s="33">
        <v>8804190</v>
      </c>
      <c r="C7" s="35">
        <v>1987.49</v>
      </c>
      <c r="D7" s="35">
        <v>3.39</v>
      </c>
      <c r="E7" s="35">
        <v>27.56</v>
      </c>
      <c r="F7" s="35">
        <v>162.41999999999999</v>
      </c>
      <c r="G7" s="35">
        <v>345.52</v>
      </c>
      <c r="H7" s="35">
        <v>538.9</v>
      </c>
      <c r="I7" s="35">
        <v>128.87</v>
      </c>
      <c r="J7" s="35">
        <v>1253.1500000000001</v>
      </c>
      <c r="K7" s="35">
        <v>66.56</v>
      </c>
      <c r="L7" s="35">
        <v>1448.59</v>
      </c>
    </row>
    <row r="8" spans="1:12" x14ac:dyDescent="0.25">
      <c r="A8" s="36" t="s">
        <v>98</v>
      </c>
      <c r="B8" s="32">
        <v>881255</v>
      </c>
      <c r="C8" s="34">
        <v>6917.4</v>
      </c>
      <c r="D8" s="34">
        <v>6.35</v>
      </c>
      <c r="E8" s="34">
        <v>41.65</v>
      </c>
      <c r="F8" s="34">
        <v>365.39</v>
      </c>
      <c r="G8" s="34">
        <v>301.62</v>
      </c>
      <c r="H8" s="34">
        <v>715</v>
      </c>
      <c r="I8" s="34">
        <v>560</v>
      </c>
      <c r="J8" s="34">
        <v>5059.49</v>
      </c>
      <c r="K8" s="34">
        <v>548.54</v>
      </c>
      <c r="L8" s="34">
        <v>6168.02</v>
      </c>
    </row>
    <row r="9" spans="1:12" x14ac:dyDescent="0.25">
      <c r="A9" s="37" t="s">
        <v>101</v>
      </c>
      <c r="B9" s="33">
        <v>721365</v>
      </c>
      <c r="C9" s="35">
        <v>5911.99</v>
      </c>
      <c r="D9" s="35">
        <v>3.74</v>
      </c>
      <c r="E9" s="35">
        <v>36.869999999999997</v>
      </c>
      <c r="F9" s="35">
        <v>210.02</v>
      </c>
      <c r="G9" s="35">
        <v>382.05</v>
      </c>
      <c r="H9" s="35">
        <v>632.69000000000005</v>
      </c>
      <c r="I9" s="35">
        <v>1081.98</v>
      </c>
      <c r="J9" s="35">
        <v>3673.45</v>
      </c>
      <c r="K9" s="35">
        <v>503.21</v>
      </c>
      <c r="L9" s="35">
        <v>5258.64</v>
      </c>
    </row>
    <row r="10" spans="1:12" x14ac:dyDescent="0.25">
      <c r="A10" s="39" t="s">
        <v>104</v>
      </c>
      <c r="B10" s="40">
        <v>384360</v>
      </c>
      <c r="C10" s="41">
        <v>2218.2399999999998</v>
      </c>
      <c r="D10" s="41">
        <v>10.15</v>
      </c>
      <c r="E10" s="41">
        <v>31.48</v>
      </c>
      <c r="F10" s="41">
        <v>105.63</v>
      </c>
      <c r="G10" s="41">
        <v>317.14999999999998</v>
      </c>
      <c r="H10" s="41">
        <v>464.41</v>
      </c>
      <c r="I10" s="41">
        <v>321.31</v>
      </c>
      <c r="J10" s="41">
        <v>1274.8499999999999</v>
      </c>
      <c r="K10" s="41">
        <v>147.52000000000001</v>
      </c>
      <c r="L10" s="41">
        <v>1743.68</v>
      </c>
    </row>
    <row r="16" spans="1:12" x14ac:dyDescent="0.25">
      <c r="A16" s="2" t="s">
        <v>9</v>
      </c>
      <c r="B16" s="2" t="s">
        <v>64</v>
      </c>
      <c r="C16" s="2" t="s">
        <v>58</v>
      </c>
      <c r="D16" s="2" t="s">
        <v>56</v>
      </c>
      <c r="E16" s="2" t="s">
        <v>66</v>
      </c>
      <c r="F16" s="2" t="s">
        <v>68</v>
      </c>
      <c r="G16" s="2" t="s">
        <v>54</v>
      </c>
      <c r="H16" t="s">
        <v>111</v>
      </c>
    </row>
    <row r="17" spans="1:8" x14ac:dyDescent="0.25">
      <c r="A17" t="s">
        <v>1</v>
      </c>
      <c r="B17" s="8">
        <v>704.28</v>
      </c>
      <c r="C17" s="8">
        <v>293.55</v>
      </c>
      <c r="D17" s="8">
        <v>58.59</v>
      </c>
      <c r="E17" s="8">
        <v>3387.19</v>
      </c>
      <c r="F17" s="8">
        <v>684.96</v>
      </c>
      <c r="G17" s="8">
        <v>16.41</v>
      </c>
      <c r="H17">
        <v>481343</v>
      </c>
    </row>
    <row r="18" spans="1:8" x14ac:dyDescent="0.25">
      <c r="A18" t="s">
        <v>1</v>
      </c>
      <c r="F18" s="8" t="s">
        <v>112</v>
      </c>
      <c r="H18">
        <v>481343</v>
      </c>
    </row>
    <row r="19" spans="1:8" x14ac:dyDescent="0.25">
      <c r="A19" t="s">
        <v>1</v>
      </c>
      <c r="E19" s="8" t="s">
        <v>113</v>
      </c>
      <c r="H19">
        <v>481343</v>
      </c>
    </row>
    <row r="20" spans="1:8" x14ac:dyDescent="0.25">
      <c r="A20" t="s">
        <v>1</v>
      </c>
      <c r="D20" s="8" t="s">
        <v>114</v>
      </c>
      <c r="H20">
        <v>481343</v>
      </c>
    </row>
    <row r="21" spans="1:8" x14ac:dyDescent="0.25">
      <c r="A21" t="s">
        <v>1</v>
      </c>
      <c r="C21" s="8" t="s">
        <v>115</v>
      </c>
      <c r="H21">
        <v>481343</v>
      </c>
    </row>
    <row r="22" spans="1:8" x14ac:dyDescent="0.25">
      <c r="A22" t="s">
        <v>1</v>
      </c>
      <c r="B22" s="8" t="s">
        <v>116</v>
      </c>
      <c r="H22">
        <v>481343</v>
      </c>
    </row>
    <row r="23" spans="1:8" x14ac:dyDescent="0.25">
      <c r="A23" t="s">
        <v>117</v>
      </c>
      <c r="H23">
        <v>481343</v>
      </c>
    </row>
    <row r="24" spans="1:8" x14ac:dyDescent="0.25">
      <c r="A24" t="s">
        <v>83</v>
      </c>
      <c r="H24">
        <v>682903</v>
      </c>
    </row>
    <row r="25" spans="1:8" x14ac:dyDescent="0.25">
      <c r="A25" t="s">
        <v>86</v>
      </c>
      <c r="H25">
        <v>2746388</v>
      </c>
    </row>
    <row r="26" spans="1:8" x14ac:dyDescent="0.25">
      <c r="A26" t="s">
        <v>89</v>
      </c>
      <c r="H26">
        <v>706616</v>
      </c>
    </row>
    <row r="27" spans="1:8" x14ac:dyDescent="0.25">
      <c r="A27" t="s">
        <v>92</v>
      </c>
      <c r="H27">
        <v>627244</v>
      </c>
    </row>
    <row r="28" spans="1:8" x14ac:dyDescent="0.25">
      <c r="A28" t="s">
        <v>95</v>
      </c>
      <c r="H28">
        <v>8804190</v>
      </c>
    </row>
    <row r="29" spans="1:8" x14ac:dyDescent="0.25">
      <c r="A29" t="s">
        <v>98</v>
      </c>
      <c r="H29">
        <v>881255</v>
      </c>
    </row>
    <row r="30" spans="1:8" x14ac:dyDescent="0.25">
      <c r="A30" t="s">
        <v>101</v>
      </c>
      <c r="H30">
        <v>721365</v>
      </c>
    </row>
    <row r="31" spans="1:8" x14ac:dyDescent="0.25">
      <c r="A31" t="s">
        <v>104</v>
      </c>
      <c r="H31">
        <v>384360</v>
      </c>
    </row>
    <row r="32" spans="1:8" x14ac:dyDescent="0.25">
      <c r="A32" t="s">
        <v>118</v>
      </c>
      <c r="H32">
        <v>16035664</v>
      </c>
    </row>
    <row r="35" spans="1:11" x14ac:dyDescent="0.25">
      <c r="B35" t="s">
        <v>148</v>
      </c>
      <c r="C35" t="s">
        <v>149</v>
      </c>
      <c r="D35" t="s">
        <v>150</v>
      </c>
      <c r="E35" t="s">
        <v>151</v>
      </c>
      <c r="H35" t="str">
        <f t="shared" ref="H35:H44" si="0">B35</f>
        <v xml:space="preserve">murder </v>
      </c>
      <c r="I35" t="str">
        <f t="shared" ref="I35:I44" si="1">C35</f>
        <v xml:space="preserve">rape </v>
      </c>
      <c r="J35" t="str">
        <f t="shared" ref="J35:J44" si="2">D35</f>
        <v xml:space="preserve">robbery </v>
      </c>
      <c r="K35" t="str">
        <f t="shared" ref="K35:K44" si="3">E35</f>
        <v xml:space="preserve">agrv_assault </v>
      </c>
    </row>
    <row r="36" spans="1:11" x14ac:dyDescent="0.25">
      <c r="A36" s="3" t="s">
        <v>1</v>
      </c>
      <c r="B36">
        <v>16.41</v>
      </c>
      <c r="C36">
        <v>58.59</v>
      </c>
      <c r="D36">
        <v>293.55</v>
      </c>
      <c r="E36">
        <v>567.16</v>
      </c>
      <c r="G36" t="str">
        <f t="shared" ref="G36:G44" si="4">A36</f>
        <v>Atlanta</v>
      </c>
      <c r="H36">
        <f t="shared" si="0"/>
        <v>16.41</v>
      </c>
      <c r="I36">
        <f t="shared" si="1"/>
        <v>58.59</v>
      </c>
      <c r="J36">
        <f t="shared" si="2"/>
        <v>293.55</v>
      </c>
      <c r="K36">
        <f t="shared" si="3"/>
        <v>567.16</v>
      </c>
    </row>
    <row r="37" spans="1:11" x14ac:dyDescent="0.25">
      <c r="A37" s="3" t="s">
        <v>83</v>
      </c>
      <c r="B37">
        <v>8.35</v>
      </c>
      <c r="C37">
        <v>42.47</v>
      </c>
      <c r="D37">
        <v>205.59</v>
      </c>
      <c r="E37">
        <v>412.8</v>
      </c>
      <c r="G37" t="str">
        <f t="shared" si="4"/>
        <v>Boston</v>
      </c>
      <c r="H37">
        <f t="shared" si="0"/>
        <v>8.35</v>
      </c>
      <c r="I37">
        <f t="shared" si="1"/>
        <v>42.47</v>
      </c>
      <c r="J37">
        <f t="shared" si="2"/>
        <v>205.59</v>
      </c>
      <c r="K37">
        <f t="shared" si="3"/>
        <v>412.8</v>
      </c>
    </row>
    <row r="38" spans="1:11" x14ac:dyDescent="0.25">
      <c r="A38" s="3" t="s">
        <v>86</v>
      </c>
      <c r="B38">
        <v>18.260000000000002</v>
      </c>
      <c r="C38">
        <v>65.11</v>
      </c>
      <c r="D38">
        <v>439.26</v>
      </c>
      <c r="E38">
        <v>570.36</v>
      </c>
      <c r="G38" t="str">
        <f t="shared" si="4"/>
        <v>Chicago</v>
      </c>
      <c r="H38">
        <f t="shared" si="0"/>
        <v>18.260000000000002</v>
      </c>
      <c r="I38">
        <f t="shared" si="1"/>
        <v>65.11</v>
      </c>
      <c r="J38">
        <f t="shared" si="2"/>
        <v>439.26</v>
      </c>
      <c r="K38">
        <f t="shared" si="3"/>
        <v>570.36</v>
      </c>
    </row>
    <row r="39" spans="1:11" x14ac:dyDescent="0.25">
      <c r="A39" s="3" t="s">
        <v>89</v>
      </c>
      <c r="B39">
        <v>8.35</v>
      </c>
      <c r="C39">
        <v>98.92</v>
      </c>
      <c r="D39">
        <v>174.35</v>
      </c>
      <c r="E39">
        <v>393.99</v>
      </c>
      <c r="G39" t="str">
        <f t="shared" si="4"/>
        <v>Denver</v>
      </c>
      <c r="H39">
        <f t="shared" si="0"/>
        <v>8.35</v>
      </c>
      <c r="I39">
        <f t="shared" si="1"/>
        <v>98.92</v>
      </c>
      <c r="J39">
        <f t="shared" si="2"/>
        <v>174.35</v>
      </c>
      <c r="K39">
        <f t="shared" si="3"/>
        <v>393.99</v>
      </c>
    </row>
    <row r="40" spans="1:11" x14ac:dyDescent="0.25">
      <c r="A40" s="3" t="s">
        <v>92</v>
      </c>
      <c r="B40">
        <v>12.6</v>
      </c>
      <c r="C40">
        <v>79.64</v>
      </c>
      <c r="D40">
        <v>211.15</v>
      </c>
      <c r="E40">
        <v>315.5</v>
      </c>
      <c r="G40" t="str">
        <f t="shared" si="4"/>
        <v>Las Vegas</v>
      </c>
      <c r="H40">
        <f t="shared" si="0"/>
        <v>12.6</v>
      </c>
      <c r="I40">
        <f t="shared" si="1"/>
        <v>79.64</v>
      </c>
      <c r="J40">
        <f t="shared" si="2"/>
        <v>211.15</v>
      </c>
      <c r="K40">
        <f t="shared" si="3"/>
        <v>315.5</v>
      </c>
    </row>
    <row r="41" spans="1:11" x14ac:dyDescent="0.25">
      <c r="A41" s="3" t="s">
        <v>95</v>
      </c>
      <c r="B41">
        <v>3.39</v>
      </c>
      <c r="C41">
        <v>27.56</v>
      </c>
      <c r="D41">
        <v>162.41999999999999</v>
      </c>
      <c r="E41">
        <v>345.52</v>
      </c>
      <c r="G41" t="str">
        <f t="shared" si="4"/>
        <v>New York</v>
      </c>
      <c r="H41">
        <f t="shared" si="0"/>
        <v>3.39</v>
      </c>
      <c r="I41">
        <f t="shared" si="1"/>
        <v>27.56</v>
      </c>
      <c r="J41">
        <f t="shared" si="2"/>
        <v>162.41999999999999</v>
      </c>
      <c r="K41">
        <f t="shared" si="3"/>
        <v>345.52</v>
      </c>
    </row>
    <row r="42" spans="1:11" x14ac:dyDescent="0.25">
      <c r="A42" s="3" t="s">
        <v>98</v>
      </c>
      <c r="B42">
        <v>6.35</v>
      </c>
      <c r="C42">
        <v>41.65</v>
      </c>
      <c r="D42">
        <v>365.39</v>
      </c>
      <c r="E42">
        <v>301.62</v>
      </c>
      <c r="G42" t="str">
        <f t="shared" si="4"/>
        <v>San Francisco</v>
      </c>
      <c r="H42">
        <f t="shared" si="0"/>
        <v>6.35</v>
      </c>
      <c r="I42">
        <f t="shared" si="1"/>
        <v>41.65</v>
      </c>
      <c r="J42">
        <f t="shared" si="2"/>
        <v>365.39</v>
      </c>
      <c r="K42">
        <f t="shared" si="3"/>
        <v>301.62</v>
      </c>
    </row>
    <row r="43" spans="1:11" x14ac:dyDescent="0.25">
      <c r="A43" s="3" t="s">
        <v>101</v>
      </c>
      <c r="B43">
        <v>3.74</v>
      </c>
      <c r="C43">
        <v>36.869999999999997</v>
      </c>
      <c r="D43">
        <v>210.02</v>
      </c>
      <c r="E43">
        <v>382.05</v>
      </c>
      <c r="G43" t="str">
        <f t="shared" si="4"/>
        <v>Seattle</v>
      </c>
      <c r="H43">
        <f t="shared" si="0"/>
        <v>3.74</v>
      </c>
      <c r="I43">
        <f t="shared" si="1"/>
        <v>36.869999999999997</v>
      </c>
      <c r="J43">
        <f t="shared" si="2"/>
        <v>210.02</v>
      </c>
      <c r="K43">
        <f t="shared" si="3"/>
        <v>382.05</v>
      </c>
    </row>
    <row r="44" spans="1:11" x14ac:dyDescent="0.25">
      <c r="A44" s="3" t="s">
        <v>104</v>
      </c>
      <c r="B44">
        <v>10.15</v>
      </c>
      <c r="C44">
        <v>31.48</v>
      </c>
      <c r="D44">
        <v>105.63</v>
      </c>
      <c r="E44">
        <v>317.14999999999998</v>
      </c>
      <c r="G44" t="str">
        <f t="shared" si="4"/>
        <v>Tampa</v>
      </c>
      <c r="H44">
        <f t="shared" si="0"/>
        <v>10.15</v>
      </c>
      <c r="I44">
        <f t="shared" si="1"/>
        <v>31.48</v>
      </c>
      <c r="J44">
        <f t="shared" si="2"/>
        <v>105.63</v>
      </c>
      <c r="K44">
        <f t="shared" si="3"/>
        <v>317.14999999999998</v>
      </c>
    </row>
  </sheetData>
  <pageMargins left="0.7" right="0.7" top="0.75" bottom="0.75" header="0.3" footer="0.3"/>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831A2-44C1-4E29-BFED-DDD50DC12CF6}">
  <sheetPr codeName="Sheet7"/>
  <dimension ref="A1:E18"/>
  <sheetViews>
    <sheetView workbookViewId="0">
      <selection activeCell="I12" sqref="I12"/>
    </sheetView>
  </sheetViews>
  <sheetFormatPr defaultRowHeight="15" x14ac:dyDescent="0.25"/>
  <cols>
    <col min="1" max="1" width="12.7109375" bestFit="1" customWidth="1"/>
    <col min="2" max="2" width="11.42578125" bestFit="1" customWidth="1"/>
    <col min="3" max="3" width="16.5703125" bestFit="1" customWidth="1"/>
    <col min="4" max="4" width="19.140625" bestFit="1" customWidth="1"/>
    <col min="5" max="5" width="23.42578125" bestFit="1" customWidth="1"/>
  </cols>
  <sheetData>
    <row r="1" spans="1:5" x14ac:dyDescent="0.25">
      <c r="A1" t="s">
        <v>9</v>
      </c>
      <c r="B1" t="s">
        <v>10</v>
      </c>
      <c r="C1" t="s">
        <v>130</v>
      </c>
      <c r="D1" t="s">
        <v>16</v>
      </c>
      <c r="E1" t="s">
        <v>34</v>
      </c>
    </row>
    <row r="2" spans="1:5" x14ac:dyDescent="0.25">
      <c r="A2" t="s">
        <v>83</v>
      </c>
      <c r="B2" t="s">
        <v>84</v>
      </c>
      <c r="C2" t="s">
        <v>85</v>
      </c>
      <c r="D2">
        <v>73</v>
      </c>
      <c r="E2">
        <v>135</v>
      </c>
    </row>
    <row r="3" spans="1:5" x14ac:dyDescent="0.25">
      <c r="A3" t="s">
        <v>89</v>
      </c>
      <c r="B3" t="s">
        <v>90</v>
      </c>
      <c r="C3" t="s">
        <v>91</v>
      </c>
      <c r="D3">
        <v>68.8</v>
      </c>
      <c r="E3">
        <v>128.80000000000001</v>
      </c>
    </row>
    <row r="4" spans="1:5" x14ac:dyDescent="0.25">
      <c r="A4" t="s">
        <v>119</v>
      </c>
      <c r="B4" t="s">
        <v>120</v>
      </c>
      <c r="C4" t="s">
        <v>121</v>
      </c>
      <c r="D4">
        <v>68.8</v>
      </c>
      <c r="E4">
        <v>127.2</v>
      </c>
    </row>
    <row r="5" spans="1:5" x14ac:dyDescent="0.25">
      <c r="A5" t="s">
        <v>122</v>
      </c>
      <c r="B5" t="s">
        <v>99</v>
      </c>
      <c r="C5" t="s">
        <v>100</v>
      </c>
      <c r="D5">
        <v>68.5</v>
      </c>
      <c r="E5">
        <v>124.4</v>
      </c>
    </row>
    <row r="6" spans="1:5" x14ac:dyDescent="0.25">
      <c r="A6" t="s">
        <v>1</v>
      </c>
      <c r="B6" t="s">
        <v>81</v>
      </c>
      <c r="C6" t="s">
        <v>82</v>
      </c>
      <c r="D6">
        <v>68</v>
      </c>
      <c r="E6">
        <v>126.6</v>
      </c>
    </row>
    <row r="7" spans="1:5" x14ac:dyDescent="0.25">
      <c r="A7" t="s">
        <v>123</v>
      </c>
      <c r="B7" t="s">
        <v>120</v>
      </c>
      <c r="C7" t="s">
        <v>121</v>
      </c>
      <c r="D7">
        <v>67.7</v>
      </c>
      <c r="E7">
        <v>124</v>
      </c>
    </row>
    <row r="8" spans="1:5" x14ac:dyDescent="0.25">
      <c r="A8" t="s">
        <v>104</v>
      </c>
      <c r="B8" t="s">
        <v>105</v>
      </c>
      <c r="C8" t="s">
        <v>106</v>
      </c>
      <c r="D8">
        <v>67</v>
      </c>
      <c r="E8">
        <v>123.6</v>
      </c>
    </row>
    <row r="9" spans="1:5" x14ac:dyDescent="0.25">
      <c r="A9" t="s">
        <v>101</v>
      </c>
      <c r="B9" t="s">
        <v>102</v>
      </c>
      <c r="C9" t="s">
        <v>103</v>
      </c>
      <c r="D9">
        <v>66.900000000000006</v>
      </c>
      <c r="E9">
        <v>124.6</v>
      </c>
    </row>
    <row r="10" spans="1:5" x14ac:dyDescent="0.25">
      <c r="A10" t="s">
        <v>124</v>
      </c>
      <c r="B10" t="s">
        <v>99</v>
      </c>
      <c r="C10" t="s">
        <v>100</v>
      </c>
      <c r="D10">
        <v>66.8</v>
      </c>
      <c r="E10">
        <v>123.8</v>
      </c>
    </row>
    <row r="11" spans="1:5" x14ac:dyDescent="0.25">
      <c r="A11" t="s">
        <v>125</v>
      </c>
      <c r="B11" t="s">
        <v>120</v>
      </c>
      <c r="C11" t="s">
        <v>121</v>
      </c>
      <c r="D11">
        <v>66.400000000000006</v>
      </c>
      <c r="E11">
        <v>122.7</v>
      </c>
    </row>
    <row r="12" spans="1:5" x14ac:dyDescent="0.25">
      <c r="A12" t="s">
        <v>86</v>
      </c>
      <c r="B12" t="s">
        <v>87</v>
      </c>
      <c r="C12" t="s">
        <v>88</v>
      </c>
      <c r="D12">
        <v>65.7</v>
      </c>
      <c r="E12">
        <v>122.5</v>
      </c>
    </row>
    <row r="13" spans="1:5" x14ac:dyDescent="0.25">
      <c r="A13" t="s">
        <v>98</v>
      </c>
      <c r="B13" t="s">
        <v>99</v>
      </c>
      <c r="C13" t="s">
        <v>100</v>
      </c>
      <c r="D13">
        <v>63.9</v>
      </c>
      <c r="E13">
        <v>118</v>
      </c>
    </row>
    <row r="14" spans="1:5" x14ac:dyDescent="0.25">
      <c r="A14" t="s">
        <v>126</v>
      </c>
      <c r="B14" t="s">
        <v>105</v>
      </c>
      <c r="C14" t="s">
        <v>106</v>
      </c>
      <c r="D14">
        <v>63.9</v>
      </c>
      <c r="E14">
        <v>120.2</v>
      </c>
    </row>
    <row r="15" spans="1:5" x14ac:dyDescent="0.25">
      <c r="A15" t="s">
        <v>127</v>
      </c>
      <c r="B15" t="s">
        <v>105</v>
      </c>
      <c r="C15" t="s">
        <v>106</v>
      </c>
      <c r="D15">
        <v>63.1</v>
      </c>
      <c r="E15">
        <v>115.5</v>
      </c>
    </row>
    <row r="16" spans="1:5" x14ac:dyDescent="0.25">
      <c r="A16" t="s">
        <v>95</v>
      </c>
      <c r="B16" t="s">
        <v>96</v>
      </c>
      <c r="C16" t="s">
        <v>97</v>
      </c>
      <c r="D16">
        <v>62.5</v>
      </c>
      <c r="E16">
        <v>116.6</v>
      </c>
    </row>
    <row r="17" spans="1:5" x14ac:dyDescent="0.25">
      <c r="A17" t="s">
        <v>128</v>
      </c>
      <c r="B17" t="s">
        <v>99</v>
      </c>
      <c r="C17" t="s">
        <v>100</v>
      </c>
      <c r="D17">
        <v>61.8</v>
      </c>
      <c r="E17">
        <v>113.9</v>
      </c>
    </row>
    <row r="18" spans="1:5" x14ac:dyDescent="0.25">
      <c r="A18" t="s">
        <v>92</v>
      </c>
      <c r="B18" t="s">
        <v>94</v>
      </c>
      <c r="C18" t="s">
        <v>94</v>
      </c>
      <c r="D18">
        <v>54.5</v>
      </c>
      <c r="E18">
        <v>97.7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55220-D07F-45C4-A857-B0E6DB561FD1}">
  <sheetPr codeName="Sheet8"/>
  <dimension ref="A1:I19"/>
  <sheetViews>
    <sheetView workbookViewId="0">
      <selection activeCell="I12" sqref="I12"/>
    </sheetView>
  </sheetViews>
  <sheetFormatPr defaultRowHeight="15" x14ac:dyDescent="0.25"/>
  <cols>
    <col min="1" max="1" width="12.7109375" bestFit="1" customWidth="1"/>
    <col min="2" max="2" width="11.42578125" bestFit="1" customWidth="1"/>
    <col min="3" max="3" width="17.42578125" bestFit="1" customWidth="1"/>
    <col min="4" max="4" width="20.7109375" bestFit="1" customWidth="1"/>
    <col min="5" max="5" width="12.85546875" bestFit="1" customWidth="1"/>
    <col min="6" max="6" width="29.7109375" bestFit="1" customWidth="1"/>
    <col min="7" max="7" width="17.42578125" bestFit="1" customWidth="1"/>
    <col min="8" max="8" width="23.42578125" bestFit="1" customWidth="1"/>
    <col min="9" max="9" width="29.85546875" bestFit="1" customWidth="1"/>
  </cols>
  <sheetData>
    <row r="1" spans="1:9" x14ac:dyDescent="0.25">
      <c r="A1" t="s">
        <v>9</v>
      </c>
      <c r="B1" t="s">
        <v>10</v>
      </c>
      <c r="C1" t="s">
        <v>131</v>
      </c>
      <c r="D1" t="s">
        <v>3</v>
      </c>
      <c r="E1" t="s">
        <v>26</v>
      </c>
      <c r="F1" t="s">
        <v>132</v>
      </c>
      <c r="G1" t="s">
        <v>133</v>
      </c>
      <c r="H1" t="s">
        <v>28</v>
      </c>
      <c r="I1" t="s">
        <v>30</v>
      </c>
    </row>
    <row r="2" spans="1:9" x14ac:dyDescent="0.25">
      <c r="A2" t="s">
        <v>83</v>
      </c>
      <c r="B2" t="s">
        <v>84</v>
      </c>
      <c r="C2" t="s">
        <v>85</v>
      </c>
      <c r="D2">
        <v>89.8</v>
      </c>
      <c r="E2">
        <v>75.099999999999994</v>
      </c>
      <c r="F2">
        <v>82.7</v>
      </c>
      <c r="G2">
        <v>91.2</v>
      </c>
      <c r="H2">
        <v>91.6</v>
      </c>
      <c r="I2">
        <v>110.1</v>
      </c>
    </row>
    <row r="3" spans="1:9" x14ac:dyDescent="0.25">
      <c r="A3" t="s">
        <v>89</v>
      </c>
      <c r="B3" t="s">
        <v>90</v>
      </c>
      <c r="C3" t="s">
        <v>91</v>
      </c>
      <c r="D3">
        <v>81.7</v>
      </c>
      <c r="E3">
        <v>57.2</v>
      </c>
      <c r="F3">
        <v>70</v>
      </c>
      <c r="G3">
        <v>82.1</v>
      </c>
      <c r="H3">
        <v>72.3</v>
      </c>
      <c r="I3">
        <v>112.4</v>
      </c>
    </row>
    <row r="4" spans="1:9" x14ac:dyDescent="0.25">
      <c r="A4" t="s">
        <v>119</v>
      </c>
      <c r="B4" t="s">
        <v>120</v>
      </c>
      <c r="C4" t="s">
        <v>121</v>
      </c>
      <c r="D4">
        <v>90</v>
      </c>
      <c r="E4">
        <v>51.6</v>
      </c>
      <c r="F4">
        <v>71.7</v>
      </c>
      <c r="G4">
        <v>79.400000000000006</v>
      </c>
      <c r="H4">
        <v>79.3</v>
      </c>
      <c r="I4">
        <v>108</v>
      </c>
    </row>
    <row r="5" spans="1:9" x14ac:dyDescent="0.25">
      <c r="A5" t="s">
        <v>122</v>
      </c>
      <c r="B5" t="s">
        <v>99</v>
      </c>
      <c r="C5" t="s">
        <v>100</v>
      </c>
      <c r="D5">
        <v>85</v>
      </c>
      <c r="E5">
        <v>57.7</v>
      </c>
      <c r="F5">
        <v>71.900000000000006</v>
      </c>
      <c r="G5">
        <v>85.9</v>
      </c>
      <c r="H5">
        <v>75.3</v>
      </c>
      <c r="I5">
        <v>103.6</v>
      </c>
    </row>
    <row r="6" spans="1:9" x14ac:dyDescent="0.25">
      <c r="A6" t="s">
        <v>1</v>
      </c>
      <c r="B6" t="s">
        <v>81</v>
      </c>
      <c r="C6" t="s">
        <v>82</v>
      </c>
      <c r="D6">
        <v>93.5</v>
      </c>
      <c r="E6">
        <v>57.7</v>
      </c>
      <c r="F6">
        <v>76.400000000000006</v>
      </c>
      <c r="G6">
        <v>89</v>
      </c>
      <c r="H6">
        <v>86.1</v>
      </c>
      <c r="I6">
        <v>108.6</v>
      </c>
    </row>
    <row r="7" spans="1:9" x14ac:dyDescent="0.25">
      <c r="A7" t="s">
        <v>123</v>
      </c>
      <c r="B7" t="s">
        <v>120</v>
      </c>
      <c r="C7" t="s">
        <v>121</v>
      </c>
      <c r="D7">
        <v>69.900000000000006</v>
      </c>
      <c r="E7">
        <v>44.1</v>
      </c>
      <c r="F7">
        <v>57.5</v>
      </c>
      <c r="G7">
        <v>62.2</v>
      </c>
      <c r="H7">
        <v>72.3</v>
      </c>
      <c r="I7">
        <v>107.8</v>
      </c>
    </row>
    <row r="8" spans="1:9" x14ac:dyDescent="0.25">
      <c r="A8" t="s">
        <v>104</v>
      </c>
      <c r="B8" t="s">
        <v>105</v>
      </c>
      <c r="C8" t="s">
        <v>106</v>
      </c>
      <c r="D8">
        <v>84.3</v>
      </c>
      <c r="E8">
        <v>55.3</v>
      </c>
      <c r="F8">
        <v>70.5</v>
      </c>
      <c r="G8">
        <v>85.8</v>
      </c>
      <c r="H8">
        <v>78.099999999999994</v>
      </c>
      <c r="I8">
        <v>103.8</v>
      </c>
    </row>
    <row r="9" spans="1:9" x14ac:dyDescent="0.25">
      <c r="A9" t="s">
        <v>101</v>
      </c>
      <c r="B9" t="s">
        <v>102</v>
      </c>
      <c r="C9" t="s">
        <v>103</v>
      </c>
      <c r="D9">
        <v>104</v>
      </c>
      <c r="E9">
        <v>74.3</v>
      </c>
      <c r="F9">
        <v>89.8</v>
      </c>
      <c r="G9">
        <v>93.7</v>
      </c>
      <c r="H9">
        <v>101.1</v>
      </c>
      <c r="I9">
        <v>107.6</v>
      </c>
    </row>
    <row r="10" spans="1:9" x14ac:dyDescent="0.25">
      <c r="A10" t="s">
        <v>124</v>
      </c>
      <c r="B10" t="s">
        <v>99</v>
      </c>
      <c r="C10" t="s">
        <v>100</v>
      </c>
      <c r="D10">
        <v>90.1</v>
      </c>
      <c r="E10">
        <v>80</v>
      </c>
      <c r="F10">
        <v>85.3</v>
      </c>
      <c r="G10">
        <v>79.2</v>
      </c>
      <c r="H10">
        <v>94.4</v>
      </c>
      <c r="I10">
        <v>97.7</v>
      </c>
    </row>
    <row r="11" spans="1:9" x14ac:dyDescent="0.25">
      <c r="A11" t="s">
        <v>125</v>
      </c>
      <c r="B11" t="s">
        <v>120</v>
      </c>
      <c r="C11" t="s">
        <v>121</v>
      </c>
      <c r="D11">
        <v>82.6</v>
      </c>
      <c r="E11">
        <v>57.3</v>
      </c>
      <c r="F11">
        <v>70.5</v>
      </c>
      <c r="G11">
        <v>74.599999999999994</v>
      </c>
      <c r="H11">
        <v>76.3</v>
      </c>
      <c r="I11">
        <v>110.2</v>
      </c>
    </row>
    <row r="12" spans="1:9" x14ac:dyDescent="0.25">
      <c r="A12" t="s">
        <v>86</v>
      </c>
      <c r="B12" t="s">
        <v>87</v>
      </c>
      <c r="C12" t="s">
        <v>88</v>
      </c>
      <c r="D12">
        <v>88.2</v>
      </c>
      <c r="E12">
        <v>65.3</v>
      </c>
      <c r="F12">
        <v>77.3</v>
      </c>
      <c r="G12">
        <v>90.3</v>
      </c>
      <c r="H12">
        <v>84.8</v>
      </c>
      <c r="I12">
        <v>113.5</v>
      </c>
    </row>
    <row r="13" spans="1:9" x14ac:dyDescent="0.25">
      <c r="A13" t="s">
        <v>98</v>
      </c>
      <c r="B13" t="s">
        <v>99</v>
      </c>
      <c r="C13" t="s">
        <v>100</v>
      </c>
      <c r="D13">
        <v>106.8</v>
      </c>
      <c r="E13">
        <v>92.9</v>
      </c>
      <c r="F13">
        <v>100.2</v>
      </c>
      <c r="G13">
        <v>113.7</v>
      </c>
      <c r="H13">
        <v>92.6</v>
      </c>
      <c r="I13">
        <v>109.2</v>
      </c>
    </row>
    <row r="14" spans="1:9" x14ac:dyDescent="0.25">
      <c r="A14" t="s">
        <v>126</v>
      </c>
      <c r="B14" t="s">
        <v>105</v>
      </c>
      <c r="C14" t="s">
        <v>106</v>
      </c>
      <c r="D14">
        <v>81.400000000000006</v>
      </c>
      <c r="E14">
        <v>72</v>
      </c>
      <c r="F14">
        <v>76.900000000000006</v>
      </c>
      <c r="G14">
        <v>80.099999999999994</v>
      </c>
      <c r="H14">
        <v>90.1</v>
      </c>
      <c r="I14">
        <v>87.5</v>
      </c>
    </row>
    <row r="15" spans="1:9" x14ac:dyDescent="0.25">
      <c r="A15" t="s">
        <v>127</v>
      </c>
      <c r="B15" t="s">
        <v>105</v>
      </c>
      <c r="C15" t="s">
        <v>106</v>
      </c>
      <c r="D15">
        <v>74.3</v>
      </c>
      <c r="E15">
        <v>50.6</v>
      </c>
      <c r="F15">
        <v>63</v>
      </c>
      <c r="G15">
        <v>75.400000000000006</v>
      </c>
      <c r="H15">
        <v>76.900000000000006</v>
      </c>
      <c r="I15">
        <v>107.1</v>
      </c>
    </row>
    <row r="16" spans="1:9" x14ac:dyDescent="0.25">
      <c r="A16" t="s">
        <v>95</v>
      </c>
      <c r="B16" t="s">
        <v>96</v>
      </c>
      <c r="C16" t="s">
        <v>97</v>
      </c>
      <c r="D16">
        <v>100</v>
      </c>
      <c r="E16">
        <v>100</v>
      </c>
      <c r="F16">
        <v>100</v>
      </c>
      <c r="G16">
        <v>100</v>
      </c>
      <c r="H16">
        <v>100</v>
      </c>
      <c r="I16">
        <v>100</v>
      </c>
    </row>
    <row r="17" spans="1:9" x14ac:dyDescent="0.25">
      <c r="A17" t="s">
        <v>128</v>
      </c>
      <c r="B17" t="s">
        <v>99</v>
      </c>
      <c r="C17" t="s">
        <v>100</v>
      </c>
      <c r="D17">
        <v>89.7</v>
      </c>
      <c r="E17">
        <v>74.900000000000006</v>
      </c>
      <c r="F17">
        <v>82.7</v>
      </c>
      <c r="G17">
        <v>84.1</v>
      </c>
      <c r="H17">
        <v>92.9</v>
      </c>
      <c r="I17">
        <v>108.7</v>
      </c>
    </row>
    <row r="18" spans="1:9" x14ac:dyDescent="0.25">
      <c r="A18" t="s">
        <v>92</v>
      </c>
      <c r="B18" t="s">
        <v>93</v>
      </c>
      <c r="C18" t="s">
        <v>94</v>
      </c>
      <c r="D18">
        <v>73.2</v>
      </c>
      <c r="E18">
        <v>41</v>
      </c>
      <c r="F18">
        <v>57.8</v>
      </c>
      <c r="G18">
        <v>68.8</v>
      </c>
      <c r="H18">
        <v>74.5</v>
      </c>
      <c r="I18">
        <v>106.1</v>
      </c>
    </row>
    <row r="19" spans="1:9" x14ac:dyDescent="0.25">
      <c r="A19" t="s">
        <v>129</v>
      </c>
      <c r="B19" t="s">
        <v>99</v>
      </c>
      <c r="C19" t="s">
        <v>100</v>
      </c>
      <c r="D19">
        <v>108.3</v>
      </c>
      <c r="E19">
        <v>81.599999999999994</v>
      </c>
      <c r="F19">
        <v>95.6</v>
      </c>
      <c r="G19">
        <v>100.6</v>
      </c>
      <c r="H19">
        <v>105.1</v>
      </c>
      <c r="I19">
        <v>109.8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7C1DE-7EB4-4CCC-9971-20320360C92C}">
  <sheetPr codeName="Sheet9"/>
  <dimension ref="A1:O19"/>
  <sheetViews>
    <sheetView workbookViewId="0">
      <selection activeCell="I12" sqref="I12"/>
    </sheetView>
  </sheetViews>
  <sheetFormatPr defaultRowHeight="15" x14ac:dyDescent="0.25"/>
  <cols>
    <col min="1" max="1" width="11.28515625" bestFit="1" customWidth="1"/>
    <col min="2" max="2" width="10.42578125" bestFit="1" customWidth="1"/>
    <col min="3" max="3" width="15.28515625" bestFit="1" customWidth="1"/>
    <col min="4" max="4" width="19.42578125" bestFit="1" customWidth="1"/>
    <col min="5" max="5" width="22.5703125" bestFit="1" customWidth="1"/>
    <col min="6" max="6" width="13" bestFit="1" customWidth="1"/>
    <col min="7" max="7" width="17.42578125" bestFit="1" customWidth="1"/>
    <col min="8" max="8" width="18.85546875" bestFit="1" customWidth="1"/>
    <col min="9" max="9" width="28" bestFit="1" customWidth="1"/>
    <col min="10" max="10" width="26" bestFit="1" customWidth="1"/>
    <col min="11" max="11" width="15.28515625" bestFit="1" customWidth="1"/>
    <col min="12" max="12" width="14" bestFit="1" customWidth="1"/>
    <col min="13" max="13" width="29.85546875" bestFit="1" customWidth="1"/>
    <col min="14" max="14" width="39.5703125" bestFit="1" customWidth="1"/>
    <col min="15" max="15" width="45.28515625" bestFit="1" customWidth="1"/>
  </cols>
  <sheetData>
    <row r="1" spans="1:15" x14ac:dyDescent="0.25">
      <c r="A1" t="s">
        <v>9</v>
      </c>
      <c r="B1" t="s">
        <v>10</v>
      </c>
      <c r="C1" t="s">
        <v>11</v>
      </c>
      <c r="D1" t="s">
        <v>2</v>
      </c>
      <c r="E1" t="s">
        <v>5</v>
      </c>
      <c r="F1" t="s">
        <v>14</v>
      </c>
      <c r="G1" t="s">
        <v>16</v>
      </c>
      <c r="H1" t="s">
        <v>3</v>
      </c>
      <c r="I1" t="s">
        <v>19</v>
      </c>
      <c r="J1" t="s">
        <v>21</v>
      </c>
      <c r="K1" t="s">
        <v>4</v>
      </c>
      <c r="L1" t="s">
        <v>24</v>
      </c>
      <c r="M1" t="s">
        <v>26</v>
      </c>
      <c r="N1" t="s">
        <v>28</v>
      </c>
      <c r="O1" t="s">
        <v>30</v>
      </c>
    </row>
    <row r="2" spans="1:15" x14ac:dyDescent="0.25">
      <c r="A2" t="s">
        <v>83</v>
      </c>
      <c r="B2" t="s">
        <v>84</v>
      </c>
      <c r="C2" t="s">
        <v>85</v>
      </c>
      <c r="D2">
        <v>165.8</v>
      </c>
      <c r="E2">
        <v>110.1</v>
      </c>
      <c r="F2">
        <v>59.2</v>
      </c>
      <c r="G2">
        <v>73</v>
      </c>
      <c r="H2">
        <v>89.8</v>
      </c>
      <c r="I2">
        <v>8</v>
      </c>
      <c r="J2">
        <v>45.6</v>
      </c>
      <c r="K2">
        <v>31.8</v>
      </c>
      <c r="L2">
        <v>71.7</v>
      </c>
      <c r="M2">
        <v>75.099999999999994</v>
      </c>
      <c r="N2">
        <v>91.6</v>
      </c>
      <c r="O2">
        <v>110.1</v>
      </c>
    </row>
    <row r="3" spans="1:15" x14ac:dyDescent="0.25">
      <c r="A3" t="s">
        <v>89</v>
      </c>
      <c r="B3" t="s">
        <v>90</v>
      </c>
      <c r="C3" t="s">
        <v>91</v>
      </c>
      <c r="D3">
        <v>157.4</v>
      </c>
      <c r="E3">
        <v>112.4</v>
      </c>
      <c r="F3">
        <v>53.4</v>
      </c>
      <c r="G3">
        <v>68.8</v>
      </c>
      <c r="H3">
        <v>81.7</v>
      </c>
      <c r="I3">
        <v>4.4000000000000004</v>
      </c>
      <c r="J3">
        <v>36.799999999999997</v>
      </c>
      <c r="K3">
        <v>44.5</v>
      </c>
      <c r="L3">
        <v>56.3</v>
      </c>
      <c r="M3">
        <v>57.2</v>
      </c>
      <c r="N3">
        <v>72.3</v>
      </c>
      <c r="O3">
        <v>112.4</v>
      </c>
    </row>
    <row r="4" spans="1:15" x14ac:dyDescent="0.25">
      <c r="A4" t="s">
        <v>119</v>
      </c>
      <c r="B4" t="s">
        <v>120</v>
      </c>
      <c r="C4" t="s">
        <v>121</v>
      </c>
      <c r="D4">
        <v>145</v>
      </c>
      <c r="E4">
        <v>108</v>
      </c>
      <c r="F4">
        <v>36.799999999999997</v>
      </c>
      <c r="G4">
        <v>68.8</v>
      </c>
      <c r="H4">
        <v>90</v>
      </c>
      <c r="I4">
        <v>4.7</v>
      </c>
      <c r="J4">
        <v>42.5</v>
      </c>
      <c r="K4">
        <v>56.4</v>
      </c>
      <c r="L4">
        <v>85.5</v>
      </c>
      <c r="M4">
        <v>51.6</v>
      </c>
      <c r="N4">
        <v>79.3</v>
      </c>
      <c r="O4">
        <v>108</v>
      </c>
    </row>
    <row r="5" spans="1:15" x14ac:dyDescent="0.25">
      <c r="A5" t="s">
        <v>122</v>
      </c>
      <c r="B5" t="s">
        <v>99</v>
      </c>
      <c r="C5" t="s">
        <v>100</v>
      </c>
      <c r="D5">
        <v>162.6</v>
      </c>
      <c r="E5">
        <v>103.6</v>
      </c>
      <c r="F5">
        <v>50.1</v>
      </c>
      <c r="G5">
        <v>68.5</v>
      </c>
      <c r="H5">
        <v>85</v>
      </c>
      <c r="I5">
        <v>6</v>
      </c>
      <c r="J5">
        <v>29.9</v>
      </c>
      <c r="K5">
        <v>48</v>
      </c>
      <c r="L5">
        <v>90.6</v>
      </c>
      <c r="M5">
        <v>57.7</v>
      </c>
      <c r="N5">
        <v>75.3</v>
      </c>
      <c r="O5">
        <v>103.6</v>
      </c>
    </row>
    <row r="6" spans="1:15" x14ac:dyDescent="0.25">
      <c r="A6" t="s">
        <v>1</v>
      </c>
      <c r="B6" t="s">
        <v>81</v>
      </c>
      <c r="C6" t="s">
        <v>82</v>
      </c>
      <c r="D6">
        <v>153.19999999999999</v>
      </c>
      <c r="E6">
        <v>106.7</v>
      </c>
      <c r="F6">
        <v>36.700000000000003</v>
      </c>
      <c r="G6">
        <v>68</v>
      </c>
      <c r="H6">
        <v>93.4</v>
      </c>
      <c r="I6">
        <v>4.7</v>
      </c>
      <c r="J6">
        <v>41.3</v>
      </c>
      <c r="K6">
        <v>45.3</v>
      </c>
      <c r="L6">
        <v>89.7</v>
      </c>
      <c r="M6">
        <v>57.7</v>
      </c>
      <c r="N6">
        <v>86.1</v>
      </c>
      <c r="O6">
        <v>108.6</v>
      </c>
    </row>
    <row r="7" spans="1:15" x14ac:dyDescent="0.25">
      <c r="A7" t="s">
        <v>123</v>
      </c>
      <c r="B7" t="s">
        <v>120</v>
      </c>
      <c r="C7" t="s">
        <v>121</v>
      </c>
      <c r="D7">
        <v>162.5</v>
      </c>
      <c r="E7">
        <v>108.4</v>
      </c>
      <c r="F7">
        <v>51.9</v>
      </c>
      <c r="G7">
        <v>67.7</v>
      </c>
      <c r="H7">
        <v>69.5</v>
      </c>
      <c r="I7">
        <v>6.3</v>
      </c>
      <c r="J7">
        <v>34</v>
      </c>
      <c r="K7">
        <v>45.7</v>
      </c>
      <c r="L7">
        <v>80.599999999999994</v>
      </c>
      <c r="M7">
        <v>44.1</v>
      </c>
      <c r="N7">
        <v>72.3</v>
      </c>
      <c r="O7">
        <v>107.8</v>
      </c>
    </row>
    <row r="8" spans="1:15" x14ac:dyDescent="0.25">
      <c r="A8" t="s">
        <v>104</v>
      </c>
      <c r="B8" t="s">
        <v>105</v>
      </c>
      <c r="C8" t="s">
        <v>106</v>
      </c>
      <c r="D8">
        <v>169.5</v>
      </c>
      <c r="E8">
        <v>103.8</v>
      </c>
      <c r="F8">
        <v>53.8</v>
      </c>
      <c r="G8">
        <v>67</v>
      </c>
      <c r="H8">
        <v>84.3</v>
      </c>
      <c r="I8">
        <v>4.8</v>
      </c>
      <c r="J8">
        <v>36.700000000000003</v>
      </c>
      <c r="K8">
        <v>33.5</v>
      </c>
      <c r="L8">
        <v>84.7</v>
      </c>
      <c r="M8">
        <v>55.3</v>
      </c>
      <c r="N8">
        <v>78.099999999999994</v>
      </c>
      <c r="O8">
        <v>103.8</v>
      </c>
    </row>
    <row r="9" spans="1:15" x14ac:dyDescent="0.25">
      <c r="A9" t="s">
        <v>101</v>
      </c>
      <c r="B9" t="s">
        <v>102</v>
      </c>
      <c r="C9" t="s">
        <v>103</v>
      </c>
      <c r="D9">
        <v>158</v>
      </c>
      <c r="E9">
        <v>107.6</v>
      </c>
      <c r="F9">
        <v>45.7</v>
      </c>
      <c r="G9">
        <v>66.900000000000006</v>
      </c>
      <c r="H9">
        <v>104</v>
      </c>
      <c r="I9">
        <v>6.6</v>
      </c>
      <c r="J9">
        <v>46.5</v>
      </c>
      <c r="K9">
        <v>37.4</v>
      </c>
      <c r="L9">
        <v>91.7</v>
      </c>
      <c r="M9">
        <v>74.3</v>
      </c>
      <c r="N9">
        <v>101.1</v>
      </c>
      <c r="O9">
        <v>107.6</v>
      </c>
    </row>
    <row r="10" spans="1:15" x14ac:dyDescent="0.25">
      <c r="A10" t="s">
        <v>124</v>
      </c>
      <c r="B10" t="s">
        <v>99</v>
      </c>
      <c r="C10" t="s">
        <v>100</v>
      </c>
      <c r="D10">
        <v>161.69999999999999</v>
      </c>
      <c r="E10">
        <v>97.7</v>
      </c>
      <c r="F10">
        <v>59.1</v>
      </c>
      <c r="G10">
        <v>66.8</v>
      </c>
      <c r="H10">
        <v>90.1</v>
      </c>
      <c r="I10">
        <v>10</v>
      </c>
      <c r="J10">
        <v>37.9</v>
      </c>
      <c r="K10">
        <v>42.1</v>
      </c>
      <c r="L10">
        <v>97.1</v>
      </c>
      <c r="M10">
        <v>80</v>
      </c>
      <c r="N10">
        <v>94.4</v>
      </c>
      <c r="O10">
        <v>97.7</v>
      </c>
    </row>
    <row r="11" spans="1:15" x14ac:dyDescent="0.25">
      <c r="A11" t="s">
        <v>125</v>
      </c>
      <c r="B11" t="s">
        <v>120</v>
      </c>
      <c r="C11" t="s">
        <v>121</v>
      </c>
      <c r="D11">
        <v>161.19999999999999</v>
      </c>
      <c r="E11">
        <v>110.2</v>
      </c>
      <c r="F11">
        <v>48.5</v>
      </c>
      <c r="G11">
        <v>66.400000000000006</v>
      </c>
      <c r="H11">
        <v>82.6</v>
      </c>
      <c r="I11">
        <v>5.2</v>
      </c>
      <c r="J11">
        <v>36.6</v>
      </c>
      <c r="K11">
        <v>43.8</v>
      </c>
      <c r="L11">
        <v>81.900000000000006</v>
      </c>
      <c r="M11">
        <v>57.3</v>
      </c>
      <c r="N11">
        <v>76.3</v>
      </c>
      <c r="O11">
        <v>110.2</v>
      </c>
    </row>
    <row r="12" spans="1:15" x14ac:dyDescent="0.25">
      <c r="A12" t="s">
        <v>86</v>
      </c>
      <c r="B12" t="s">
        <v>87</v>
      </c>
      <c r="C12" t="s">
        <v>88</v>
      </c>
      <c r="D12">
        <v>141.30000000000001</v>
      </c>
      <c r="E12">
        <v>111.4</v>
      </c>
      <c r="F12">
        <v>34</v>
      </c>
      <c r="G12">
        <v>65.7</v>
      </c>
      <c r="H12">
        <v>88.8</v>
      </c>
      <c r="I12">
        <v>5.4</v>
      </c>
      <c r="J12">
        <v>42</v>
      </c>
      <c r="K12">
        <v>50</v>
      </c>
      <c r="L12">
        <v>66.099999999999994</v>
      </c>
      <c r="M12">
        <v>65.3</v>
      </c>
      <c r="N12">
        <v>84.8</v>
      </c>
      <c r="O12">
        <v>113.5</v>
      </c>
    </row>
    <row r="13" spans="1:15" x14ac:dyDescent="0.25">
      <c r="A13" t="s">
        <v>98</v>
      </c>
      <c r="B13" t="s">
        <v>99</v>
      </c>
      <c r="C13" t="s">
        <v>100</v>
      </c>
      <c r="D13">
        <v>139.9</v>
      </c>
      <c r="E13">
        <v>109.2</v>
      </c>
      <c r="F13">
        <v>38</v>
      </c>
      <c r="G13">
        <v>63.9</v>
      </c>
      <c r="H13">
        <v>106.8</v>
      </c>
      <c r="I13">
        <v>9</v>
      </c>
      <c r="J13">
        <v>52.1</v>
      </c>
      <c r="K13">
        <v>52.5</v>
      </c>
      <c r="L13">
        <v>97.3</v>
      </c>
      <c r="M13">
        <v>92.9</v>
      </c>
      <c r="N13">
        <v>92.6</v>
      </c>
      <c r="O13">
        <v>109.2</v>
      </c>
    </row>
    <row r="14" spans="1:15" x14ac:dyDescent="0.25">
      <c r="A14" t="s">
        <v>126</v>
      </c>
      <c r="B14" t="s">
        <v>105</v>
      </c>
      <c r="C14" t="s">
        <v>106</v>
      </c>
      <c r="D14">
        <v>151.5</v>
      </c>
      <c r="E14">
        <v>87.5</v>
      </c>
      <c r="F14">
        <v>46.7</v>
      </c>
      <c r="G14">
        <v>63.9</v>
      </c>
      <c r="H14">
        <v>81.400000000000006</v>
      </c>
      <c r="I14">
        <v>5.5</v>
      </c>
      <c r="J14">
        <v>43.1</v>
      </c>
      <c r="K14">
        <v>38.700000000000003</v>
      </c>
      <c r="L14">
        <v>85.7</v>
      </c>
      <c r="M14">
        <v>72</v>
      </c>
      <c r="N14">
        <v>90.1</v>
      </c>
      <c r="O14">
        <v>87.5</v>
      </c>
    </row>
    <row r="15" spans="1:15" x14ac:dyDescent="0.25">
      <c r="A15" t="s">
        <v>127</v>
      </c>
      <c r="B15" t="s">
        <v>105</v>
      </c>
      <c r="C15" t="s">
        <v>106</v>
      </c>
      <c r="D15">
        <v>169.6</v>
      </c>
      <c r="E15">
        <v>107.1</v>
      </c>
      <c r="F15">
        <v>50.6</v>
      </c>
      <c r="G15">
        <v>63.1</v>
      </c>
      <c r="H15">
        <v>74.3</v>
      </c>
      <c r="I15">
        <v>4.2</v>
      </c>
      <c r="J15">
        <v>36.299999999999997</v>
      </c>
      <c r="K15">
        <v>34.5</v>
      </c>
      <c r="L15">
        <v>87.2</v>
      </c>
      <c r="M15">
        <v>50.6</v>
      </c>
      <c r="N15">
        <v>76.900000000000006</v>
      </c>
      <c r="O15">
        <v>107.1</v>
      </c>
    </row>
    <row r="16" spans="1:15" x14ac:dyDescent="0.25">
      <c r="A16" t="s">
        <v>95</v>
      </c>
      <c r="B16" t="s">
        <v>96</v>
      </c>
      <c r="C16" t="s">
        <v>97</v>
      </c>
      <c r="D16">
        <v>135.80000000000001</v>
      </c>
      <c r="E16">
        <v>100</v>
      </c>
      <c r="F16">
        <v>50</v>
      </c>
      <c r="G16">
        <v>62.5</v>
      </c>
      <c r="H16">
        <v>100</v>
      </c>
      <c r="I16">
        <v>10.3</v>
      </c>
      <c r="J16">
        <v>43.6</v>
      </c>
      <c r="K16">
        <v>57.9</v>
      </c>
      <c r="L16">
        <v>79.7</v>
      </c>
      <c r="M16">
        <v>100</v>
      </c>
      <c r="N16">
        <v>100</v>
      </c>
      <c r="O16">
        <v>100</v>
      </c>
    </row>
    <row r="17" spans="1:15" x14ac:dyDescent="0.25">
      <c r="A17" t="s">
        <v>128</v>
      </c>
      <c r="B17" t="s">
        <v>99</v>
      </c>
      <c r="C17" t="s">
        <v>100</v>
      </c>
      <c r="D17">
        <v>134.1</v>
      </c>
      <c r="E17">
        <v>108.9</v>
      </c>
      <c r="F17">
        <v>47.2</v>
      </c>
      <c r="G17">
        <v>61.8</v>
      </c>
      <c r="H17">
        <v>89.8</v>
      </c>
      <c r="I17">
        <v>7.5</v>
      </c>
      <c r="J17">
        <v>57.8</v>
      </c>
      <c r="K17">
        <v>66.400000000000006</v>
      </c>
      <c r="L17">
        <v>95.5</v>
      </c>
      <c r="M17">
        <v>74.900000000000006</v>
      </c>
      <c r="N17">
        <v>92.9</v>
      </c>
      <c r="O17">
        <v>108.7</v>
      </c>
    </row>
    <row r="18" spans="1:15" x14ac:dyDescent="0.25">
      <c r="A18" t="s">
        <v>92</v>
      </c>
      <c r="B18" t="s">
        <v>93</v>
      </c>
      <c r="C18" t="s">
        <v>94</v>
      </c>
      <c r="D18">
        <v>146.1</v>
      </c>
      <c r="E18">
        <v>106.1</v>
      </c>
      <c r="F18">
        <v>44.4</v>
      </c>
      <c r="G18">
        <v>54.5</v>
      </c>
      <c r="H18">
        <v>73.2</v>
      </c>
      <c r="I18">
        <v>3.4</v>
      </c>
      <c r="J18">
        <v>27</v>
      </c>
      <c r="K18">
        <v>52.9</v>
      </c>
      <c r="L18">
        <v>57.4</v>
      </c>
      <c r="M18">
        <v>41</v>
      </c>
      <c r="N18">
        <v>74.5</v>
      </c>
      <c r="O18">
        <v>106.1</v>
      </c>
    </row>
    <row r="19" spans="1:15" x14ac:dyDescent="0.25">
      <c r="A19" t="s">
        <v>129</v>
      </c>
      <c r="B19" t="s">
        <v>99</v>
      </c>
      <c r="C19" t="s">
        <v>100</v>
      </c>
      <c r="D19">
        <v>147.69999999999999</v>
      </c>
      <c r="E19">
        <v>109.8</v>
      </c>
      <c r="F19">
        <v>49.7</v>
      </c>
      <c r="G19">
        <v>64.2</v>
      </c>
      <c r="H19">
        <v>108.3</v>
      </c>
      <c r="I19">
        <v>10.1</v>
      </c>
      <c r="J19">
        <v>42.8</v>
      </c>
      <c r="K19">
        <v>54.4</v>
      </c>
      <c r="L19">
        <v>95.5</v>
      </c>
      <c r="M19">
        <v>81.599999999999994</v>
      </c>
      <c r="N19">
        <v>105.1</v>
      </c>
      <c r="O19">
        <v>109.8</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9D282-CD97-48CD-B385-6CE085466F72}">
  <sheetPr codeName="Sheet10"/>
  <dimension ref="A1:Q18"/>
  <sheetViews>
    <sheetView workbookViewId="0">
      <selection activeCell="I12" sqref="I12"/>
    </sheetView>
  </sheetViews>
  <sheetFormatPr defaultRowHeight="15" x14ac:dyDescent="0.25"/>
  <cols>
    <col min="1" max="1" width="11.28515625" bestFit="1" customWidth="1"/>
    <col min="2" max="2" width="10.42578125" bestFit="1" customWidth="1"/>
    <col min="3" max="3" width="15.28515625" bestFit="1" customWidth="1"/>
    <col min="4" max="4" width="19.42578125" bestFit="1" customWidth="1"/>
    <col min="5" max="5" width="22.5703125" bestFit="1" customWidth="1"/>
    <col min="6" max="6" width="13" bestFit="1" customWidth="1"/>
    <col min="7" max="7" width="17.42578125" bestFit="1" customWidth="1"/>
    <col min="8" max="8" width="18.85546875" bestFit="1" customWidth="1"/>
    <col min="9" max="9" width="28" bestFit="1" customWidth="1"/>
    <col min="10" max="10" width="26" bestFit="1" customWidth="1"/>
    <col min="11" max="11" width="15.28515625" bestFit="1" customWidth="1"/>
    <col min="12" max="12" width="14" bestFit="1" customWidth="1"/>
    <col min="13" max="13" width="11.7109375" bestFit="1" customWidth="1"/>
    <col min="14" max="14" width="21.28515625" bestFit="1" customWidth="1"/>
    <col min="15" max="15" width="27.140625" bestFit="1" customWidth="1"/>
    <col min="16" max="16" width="19" bestFit="1" customWidth="1"/>
    <col min="17" max="17" width="21.28515625" bestFit="1" customWidth="1"/>
  </cols>
  <sheetData>
    <row r="1" spans="1:17" x14ac:dyDescent="0.25">
      <c r="A1" t="s">
        <v>9</v>
      </c>
      <c r="B1" t="s">
        <v>10</v>
      </c>
      <c r="C1" t="s">
        <v>11</v>
      </c>
      <c r="D1" t="s">
        <v>2</v>
      </c>
      <c r="E1" t="s">
        <v>5</v>
      </c>
      <c r="F1" t="s">
        <v>14</v>
      </c>
      <c r="G1" t="s">
        <v>16</v>
      </c>
      <c r="H1" t="s">
        <v>3</v>
      </c>
      <c r="I1" t="s">
        <v>19</v>
      </c>
      <c r="J1" t="s">
        <v>21</v>
      </c>
      <c r="K1" t="s">
        <v>4</v>
      </c>
      <c r="L1" t="s">
        <v>24</v>
      </c>
      <c r="M1" t="s">
        <v>26</v>
      </c>
      <c r="N1" t="s">
        <v>28</v>
      </c>
      <c r="O1" t="s">
        <v>30</v>
      </c>
      <c r="P1" t="s">
        <v>32</v>
      </c>
      <c r="Q1" t="s">
        <v>34</v>
      </c>
    </row>
    <row r="2" spans="1:17" x14ac:dyDescent="0.25">
      <c r="A2" t="s">
        <v>83</v>
      </c>
      <c r="B2" t="s">
        <v>84</v>
      </c>
      <c r="C2" t="s">
        <v>85</v>
      </c>
      <c r="D2">
        <v>165.8</v>
      </c>
      <c r="E2">
        <v>110.1</v>
      </c>
      <c r="F2">
        <v>59.2</v>
      </c>
      <c r="G2">
        <v>73</v>
      </c>
      <c r="H2">
        <v>89.8</v>
      </c>
      <c r="I2">
        <v>8</v>
      </c>
      <c r="J2">
        <v>45.6</v>
      </c>
      <c r="K2">
        <v>31.8</v>
      </c>
      <c r="L2">
        <v>71.7</v>
      </c>
      <c r="M2">
        <v>75.099999999999994</v>
      </c>
      <c r="N2">
        <v>91.6</v>
      </c>
      <c r="O2">
        <v>110.1</v>
      </c>
      <c r="P2">
        <v>73</v>
      </c>
      <c r="Q2">
        <v>135</v>
      </c>
    </row>
    <row r="3" spans="1:17" x14ac:dyDescent="0.25">
      <c r="A3" t="s">
        <v>89</v>
      </c>
      <c r="B3" t="s">
        <v>90</v>
      </c>
      <c r="C3" t="s">
        <v>91</v>
      </c>
      <c r="D3">
        <v>157.4</v>
      </c>
      <c r="E3">
        <v>112.4</v>
      </c>
      <c r="F3">
        <v>53.4</v>
      </c>
      <c r="G3">
        <v>68.8</v>
      </c>
      <c r="H3">
        <v>81.7</v>
      </c>
      <c r="I3">
        <v>4.4000000000000004</v>
      </c>
      <c r="J3">
        <v>36.799999999999997</v>
      </c>
      <c r="K3">
        <v>44.5</v>
      </c>
      <c r="L3">
        <v>56.3</v>
      </c>
      <c r="M3">
        <v>57.2</v>
      </c>
      <c r="N3">
        <v>72.3</v>
      </c>
      <c r="O3">
        <v>112.4</v>
      </c>
      <c r="P3">
        <v>68.8</v>
      </c>
      <c r="Q3">
        <v>128.80000000000001</v>
      </c>
    </row>
    <row r="4" spans="1:17" x14ac:dyDescent="0.25">
      <c r="A4" t="s">
        <v>119</v>
      </c>
      <c r="B4" t="s">
        <v>120</v>
      </c>
      <c r="C4" t="s">
        <v>121</v>
      </c>
      <c r="D4">
        <v>145</v>
      </c>
      <c r="E4">
        <v>108</v>
      </c>
      <c r="F4">
        <v>36.799999999999997</v>
      </c>
      <c r="G4">
        <v>68.8</v>
      </c>
      <c r="H4">
        <v>90</v>
      </c>
      <c r="I4">
        <v>4.7</v>
      </c>
      <c r="J4">
        <v>42.5</v>
      </c>
      <c r="K4">
        <v>56.4</v>
      </c>
      <c r="L4">
        <v>85.5</v>
      </c>
      <c r="M4">
        <v>51.6</v>
      </c>
      <c r="N4">
        <v>79.3</v>
      </c>
      <c r="O4">
        <v>108</v>
      </c>
      <c r="P4">
        <v>68.8</v>
      </c>
      <c r="Q4">
        <v>127.2</v>
      </c>
    </row>
    <row r="5" spans="1:17" x14ac:dyDescent="0.25">
      <c r="A5" t="s">
        <v>122</v>
      </c>
      <c r="B5" t="s">
        <v>99</v>
      </c>
      <c r="C5" t="s">
        <v>100</v>
      </c>
      <c r="D5">
        <v>162.6</v>
      </c>
      <c r="E5">
        <v>103.6</v>
      </c>
      <c r="F5">
        <v>50.1</v>
      </c>
      <c r="G5">
        <v>68.5</v>
      </c>
      <c r="H5">
        <v>85</v>
      </c>
      <c r="I5">
        <v>6</v>
      </c>
      <c r="J5">
        <v>29.9</v>
      </c>
      <c r="K5">
        <v>48</v>
      </c>
      <c r="L5">
        <v>90.6</v>
      </c>
      <c r="M5">
        <v>57.7</v>
      </c>
      <c r="N5">
        <v>75.3</v>
      </c>
      <c r="O5">
        <v>103.6</v>
      </c>
      <c r="P5">
        <v>68.5</v>
      </c>
      <c r="Q5">
        <v>124.4</v>
      </c>
    </row>
    <row r="6" spans="1:17" x14ac:dyDescent="0.25">
      <c r="A6" t="s">
        <v>1</v>
      </c>
      <c r="B6" t="s">
        <v>81</v>
      </c>
      <c r="C6" t="s">
        <v>82</v>
      </c>
      <c r="D6">
        <v>153.19999999999999</v>
      </c>
      <c r="E6">
        <v>106.7</v>
      </c>
      <c r="F6">
        <v>36.700000000000003</v>
      </c>
      <c r="G6">
        <v>68</v>
      </c>
      <c r="H6">
        <v>93.4</v>
      </c>
      <c r="I6">
        <v>4.7</v>
      </c>
      <c r="J6">
        <v>41.3</v>
      </c>
      <c r="K6">
        <v>45.3</v>
      </c>
      <c r="L6">
        <v>89.7</v>
      </c>
      <c r="M6">
        <v>57.7</v>
      </c>
      <c r="N6">
        <v>86.1</v>
      </c>
      <c r="O6">
        <v>108.6</v>
      </c>
      <c r="P6">
        <v>68</v>
      </c>
      <c r="Q6">
        <v>126.6</v>
      </c>
    </row>
    <row r="7" spans="1:17" x14ac:dyDescent="0.25">
      <c r="A7" t="s">
        <v>123</v>
      </c>
      <c r="B7" t="s">
        <v>120</v>
      </c>
      <c r="C7" t="s">
        <v>121</v>
      </c>
      <c r="D7">
        <v>162.5</v>
      </c>
      <c r="E7">
        <v>108.4</v>
      </c>
      <c r="F7">
        <v>51.9</v>
      </c>
      <c r="G7">
        <v>67.7</v>
      </c>
      <c r="H7">
        <v>69.5</v>
      </c>
      <c r="I7">
        <v>6.3</v>
      </c>
      <c r="J7">
        <v>34</v>
      </c>
      <c r="K7">
        <v>45.7</v>
      </c>
      <c r="L7">
        <v>80.599999999999994</v>
      </c>
      <c r="M7">
        <v>44.1</v>
      </c>
      <c r="N7">
        <v>72.3</v>
      </c>
      <c r="O7">
        <v>107.8</v>
      </c>
      <c r="P7">
        <v>67.7</v>
      </c>
      <c r="Q7">
        <v>124</v>
      </c>
    </row>
    <row r="8" spans="1:17" x14ac:dyDescent="0.25">
      <c r="A8" t="s">
        <v>104</v>
      </c>
      <c r="B8" t="s">
        <v>105</v>
      </c>
      <c r="C8" t="s">
        <v>106</v>
      </c>
      <c r="D8">
        <v>169.5</v>
      </c>
      <c r="E8">
        <v>103.8</v>
      </c>
      <c r="F8">
        <v>53.8</v>
      </c>
      <c r="G8">
        <v>67</v>
      </c>
      <c r="H8">
        <v>84.3</v>
      </c>
      <c r="I8">
        <v>4.8</v>
      </c>
      <c r="J8">
        <v>36.700000000000003</v>
      </c>
      <c r="K8">
        <v>33.5</v>
      </c>
      <c r="L8">
        <v>84.7</v>
      </c>
      <c r="M8">
        <v>55.3</v>
      </c>
      <c r="N8">
        <v>78.099999999999994</v>
      </c>
      <c r="O8">
        <v>103.8</v>
      </c>
      <c r="P8">
        <v>67</v>
      </c>
      <c r="Q8">
        <v>123.6</v>
      </c>
    </row>
    <row r="9" spans="1:17" x14ac:dyDescent="0.25">
      <c r="A9" t="s">
        <v>101</v>
      </c>
      <c r="B9" t="s">
        <v>102</v>
      </c>
      <c r="C9" t="s">
        <v>103</v>
      </c>
      <c r="D9">
        <v>158</v>
      </c>
      <c r="E9">
        <v>107.6</v>
      </c>
      <c r="F9">
        <v>45.7</v>
      </c>
      <c r="G9">
        <v>66.900000000000006</v>
      </c>
      <c r="H9">
        <v>104</v>
      </c>
      <c r="I9">
        <v>6.6</v>
      </c>
      <c r="J9">
        <v>46.5</v>
      </c>
      <c r="K9">
        <v>37.4</v>
      </c>
      <c r="L9">
        <v>91.7</v>
      </c>
      <c r="M9">
        <v>74.3</v>
      </c>
      <c r="N9">
        <v>101.1</v>
      </c>
      <c r="O9">
        <v>107.6</v>
      </c>
      <c r="P9">
        <v>66.900000000000006</v>
      </c>
      <c r="Q9">
        <v>124.6</v>
      </c>
    </row>
    <row r="10" spans="1:17" x14ac:dyDescent="0.25">
      <c r="A10" t="s">
        <v>124</v>
      </c>
      <c r="B10" t="s">
        <v>99</v>
      </c>
      <c r="C10" t="s">
        <v>100</v>
      </c>
      <c r="D10">
        <v>161.69999999999999</v>
      </c>
      <c r="E10">
        <v>97.7</v>
      </c>
      <c r="F10">
        <v>59.1</v>
      </c>
      <c r="G10">
        <v>66.8</v>
      </c>
      <c r="H10">
        <v>90.1</v>
      </c>
      <c r="I10">
        <v>10</v>
      </c>
      <c r="J10">
        <v>37.9</v>
      </c>
      <c r="K10">
        <v>42.1</v>
      </c>
      <c r="L10">
        <v>97.1</v>
      </c>
      <c r="M10">
        <v>80</v>
      </c>
      <c r="N10">
        <v>94.4</v>
      </c>
      <c r="O10">
        <v>97.7</v>
      </c>
      <c r="P10">
        <v>66.8</v>
      </c>
      <c r="Q10">
        <v>123.8</v>
      </c>
    </row>
    <row r="11" spans="1:17" x14ac:dyDescent="0.25">
      <c r="A11" t="s">
        <v>125</v>
      </c>
      <c r="B11" t="s">
        <v>120</v>
      </c>
      <c r="C11" t="s">
        <v>121</v>
      </c>
      <c r="D11">
        <v>161.19999999999999</v>
      </c>
      <c r="E11">
        <v>110.2</v>
      </c>
      <c r="F11">
        <v>48.5</v>
      </c>
      <c r="G11">
        <v>66.400000000000006</v>
      </c>
      <c r="H11">
        <v>82.6</v>
      </c>
      <c r="I11">
        <v>5.2</v>
      </c>
      <c r="J11">
        <v>36.6</v>
      </c>
      <c r="K11">
        <v>43.8</v>
      </c>
      <c r="L11">
        <v>81.900000000000006</v>
      </c>
      <c r="M11">
        <v>57.3</v>
      </c>
      <c r="N11">
        <v>76.3</v>
      </c>
      <c r="O11">
        <v>110.2</v>
      </c>
      <c r="P11">
        <v>66.400000000000006</v>
      </c>
      <c r="Q11">
        <v>122.7</v>
      </c>
    </row>
    <row r="12" spans="1:17" x14ac:dyDescent="0.25">
      <c r="A12" t="s">
        <v>86</v>
      </c>
      <c r="B12" t="s">
        <v>87</v>
      </c>
      <c r="C12" t="s">
        <v>88</v>
      </c>
      <c r="D12">
        <v>141.30000000000001</v>
      </c>
      <c r="E12">
        <v>111.4</v>
      </c>
      <c r="F12">
        <v>34</v>
      </c>
      <c r="G12">
        <v>65.7</v>
      </c>
      <c r="H12">
        <v>88.8</v>
      </c>
      <c r="I12">
        <v>5.4</v>
      </c>
      <c r="J12">
        <v>42</v>
      </c>
      <c r="K12">
        <v>50</v>
      </c>
      <c r="L12">
        <v>66.099999999999994</v>
      </c>
      <c r="M12">
        <v>65.3</v>
      </c>
      <c r="N12">
        <v>84.8</v>
      </c>
      <c r="O12">
        <v>113.5</v>
      </c>
      <c r="P12">
        <v>65.7</v>
      </c>
      <c r="Q12">
        <v>122.5</v>
      </c>
    </row>
    <row r="13" spans="1:17" x14ac:dyDescent="0.25">
      <c r="A13" t="s">
        <v>98</v>
      </c>
      <c r="B13" t="s">
        <v>99</v>
      </c>
      <c r="C13" t="s">
        <v>100</v>
      </c>
      <c r="D13">
        <v>139.9</v>
      </c>
      <c r="E13">
        <v>109.2</v>
      </c>
      <c r="F13">
        <v>38</v>
      </c>
      <c r="G13">
        <v>63.9</v>
      </c>
      <c r="H13">
        <v>106.8</v>
      </c>
      <c r="I13">
        <v>9</v>
      </c>
      <c r="J13">
        <v>52.1</v>
      </c>
      <c r="K13">
        <v>52.5</v>
      </c>
      <c r="L13">
        <v>97.3</v>
      </c>
      <c r="M13">
        <v>92.9</v>
      </c>
      <c r="N13">
        <v>92.6</v>
      </c>
      <c r="O13">
        <v>109.2</v>
      </c>
      <c r="P13">
        <v>63.9</v>
      </c>
      <c r="Q13">
        <v>118</v>
      </c>
    </row>
    <row r="14" spans="1:17" x14ac:dyDescent="0.25">
      <c r="A14" t="s">
        <v>126</v>
      </c>
      <c r="B14" t="s">
        <v>105</v>
      </c>
      <c r="C14" t="s">
        <v>106</v>
      </c>
      <c r="D14">
        <v>151.5</v>
      </c>
      <c r="E14">
        <v>87.5</v>
      </c>
      <c r="F14">
        <v>46.7</v>
      </c>
      <c r="G14">
        <v>63.9</v>
      </c>
      <c r="H14">
        <v>81.400000000000006</v>
      </c>
      <c r="I14">
        <v>5.5</v>
      </c>
      <c r="J14">
        <v>43.1</v>
      </c>
      <c r="K14">
        <v>38.700000000000003</v>
      </c>
      <c r="L14">
        <v>85.7</v>
      </c>
      <c r="M14">
        <v>72</v>
      </c>
      <c r="N14">
        <v>90.1</v>
      </c>
      <c r="O14">
        <v>87.5</v>
      </c>
      <c r="P14">
        <v>63.9</v>
      </c>
      <c r="Q14">
        <v>120.2</v>
      </c>
    </row>
    <row r="15" spans="1:17" x14ac:dyDescent="0.25">
      <c r="A15" t="s">
        <v>127</v>
      </c>
      <c r="B15" t="s">
        <v>105</v>
      </c>
      <c r="C15" t="s">
        <v>106</v>
      </c>
      <c r="D15">
        <v>169.6</v>
      </c>
      <c r="E15">
        <v>107.1</v>
      </c>
      <c r="F15">
        <v>50.6</v>
      </c>
      <c r="G15">
        <v>63.1</v>
      </c>
      <c r="H15">
        <v>74.3</v>
      </c>
      <c r="I15">
        <v>4.2</v>
      </c>
      <c r="J15">
        <v>36.299999999999997</v>
      </c>
      <c r="K15">
        <v>34.5</v>
      </c>
      <c r="L15">
        <v>87.2</v>
      </c>
      <c r="M15">
        <v>50.6</v>
      </c>
      <c r="N15">
        <v>76.900000000000006</v>
      </c>
      <c r="O15">
        <v>107.1</v>
      </c>
      <c r="P15">
        <v>63.1</v>
      </c>
      <c r="Q15">
        <v>115.5</v>
      </c>
    </row>
    <row r="16" spans="1:17" x14ac:dyDescent="0.25">
      <c r="A16" t="s">
        <v>95</v>
      </c>
      <c r="B16" t="s">
        <v>96</v>
      </c>
      <c r="C16" t="s">
        <v>97</v>
      </c>
      <c r="D16">
        <v>135.80000000000001</v>
      </c>
      <c r="E16">
        <v>100</v>
      </c>
      <c r="F16">
        <v>50</v>
      </c>
      <c r="G16">
        <v>62.5</v>
      </c>
      <c r="H16">
        <v>100</v>
      </c>
      <c r="I16">
        <v>10.3</v>
      </c>
      <c r="J16">
        <v>43.6</v>
      </c>
      <c r="K16">
        <v>57.9</v>
      </c>
      <c r="L16">
        <v>79.7</v>
      </c>
      <c r="M16">
        <v>100</v>
      </c>
      <c r="N16">
        <v>100</v>
      </c>
      <c r="O16">
        <v>100</v>
      </c>
      <c r="P16">
        <v>62.5</v>
      </c>
      <c r="Q16">
        <v>116.6</v>
      </c>
    </row>
    <row r="17" spans="1:17" x14ac:dyDescent="0.25">
      <c r="A17" t="s">
        <v>128</v>
      </c>
      <c r="B17" t="s">
        <v>99</v>
      </c>
      <c r="C17" t="s">
        <v>100</v>
      </c>
      <c r="D17">
        <v>134.1</v>
      </c>
      <c r="E17">
        <v>108.9</v>
      </c>
      <c r="F17">
        <v>47.2</v>
      </c>
      <c r="G17">
        <v>61.8</v>
      </c>
      <c r="H17">
        <v>89.8</v>
      </c>
      <c r="I17">
        <v>7.5</v>
      </c>
      <c r="J17">
        <v>57.8</v>
      </c>
      <c r="K17">
        <v>66.400000000000006</v>
      </c>
      <c r="L17">
        <v>95.5</v>
      </c>
      <c r="M17">
        <v>74.900000000000006</v>
      </c>
      <c r="N17">
        <v>92.9</v>
      </c>
      <c r="O17">
        <v>108.7</v>
      </c>
      <c r="P17">
        <v>61.8</v>
      </c>
      <c r="Q17">
        <v>113.9</v>
      </c>
    </row>
    <row r="18" spans="1:17" x14ac:dyDescent="0.25">
      <c r="A18" t="s">
        <v>92</v>
      </c>
      <c r="B18" t="s">
        <v>93</v>
      </c>
      <c r="C18" t="s">
        <v>94</v>
      </c>
      <c r="D18">
        <v>146.1</v>
      </c>
      <c r="E18">
        <v>106.1</v>
      </c>
      <c r="F18">
        <v>44.4</v>
      </c>
      <c r="G18">
        <v>54.5</v>
      </c>
      <c r="H18">
        <v>73.2</v>
      </c>
      <c r="I18">
        <v>3.4</v>
      </c>
      <c r="J18">
        <v>27</v>
      </c>
      <c r="K18">
        <v>52.9</v>
      </c>
      <c r="L18">
        <v>57.4</v>
      </c>
      <c r="M18">
        <v>41</v>
      </c>
      <c r="N18">
        <v>74.5</v>
      </c>
      <c r="O18">
        <v>106.1</v>
      </c>
      <c r="P18">
        <v>54.5</v>
      </c>
      <c r="Q18">
        <v>97.7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0FAAF-4218-4DFB-A923-C66BB4DEABCD}">
  <sheetPr codeName="Sheet11"/>
  <dimension ref="A1:Z11"/>
  <sheetViews>
    <sheetView workbookViewId="0">
      <selection activeCell="I12" sqref="I12"/>
    </sheetView>
  </sheetViews>
  <sheetFormatPr defaultRowHeight="15" x14ac:dyDescent="0.25"/>
  <cols>
    <col min="1" max="1" width="11.28515625" bestFit="1" customWidth="1"/>
    <col min="2" max="2" width="11" bestFit="1" customWidth="1"/>
    <col min="3" max="3" width="15.85546875" bestFit="1" customWidth="1"/>
    <col min="4" max="4" width="13" bestFit="1" customWidth="1"/>
    <col min="5" max="5" width="22.42578125" bestFit="1" customWidth="1"/>
    <col min="6" max="6" width="15.85546875" bestFit="1" customWidth="1"/>
    <col min="7" max="7" width="18.140625" bestFit="1" customWidth="1"/>
    <col min="8" max="8" width="19" bestFit="1" customWidth="1"/>
    <col min="9" max="9" width="21.140625" bestFit="1" customWidth="1"/>
    <col min="10" max="10" width="20.85546875" bestFit="1" customWidth="1"/>
    <col min="11" max="11" width="11.85546875" bestFit="1" customWidth="1"/>
    <col min="12" max="12" width="12.140625" bestFit="1" customWidth="1"/>
    <col min="13" max="13" width="9" bestFit="1" customWidth="1"/>
    <col min="14" max="14" width="6.5703125" bestFit="1" customWidth="1"/>
    <col min="15" max="15" width="9.42578125" bestFit="1" customWidth="1"/>
    <col min="16" max="16" width="13" bestFit="1" customWidth="1"/>
    <col min="17" max="17" width="17.42578125" bestFit="1" customWidth="1"/>
    <col min="18" max="18" width="9.7109375" bestFit="1" customWidth="1"/>
    <col min="19" max="19" width="8.85546875" bestFit="1" customWidth="1"/>
    <col min="20" max="20" width="13.5703125" bestFit="1" customWidth="1"/>
    <col min="21" max="21" width="14.5703125" bestFit="1" customWidth="1"/>
    <col min="22" max="22" width="25.140625" bestFit="1" customWidth="1"/>
    <col min="23" max="23" width="11.7109375" bestFit="1" customWidth="1"/>
    <col min="24" max="24" width="14.42578125" bestFit="1" customWidth="1"/>
    <col min="25" max="25" width="18.28515625" bestFit="1" customWidth="1"/>
    <col min="26" max="26" width="15.42578125" bestFit="1" customWidth="1"/>
  </cols>
  <sheetData>
    <row r="1" spans="1:26" x14ac:dyDescent="0.25">
      <c r="A1" t="s">
        <v>9</v>
      </c>
      <c r="B1" t="s">
        <v>134</v>
      </c>
      <c r="C1" t="s">
        <v>131</v>
      </c>
      <c r="D1" t="s">
        <v>36</v>
      </c>
      <c r="E1" t="s">
        <v>38</v>
      </c>
      <c r="F1" t="s">
        <v>40</v>
      </c>
      <c r="G1" t="s">
        <v>42</v>
      </c>
      <c r="H1" t="s">
        <v>44</v>
      </c>
      <c r="I1" t="s">
        <v>46</v>
      </c>
      <c r="J1" t="s">
        <v>48</v>
      </c>
      <c r="K1" t="s">
        <v>50</v>
      </c>
      <c r="L1" t="s">
        <v>52</v>
      </c>
      <c r="M1" t="s">
        <v>54</v>
      </c>
      <c r="N1" t="s">
        <v>56</v>
      </c>
      <c r="O1" t="s">
        <v>58</v>
      </c>
      <c r="P1" t="s">
        <v>109</v>
      </c>
      <c r="Q1" t="s">
        <v>62</v>
      </c>
      <c r="R1" t="s">
        <v>64</v>
      </c>
      <c r="S1" t="s">
        <v>66</v>
      </c>
      <c r="T1" t="s">
        <v>68</v>
      </c>
      <c r="U1" t="s">
        <v>110</v>
      </c>
      <c r="V1" t="s">
        <v>72</v>
      </c>
      <c r="W1" t="s">
        <v>74</v>
      </c>
      <c r="X1" t="s">
        <v>8</v>
      </c>
      <c r="Y1" t="s">
        <v>77</v>
      </c>
      <c r="Z1" t="s">
        <v>79</v>
      </c>
    </row>
    <row r="2" spans="1:26" x14ac:dyDescent="0.25">
      <c r="A2" t="s">
        <v>83</v>
      </c>
      <c r="B2" t="s">
        <v>84</v>
      </c>
      <c r="C2" t="s">
        <v>85</v>
      </c>
      <c r="D2">
        <v>215.9</v>
      </c>
      <c r="E2">
        <v>45.6</v>
      </c>
      <c r="F2">
        <v>3794.3</v>
      </c>
      <c r="G2">
        <v>265.89999999999998</v>
      </c>
      <c r="H2">
        <v>8527.6</v>
      </c>
      <c r="I2">
        <v>59</v>
      </c>
      <c r="J2">
        <v>45</v>
      </c>
      <c r="K2">
        <v>682903</v>
      </c>
      <c r="L2">
        <v>2758.22</v>
      </c>
      <c r="M2">
        <v>8.35</v>
      </c>
      <c r="N2">
        <v>42.47</v>
      </c>
      <c r="O2">
        <v>205.59</v>
      </c>
      <c r="P2">
        <v>412.8</v>
      </c>
      <c r="Q2">
        <v>669.2</v>
      </c>
      <c r="R2">
        <v>308.83</v>
      </c>
      <c r="S2">
        <v>1603.74</v>
      </c>
      <c r="T2">
        <v>176.45</v>
      </c>
      <c r="U2">
        <v>2089.02</v>
      </c>
      <c r="V2">
        <v>74164</v>
      </c>
      <c r="W2">
        <v>44.582417582417584</v>
      </c>
      <c r="X2">
        <v>0.06</v>
      </c>
      <c r="Y2">
        <v>1.0189999999999999E-2</v>
      </c>
      <c r="Z2">
        <v>7.0190000000000002E-2</v>
      </c>
    </row>
    <row r="3" spans="1:26" x14ac:dyDescent="0.25">
      <c r="A3" t="s">
        <v>1</v>
      </c>
      <c r="B3" t="s">
        <v>81</v>
      </c>
      <c r="C3" t="s">
        <v>135</v>
      </c>
      <c r="D3">
        <v>199.1</v>
      </c>
      <c r="E3">
        <v>41.3</v>
      </c>
      <c r="F3">
        <v>2026.4</v>
      </c>
      <c r="G3">
        <v>232.7</v>
      </c>
      <c r="H3">
        <v>9496.9</v>
      </c>
      <c r="I3">
        <v>73</v>
      </c>
      <c r="J3">
        <v>54</v>
      </c>
      <c r="K3">
        <v>481343</v>
      </c>
      <c r="L3">
        <v>5727.52</v>
      </c>
      <c r="M3">
        <v>16.41</v>
      </c>
      <c r="N3">
        <v>58.59</v>
      </c>
      <c r="O3">
        <v>293.55</v>
      </c>
      <c r="P3">
        <v>567.16</v>
      </c>
      <c r="Q3">
        <v>935.72</v>
      </c>
      <c r="R3">
        <v>704.28</v>
      </c>
      <c r="S3">
        <v>3387.19</v>
      </c>
      <c r="T3">
        <v>684.96</v>
      </c>
      <c r="U3">
        <v>4776.43</v>
      </c>
      <c r="V3">
        <v>89415</v>
      </c>
      <c r="W3">
        <v>51.759124087591239</v>
      </c>
      <c r="X3">
        <v>7.2499999999999995E-2</v>
      </c>
      <c r="Y3">
        <v>1.601E-2</v>
      </c>
      <c r="Z3">
        <v>8.8510000000000005E-2</v>
      </c>
    </row>
    <row r="4" spans="1:26" x14ac:dyDescent="0.25">
      <c r="A4" t="s">
        <v>136</v>
      </c>
      <c r="B4" t="s">
        <v>120</v>
      </c>
      <c r="C4" t="s">
        <v>137</v>
      </c>
      <c r="D4">
        <v>172.8</v>
      </c>
      <c r="E4">
        <v>36.299999999999997</v>
      </c>
      <c r="F4">
        <v>770.9</v>
      </c>
      <c r="G4">
        <v>244.7</v>
      </c>
      <c r="H4">
        <v>8659.2999999999993</v>
      </c>
      <c r="I4">
        <v>81</v>
      </c>
      <c r="J4">
        <v>59</v>
      </c>
      <c r="K4">
        <v>971949</v>
      </c>
      <c r="L4">
        <v>3612.23</v>
      </c>
      <c r="M4">
        <v>2.57</v>
      </c>
      <c r="N4">
        <v>85.81</v>
      </c>
      <c r="O4">
        <v>101.55</v>
      </c>
      <c r="P4">
        <v>224.91</v>
      </c>
      <c r="Q4">
        <v>414.84</v>
      </c>
      <c r="R4">
        <v>450.64</v>
      </c>
      <c r="S4">
        <v>2525.0300000000002</v>
      </c>
      <c r="T4">
        <v>213.9</v>
      </c>
      <c r="U4">
        <v>3189.57</v>
      </c>
      <c r="V4">
        <v>70386</v>
      </c>
      <c r="W4">
        <v>48.692622950819676</v>
      </c>
      <c r="X4">
        <v>2.9000000000000001E-2</v>
      </c>
      <c r="Y4">
        <v>4.8910000000000002E-2</v>
      </c>
      <c r="Z4">
        <v>7.7909999999999993E-2</v>
      </c>
    </row>
    <row r="5" spans="1:26" x14ac:dyDescent="0.25">
      <c r="A5" t="s">
        <v>89</v>
      </c>
      <c r="B5" t="s">
        <v>90</v>
      </c>
      <c r="C5" t="s">
        <v>91</v>
      </c>
      <c r="D5">
        <v>174.8</v>
      </c>
      <c r="E5">
        <v>36.799999999999997</v>
      </c>
      <c r="F5">
        <v>856.3</v>
      </c>
      <c r="G5">
        <v>238.1</v>
      </c>
      <c r="H5">
        <v>8712.2999999999993</v>
      </c>
      <c r="I5">
        <v>66</v>
      </c>
      <c r="J5">
        <v>37</v>
      </c>
      <c r="K5">
        <v>706616</v>
      </c>
      <c r="L5">
        <v>4360.93</v>
      </c>
      <c r="M5">
        <v>8.35</v>
      </c>
      <c r="N5">
        <v>98.92</v>
      </c>
      <c r="O5">
        <v>174.35</v>
      </c>
      <c r="P5">
        <v>393.99</v>
      </c>
      <c r="Q5">
        <v>675.61</v>
      </c>
      <c r="R5">
        <v>612.91999999999996</v>
      </c>
      <c r="S5">
        <v>2267.29</v>
      </c>
      <c r="T5">
        <v>786.85</v>
      </c>
      <c r="U5">
        <v>3667.06</v>
      </c>
      <c r="V5">
        <v>86331</v>
      </c>
      <c r="W5">
        <v>68.205673758865245</v>
      </c>
      <c r="X5">
        <v>6.25E-2</v>
      </c>
      <c r="Y5">
        <v>2.588E-2</v>
      </c>
      <c r="Z5">
        <v>8.838E-2</v>
      </c>
    </row>
    <row r="6" spans="1:26" x14ac:dyDescent="0.25">
      <c r="A6" t="s">
        <v>86</v>
      </c>
      <c r="B6" t="s">
        <v>87</v>
      </c>
      <c r="C6" t="s">
        <v>88</v>
      </c>
      <c r="D6">
        <v>191.9</v>
      </c>
      <c r="E6">
        <v>42</v>
      </c>
      <c r="F6">
        <v>2264.1</v>
      </c>
      <c r="G6">
        <v>240.4</v>
      </c>
      <c r="H6">
        <v>7524.4</v>
      </c>
      <c r="I6">
        <v>61</v>
      </c>
      <c r="J6">
        <v>44</v>
      </c>
      <c r="K6">
        <v>2746388</v>
      </c>
      <c r="L6">
        <v>4381.6499999999996</v>
      </c>
      <c r="M6">
        <v>18.260000000000002</v>
      </c>
      <c r="N6">
        <v>65.11</v>
      </c>
      <c r="O6">
        <v>439.26</v>
      </c>
      <c r="P6">
        <v>570.36</v>
      </c>
      <c r="Q6">
        <v>1098.8599999999999</v>
      </c>
      <c r="R6">
        <v>477.13</v>
      </c>
      <c r="S6">
        <v>2358.83</v>
      </c>
      <c r="T6">
        <v>427.84</v>
      </c>
      <c r="U6">
        <v>3263.8</v>
      </c>
      <c r="V6">
        <v>74694</v>
      </c>
      <c r="W6">
        <v>56.21897810218978</v>
      </c>
      <c r="X6">
        <v>0.04</v>
      </c>
      <c r="Y6">
        <v>3.3939999999999998E-2</v>
      </c>
      <c r="Z6">
        <v>7.3940000000000006E-2</v>
      </c>
    </row>
    <row r="7" spans="1:26" x14ac:dyDescent="0.25">
      <c r="A7" t="s">
        <v>104</v>
      </c>
      <c r="B7" t="s">
        <v>105</v>
      </c>
      <c r="C7" t="s">
        <v>106</v>
      </c>
      <c r="D7">
        <v>176.9</v>
      </c>
      <c r="E7">
        <v>36.700000000000003</v>
      </c>
      <c r="F7">
        <v>844.9</v>
      </c>
      <c r="G7">
        <v>211.2</v>
      </c>
      <c r="H7">
        <v>9321.7999999999993</v>
      </c>
      <c r="I7">
        <v>83</v>
      </c>
      <c r="J7">
        <v>66</v>
      </c>
      <c r="K7">
        <v>384360</v>
      </c>
      <c r="L7">
        <v>2218.2399999999998</v>
      </c>
      <c r="M7">
        <v>10.15</v>
      </c>
      <c r="N7">
        <v>31.48</v>
      </c>
      <c r="O7">
        <v>105.63</v>
      </c>
      <c r="P7">
        <v>317.14999999999998</v>
      </c>
      <c r="Q7">
        <v>464.41</v>
      </c>
      <c r="R7">
        <v>321.31</v>
      </c>
      <c r="S7">
        <v>1274.8499999999999</v>
      </c>
      <c r="T7">
        <v>147.52000000000001</v>
      </c>
      <c r="U7">
        <v>1743.68</v>
      </c>
      <c r="V7">
        <v>88213</v>
      </c>
      <c r="W7">
        <v>50.292817679558013</v>
      </c>
      <c r="X7">
        <v>6.5000000000000002E-2</v>
      </c>
      <c r="Y7">
        <v>2.8969999999999999E-2</v>
      </c>
      <c r="Z7">
        <v>9.3969999999999998E-2</v>
      </c>
    </row>
    <row r="8" spans="1:26" x14ac:dyDescent="0.25">
      <c r="A8" t="s">
        <v>101</v>
      </c>
      <c r="B8" t="s">
        <v>102</v>
      </c>
      <c r="C8" t="s">
        <v>103</v>
      </c>
      <c r="D8">
        <v>223.7</v>
      </c>
      <c r="E8">
        <v>46.5</v>
      </c>
      <c r="F8">
        <v>4247.8999999999996</v>
      </c>
      <c r="G8">
        <v>341.7</v>
      </c>
      <c r="H8">
        <v>8742.1</v>
      </c>
      <c r="I8">
        <v>61</v>
      </c>
      <c r="J8">
        <v>46</v>
      </c>
      <c r="K8">
        <v>721365</v>
      </c>
      <c r="L8">
        <v>5911.99</v>
      </c>
      <c r="M8">
        <v>3.74</v>
      </c>
      <c r="N8">
        <v>36.869999999999997</v>
      </c>
      <c r="O8">
        <v>210.02</v>
      </c>
      <c r="P8">
        <v>382.05</v>
      </c>
      <c r="Q8">
        <v>632.69000000000005</v>
      </c>
      <c r="R8">
        <v>1081.98</v>
      </c>
      <c r="S8">
        <v>3673.45</v>
      </c>
      <c r="T8">
        <v>503.21</v>
      </c>
      <c r="U8">
        <v>5258.64</v>
      </c>
      <c r="V8">
        <v>68905</v>
      </c>
      <c r="W8">
        <v>48.239436619718312</v>
      </c>
      <c r="X8">
        <v>6.25E-2</v>
      </c>
      <c r="Y8">
        <v>1.9480000000000001E-2</v>
      </c>
      <c r="Z8">
        <v>8.1979999999999997E-2</v>
      </c>
    </row>
    <row r="9" spans="1:26" x14ac:dyDescent="0.25">
      <c r="A9" t="s">
        <v>92</v>
      </c>
      <c r="B9" t="s">
        <v>93</v>
      </c>
      <c r="C9" t="s">
        <v>94</v>
      </c>
      <c r="D9">
        <v>126.4</v>
      </c>
      <c r="E9">
        <v>27</v>
      </c>
      <c r="F9">
        <v>33.5</v>
      </c>
      <c r="G9">
        <v>143.30000000000001</v>
      </c>
      <c r="H9">
        <v>6663</v>
      </c>
      <c r="I9">
        <v>81</v>
      </c>
      <c r="J9">
        <v>60</v>
      </c>
      <c r="K9">
        <v>627244</v>
      </c>
      <c r="L9">
        <v>3567.87</v>
      </c>
      <c r="M9">
        <v>12.6</v>
      </c>
      <c r="N9">
        <v>79.64</v>
      </c>
      <c r="O9">
        <v>211.15</v>
      </c>
      <c r="P9">
        <v>315.5</v>
      </c>
      <c r="Q9">
        <v>618.9</v>
      </c>
      <c r="R9">
        <v>805.17</v>
      </c>
      <c r="S9">
        <v>1635.16</v>
      </c>
      <c r="T9">
        <v>503.06</v>
      </c>
      <c r="U9">
        <v>2943.38</v>
      </c>
      <c r="V9">
        <v>63893</v>
      </c>
      <c r="W9">
        <v>66.142857142857139</v>
      </c>
      <c r="X9">
        <v>6.25E-2</v>
      </c>
      <c r="Y9">
        <v>0</v>
      </c>
      <c r="Z9">
        <v>6.25E-2</v>
      </c>
    </row>
    <row r="10" spans="1:26" x14ac:dyDescent="0.25">
      <c r="A10" t="s">
        <v>95</v>
      </c>
      <c r="B10" t="s">
        <v>96</v>
      </c>
      <c r="C10" t="s">
        <v>97</v>
      </c>
      <c r="D10">
        <v>167.9</v>
      </c>
      <c r="E10">
        <v>43.6</v>
      </c>
      <c r="F10">
        <v>2884.5</v>
      </c>
      <c r="G10">
        <v>191.6</v>
      </c>
      <c r="H10">
        <v>3213.7</v>
      </c>
      <c r="I10">
        <v>63</v>
      </c>
      <c r="J10">
        <v>49</v>
      </c>
      <c r="K10">
        <v>8804190</v>
      </c>
      <c r="L10">
        <v>1987.49</v>
      </c>
      <c r="M10">
        <v>3.39</v>
      </c>
      <c r="N10">
        <v>27.56</v>
      </c>
      <c r="O10">
        <v>162.41999999999999</v>
      </c>
      <c r="P10">
        <v>345.52</v>
      </c>
      <c r="Q10">
        <v>538.9</v>
      </c>
      <c r="R10">
        <v>128.87</v>
      </c>
      <c r="S10">
        <v>1253.1500000000001</v>
      </c>
      <c r="T10">
        <v>66.56</v>
      </c>
      <c r="U10">
        <v>1448.59</v>
      </c>
      <c r="V10">
        <v>115409</v>
      </c>
      <c r="W10">
        <v>56.335766423357661</v>
      </c>
      <c r="X10">
        <v>6.8500000000000005E-2</v>
      </c>
      <c r="Y10">
        <v>1.3860000000000001E-2</v>
      </c>
      <c r="Z10">
        <v>8.2360000000000003E-2</v>
      </c>
    </row>
    <row r="11" spans="1:26" x14ac:dyDescent="0.25">
      <c r="A11" t="s">
        <v>98</v>
      </c>
      <c r="B11" t="s">
        <v>99</v>
      </c>
      <c r="C11" t="s">
        <v>100</v>
      </c>
      <c r="D11">
        <v>262.8</v>
      </c>
      <c r="E11">
        <v>52.1</v>
      </c>
      <c r="F11">
        <v>7872.6</v>
      </c>
      <c r="G11">
        <v>583.1</v>
      </c>
      <c r="H11">
        <v>9580.4</v>
      </c>
      <c r="I11">
        <v>64</v>
      </c>
      <c r="J11">
        <v>51</v>
      </c>
      <c r="K11">
        <v>881255</v>
      </c>
      <c r="L11">
        <v>6917.4</v>
      </c>
      <c r="M11">
        <v>6.35</v>
      </c>
      <c r="N11">
        <v>41.65</v>
      </c>
      <c r="O11">
        <v>365.39</v>
      </c>
      <c r="P11">
        <v>301.62</v>
      </c>
      <c r="Q11">
        <v>715</v>
      </c>
      <c r="R11">
        <v>560</v>
      </c>
      <c r="S11">
        <v>5059.49</v>
      </c>
      <c r="T11">
        <v>548.54</v>
      </c>
      <c r="U11">
        <v>6168.02</v>
      </c>
      <c r="V11">
        <v>136692</v>
      </c>
      <c r="W11">
        <v>46.950819672131146</v>
      </c>
      <c r="X11">
        <v>0.04</v>
      </c>
      <c r="Y11">
        <v>4.5319999999999999E-2</v>
      </c>
      <c r="Z11">
        <v>8.5319999999999993E-2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ADAC5-91EC-42D7-910D-CDEED397FD72}">
  <sheetPr codeName="Sheet12"/>
  <dimension ref="C15:K17"/>
  <sheetViews>
    <sheetView workbookViewId="0">
      <selection activeCell="I12" sqref="I12"/>
    </sheetView>
  </sheetViews>
  <sheetFormatPr defaultRowHeight="15" x14ac:dyDescent="0.25"/>
  <cols>
    <col min="1" max="1" width="9.7109375" bestFit="1" customWidth="1"/>
    <col min="2" max="2" width="9.42578125" bestFit="1" customWidth="1"/>
    <col min="3" max="3" width="9.7109375" bestFit="1" customWidth="1"/>
    <col min="4" max="4" width="9.42578125" bestFit="1" customWidth="1"/>
    <col min="5" max="5" width="10.140625" bestFit="1" customWidth="1"/>
    <col min="6" max="6" width="9.7109375" bestFit="1" customWidth="1"/>
    <col min="7" max="7" width="11.7109375" bestFit="1" customWidth="1"/>
    <col min="8" max="8" width="11.85546875" bestFit="1" customWidth="1"/>
    <col min="9" max="9" width="15" bestFit="1" customWidth="1"/>
    <col min="10" max="10" width="9.5703125" bestFit="1" customWidth="1"/>
    <col min="11" max="11" width="9.140625" bestFit="1" customWidth="1"/>
    <col min="12" max="15" width="11.140625" bestFit="1" customWidth="1"/>
    <col min="16" max="16" width="12.7109375" bestFit="1" customWidth="1"/>
    <col min="17" max="18" width="11.140625" bestFit="1" customWidth="1"/>
    <col min="19" max="19" width="9.7109375" bestFit="1" customWidth="1"/>
    <col min="20" max="20" width="9.42578125" bestFit="1" customWidth="1"/>
    <col min="21" max="21" width="10.140625" bestFit="1" customWidth="1"/>
    <col min="22" max="22" width="9.7109375" bestFit="1" customWidth="1"/>
    <col min="23" max="23" width="11.7109375" bestFit="1" customWidth="1"/>
    <col min="24" max="24" width="11.85546875" bestFit="1" customWidth="1"/>
    <col min="25" max="25" width="15" bestFit="1" customWidth="1"/>
    <col min="26" max="26" width="9.5703125" bestFit="1" customWidth="1"/>
    <col min="28" max="33" width="11.140625" bestFit="1" customWidth="1"/>
    <col min="34" max="34" width="12.7109375" bestFit="1" customWidth="1"/>
    <col min="35" max="36" width="11.140625" bestFit="1" customWidth="1"/>
  </cols>
  <sheetData>
    <row r="15" spans="3:11" x14ac:dyDescent="0.25">
      <c r="C15" t="s">
        <v>1</v>
      </c>
      <c r="D15" t="s">
        <v>83</v>
      </c>
      <c r="E15" t="s">
        <v>86</v>
      </c>
      <c r="F15" t="s">
        <v>89</v>
      </c>
      <c r="G15" t="s">
        <v>92</v>
      </c>
      <c r="H15" t="s">
        <v>95</v>
      </c>
      <c r="I15" t="s">
        <v>98</v>
      </c>
      <c r="J15" t="s">
        <v>101</v>
      </c>
      <c r="K15" t="s">
        <v>104</v>
      </c>
    </row>
    <row r="16" spans="3:11" x14ac:dyDescent="0.25">
      <c r="C16">
        <v>73</v>
      </c>
      <c r="D16">
        <v>59</v>
      </c>
      <c r="E16">
        <v>61</v>
      </c>
      <c r="F16">
        <v>66</v>
      </c>
      <c r="G16">
        <v>81</v>
      </c>
      <c r="H16">
        <v>63</v>
      </c>
      <c r="I16">
        <v>64</v>
      </c>
      <c r="J16">
        <v>61</v>
      </c>
      <c r="K16">
        <v>83</v>
      </c>
    </row>
    <row r="17" spans="3:11" x14ac:dyDescent="0.25">
      <c r="C17">
        <v>54</v>
      </c>
      <c r="D17">
        <v>45</v>
      </c>
      <c r="E17">
        <v>44</v>
      </c>
      <c r="F17">
        <v>37</v>
      </c>
      <c r="G17">
        <v>60</v>
      </c>
      <c r="H17">
        <v>49</v>
      </c>
      <c r="I17">
        <v>51</v>
      </c>
      <c r="J17">
        <v>46</v>
      </c>
      <c r="K17">
        <v>66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E3003-BC42-4238-9C71-7CAEBA02551B}">
  <sheetPr codeName="Sheet13"/>
  <dimension ref="A1:L19"/>
  <sheetViews>
    <sheetView workbookViewId="0">
      <selection activeCell="I12" sqref="I12"/>
    </sheetView>
  </sheetViews>
  <sheetFormatPr defaultRowHeight="15" x14ac:dyDescent="0.25"/>
  <cols>
    <col min="1" max="1" width="12.7109375" bestFit="1" customWidth="1"/>
    <col min="2" max="2" width="11.42578125" bestFit="1" customWidth="1"/>
    <col min="3" max="3" width="17" bestFit="1" customWidth="1"/>
    <col min="4" max="4" width="21.42578125" bestFit="1" customWidth="1"/>
    <col min="5" max="5" width="24.85546875" bestFit="1" customWidth="1"/>
    <col min="6" max="6" width="14.28515625" bestFit="1" customWidth="1"/>
    <col min="7" max="7" width="19.140625" bestFit="1" customWidth="1"/>
    <col min="8" max="8" width="20.7109375" bestFit="1" customWidth="1"/>
    <col min="9" max="9" width="30.7109375" bestFit="1" customWidth="1"/>
    <col min="10" max="10" width="28.85546875" bestFit="1" customWidth="1"/>
    <col min="11" max="11" width="17" bestFit="1" customWidth="1"/>
    <col min="12" max="12" width="15.7109375" bestFit="1" customWidth="1"/>
  </cols>
  <sheetData>
    <row r="1" spans="1:12" x14ac:dyDescent="0.25">
      <c r="A1" t="s">
        <v>9</v>
      </c>
      <c r="B1" t="s">
        <v>10</v>
      </c>
      <c r="C1" t="s">
        <v>11</v>
      </c>
      <c r="D1" t="s">
        <v>2</v>
      </c>
      <c r="E1" t="s">
        <v>5</v>
      </c>
      <c r="F1" t="s">
        <v>14</v>
      </c>
      <c r="G1" t="s">
        <v>16</v>
      </c>
      <c r="H1" t="s">
        <v>3</v>
      </c>
      <c r="I1" t="s">
        <v>19</v>
      </c>
      <c r="J1" t="s">
        <v>21</v>
      </c>
      <c r="K1" t="s">
        <v>4</v>
      </c>
      <c r="L1" t="s">
        <v>24</v>
      </c>
    </row>
    <row r="2" spans="1:12" x14ac:dyDescent="0.25">
      <c r="A2" t="s">
        <v>83</v>
      </c>
      <c r="B2" t="s">
        <v>84</v>
      </c>
      <c r="C2" t="s">
        <v>85</v>
      </c>
      <c r="D2">
        <v>165.8</v>
      </c>
      <c r="E2">
        <v>110.1</v>
      </c>
      <c r="F2">
        <v>59.2</v>
      </c>
      <c r="G2">
        <v>73</v>
      </c>
      <c r="H2">
        <v>89.8</v>
      </c>
      <c r="I2">
        <v>8</v>
      </c>
      <c r="J2">
        <v>45.6</v>
      </c>
      <c r="K2">
        <v>31.8</v>
      </c>
      <c r="L2">
        <v>71.7</v>
      </c>
    </row>
    <row r="3" spans="1:12" x14ac:dyDescent="0.25">
      <c r="A3" t="s">
        <v>89</v>
      </c>
      <c r="B3" t="s">
        <v>90</v>
      </c>
      <c r="C3" t="s">
        <v>91</v>
      </c>
      <c r="D3">
        <v>157.4</v>
      </c>
      <c r="E3">
        <v>112.4</v>
      </c>
      <c r="F3">
        <v>53.4</v>
      </c>
      <c r="G3">
        <v>68.8</v>
      </c>
      <c r="H3">
        <v>81.7</v>
      </c>
      <c r="I3">
        <v>4.4000000000000004</v>
      </c>
      <c r="J3">
        <v>36.799999999999997</v>
      </c>
      <c r="K3">
        <v>44.5</v>
      </c>
      <c r="L3">
        <v>56.3</v>
      </c>
    </row>
    <row r="4" spans="1:12" x14ac:dyDescent="0.25">
      <c r="A4" t="s">
        <v>119</v>
      </c>
      <c r="B4" t="s">
        <v>120</v>
      </c>
      <c r="C4" t="s">
        <v>121</v>
      </c>
      <c r="D4">
        <v>145</v>
      </c>
      <c r="E4">
        <v>108</v>
      </c>
      <c r="F4">
        <v>36.799999999999997</v>
      </c>
      <c r="G4">
        <v>68.8</v>
      </c>
      <c r="H4">
        <v>90</v>
      </c>
      <c r="I4">
        <v>4.7</v>
      </c>
      <c r="J4">
        <v>42.5</v>
      </c>
      <c r="K4">
        <v>56.4</v>
      </c>
      <c r="L4">
        <v>85.5</v>
      </c>
    </row>
    <row r="5" spans="1:12" x14ac:dyDescent="0.25">
      <c r="A5" t="s">
        <v>122</v>
      </c>
      <c r="B5" t="s">
        <v>99</v>
      </c>
      <c r="C5" t="s">
        <v>100</v>
      </c>
      <c r="D5">
        <v>162.6</v>
      </c>
      <c r="E5">
        <v>103.6</v>
      </c>
      <c r="F5">
        <v>50.1</v>
      </c>
      <c r="G5">
        <v>68.5</v>
      </c>
      <c r="H5">
        <v>85</v>
      </c>
      <c r="I5">
        <v>6</v>
      </c>
      <c r="J5">
        <v>29.9</v>
      </c>
      <c r="K5">
        <v>48</v>
      </c>
      <c r="L5">
        <v>90.6</v>
      </c>
    </row>
    <row r="6" spans="1:12" x14ac:dyDescent="0.25">
      <c r="A6" t="s">
        <v>1</v>
      </c>
      <c r="B6" t="s">
        <v>81</v>
      </c>
      <c r="C6" t="s">
        <v>82</v>
      </c>
      <c r="D6">
        <v>153.19999999999999</v>
      </c>
      <c r="E6">
        <v>106.7</v>
      </c>
      <c r="F6">
        <v>36.700000000000003</v>
      </c>
      <c r="G6">
        <v>68</v>
      </c>
      <c r="H6">
        <v>93.4</v>
      </c>
      <c r="I6">
        <v>4.7</v>
      </c>
      <c r="J6">
        <v>41.3</v>
      </c>
      <c r="K6">
        <v>45.3</v>
      </c>
      <c r="L6">
        <v>89.7</v>
      </c>
    </row>
    <row r="7" spans="1:12" x14ac:dyDescent="0.25">
      <c r="A7" t="s">
        <v>123</v>
      </c>
      <c r="B7" t="s">
        <v>120</v>
      </c>
      <c r="C7" t="s">
        <v>121</v>
      </c>
      <c r="D7">
        <v>162.5</v>
      </c>
      <c r="E7">
        <v>108.4</v>
      </c>
      <c r="F7">
        <v>51.9</v>
      </c>
      <c r="G7">
        <v>67.7</v>
      </c>
      <c r="H7">
        <v>69.5</v>
      </c>
      <c r="I7">
        <v>6.3</v>
      </c>
      <c r="J7">
        <v>34</v>
      </c>
      <c r="K7">
        <v>45.7</v>
      </c>
      <c r="L7">
        <v>80.599999999999994</v>
      </c>
    </row>
    <row r="8" spans="1:12" x14ac:dyDescent="0.25">
      <c r="A8" t="s">
        <v>104</v>
      </c>
      <c r="B8" t="s">
        <v>105</v>
      </c>
      <c r="C8" t="s">
        <v>106</v>
      </c>
      <c r="D8">
        <v>169.5</v>
      </c>
      <c r="E8">
        <v>103.8</v>
      </c>
      <c r="F8">
        <v>53.8</v>
      </c>
      <c r="G8">
        <v>67</v>
      </c>
      <c r="H8">
        <v>84.3</v>
      </c>
      <c r="I8">
        <v>4.8</v>
      </c>
      <c r="J8">
        <v>36.700000000000003</v>
      </c>
      <c r="K8">
        <v>33.5</v>
      </c>
      <c r="L8">
        <v>84.7</v>
      </c>
    </row>
    <row r="9" spans="1:12" x14ac:dyDescent="0.25">
      <c r="A9" t="s">
        <v>101</v>
      </c>
      <c r="B9" t="s">
        <v>102</v>
      </c>
      <c r="C9" t="s">
        <v>103</v>
      </c>
      <c r="D9">
        <v>158</v>
      </c>
      <c r="E9">
        <v>107.6</v>
      </c>
      <c r="F9">
        <v>45.7</v>
      </c>
      <c r="G9">
        <v>66.900000000000006</v>
      </c>
      <c r="H9">
        <v>104</v>
      </c>
      <c r="I9">
        <v>6.6</v>
      </c>
      <c r="J9">
        <v>46.5</v>
      </c>
      <c r="K9">
        <v>37.4</v>
      </c>
      <c r="L9">
        <v>91.7</v>
      </c>
    </row>
    <row r="10" spans="1:12" x14ac:dyDescent="0.25">
      <c r="A10" t="s">
        <v>124</v>
      </c>
      <c r="B10" t="s">
        <v>99</v>
      </c>
      <c r="C10" t="s">
        <v>100</v>
      </c>
      <c r="D10">
        <v>161.69999999999999</v>
      </c>
      <c r="E10">
        <v>97.7</v>
      </c>
      <c r="F10">
        <v>59.1</v>
      </c>
      <c r="G10">
        <v>66.8</v>
      </c>
      <c r="H10">
        <v>90.1</v>
      </c>
      <c r="I10">
        <v>10</v>
      </c>
      <c r="J10">
        <v>37.9</v>
      </c>
      <c r="K10">
        <v>42.1</v>
      </c>
      <c r="L10">
        <v>97.1</v>
      </c>
    </row>
    <row r="11" spans="1:12" x14ac:dyDescent="0.25">
      <c r="A11" t="s">
        <v>125</v>
      </c>
      <c r="B11" t="s">
        <v>120</v>
      </c>
      <c r="C11" t="s">
        <v>121</v>
      </c>
      <c r="D11">
        <v>161.19999999999999</v>
      </c>
      <c r="E11">
        <v>110.2</v>
      </c>
      <c r="F11">
        <v>48.5</v>
      </c>
      <c r="G11">
        <v>66.400000000000006</v>
      </c>
      <c r="H11">
        <v>82.6</v>
      </c>
      <c r="I11">
        <v>5.2</v>
      </c>
      <c r="J11">
        <v>36.6</v>
      </c>
      <c r="K11">
        <v>43.8</v>
      </c>
      <c r="L11">
        <v>81.900000000000006</v>
      </c>
    </row>
    <row r="12" spans="1:12" x14ac:dyDescent="0.25">
      <c r="A12" t="s">
        <v>86</v>
      </c>
      <c r="B12" t="s">
        <v>87</v>
      </c>
      <c r="C12" t="s">
        <v>88</v>
      </c>
      <c r="D12">
        <v>141.30000000000001</v>
      </c>
      <c r="E12">
        <v>111.4</v>
      </c>
      <c r="F12">
        <v>34</v>
      </c>
      <c r="G12">
        <v>65.7</v>
      </c>
      <c r="H12">
        <v>88.8</v>
      </c>
      <c r="I12">
        <v>5.4</v>
      </c>
      <c r="J12">
        <v>42</v>
      </c>
      <c r="K12">
        <v>50</v>
      </c>
      <c r="L12">
        <v>66.099999999999994</v>
      </c>
    </row>
    <row r="13" spans="1:12" x14ac:dyDescent="0.25">
      <c r="A13" t="s">
        <v>98</v>
      </c>
      <c r="B13" t="s">
        <v>99</v>
      </c>
      <c r="C13" t="s">
        <v>100</v>
      </c>
      <c r="D13">
        <v>139.9</v>
      </c>
      <c r="E13">
        <v>109.2</v>
      </c>
      <c r="F13">
        <v>38</v>
      </c>
      <c r="G13">
        <v>63.9</v>
      </c>
      <c r="H13">
        <v>106.8</v>
      </c>
      <c r="I13">
        <v>9</v>
      </c>
      <c r="J13">
        <v>52.1</v>
      </c>
      <c r="K13">
        <v>52.5</v>
      </c>
      <c r="L13">
        <v>97.3</v>
      </c>
    </row>
    <row r="14" spans="1:12" x14ac:dyDescent="0.25">
      <c r="A14" t="s">
        <v>126</v>
      </c>
      <c r="B14" t="s">
        <v>105</v>
      </c>
      <c r="C14" t="s">
        <v>106</v>
      </c>
      <c r="D14">
        <v>151.5</v>
      </c>
      <c r="E14">
        <v>87.5</v>
      </c>
      <c r="F14">
        <v>46.7</v>
      </c>
      <c r="G14">
        <v>63.9</v>
      </c>
      <c r="H14">
        <v>81.400000000000006</v>
      </c>
      <c r="I14">
        <v>5.5</v>
      </c>
      <c r="J14">
        <v>43.1</v>
      </c>
      <c r="K14">
        <v>38.700000000000003</v>
      </c>
      <c r="L14">
        <v>85.7</v>
      </c>
    </row>
    <row r="15" spans="1:12" x14ac:dyDescent="0.25">
      <c r="A15" t="s">
        <v>127</v>
      </c>
      <c r="B15" t="s">
        <v>105</v>
      </c>
      <c r="C15" t="s">
        <v>106</v>
      </c>
      <c r="D15">
        <v>169.6</v>
      </c>
      <c r="E15">
        <v>107.1</v>
      </c>
      <c r="F15">
        <v>50.6</v>
      </c>
      <c r="G15">
        <v>63.1</v>
      </c>
      <c r="H15">
        <v>74.3</v>
      </c>
      <c r="I15">
        <v>4.2</v>
      </c>
      <c r="J15">
        <v>36.299999999999997</v>
      </c>
      <c r="K15">
        <v>34.5</v>
      </c>
      <c r="L15">
        <v>87.2</v>
      </c>
    </row>
    <row r="16" spans="1:12" x14ac:dyDescent="0.25">
      <c r="A16" t="s">
        <v>95</v>
      </c>
      <c r="B16" t="s">
        <v>96</v>
      </c>
      <c r="C16" t="s">
        <v>97</v>
      </c>
      <c r="D16">
        <v>135.80000000000001</v>
      </c>
      <c r="E16">
        <v>100</v>
      </c>
      <c r="F16">
        <v>50</v>
      </c>
      <c r="G16">
        <v>62.5</v>
      </c>
      <c r="H16">
        <v>100</v>
      </c>
      <c r="I16">
        <v>10.3</v>
      </c>
      <c r="J16">
        <v>43.6</v>
      </c>
      <c r="K16">
        <v>57.9</v>
      </c>
      <c r="L16">
        <v>79.7</v>
      </c>
    </row>
    <row r="17" spans="1:12" x14ac:dyDescent="0.25">
      <c r="A17" t="s">
        <v>128</v>
      </c>
      <c r="B17" t="s">
        <v>99</v>
      </c>
      <c r="C17" t="s">
        <v>100</v>
      </c>
      <c r="D17">
        <v>134.1</v>
      </c>
      <c r="E17">
        <v>108.9</v>
      </c>
      <c r="F17">
        <v>47.2</v>
      </c>
      <c r="G17">
        <v>61.8</v>
      </c>
      <c r="H17">
        <v>89.8</v>
      </c>
      <c r="I17">
        <v>7.5</v>
      </c>
      <c r="J17">
        <v>57.8</v>
      </c>
      <c r="K17">
        <v>66.400000000000006</v>
      </c>
      <c r="L17">
        <v>95.5</v>
      </c>
    </row>
    <row r="18" spans="1:12" x14ac:dyDescent="0.25">
      <c r="A18" t="s">
        <v>92</v>
      </c>
      <c r="B18" t="s">
        <v>93</v>
      </c>
      <c r="C18" t="s">
        <v>94</v>
      </c>
      <c r="D18">
        <v>146.1</v>
      </c>
      <c r="E18">
        <v>106.1</v>
      </c>
      <c r="F18">
        <v>44.4</v>
      </c>
      <c r="G18">
        <v>54.5</v>
      </c>
      <c r="H18">
        <v>73.2</v>
      </c>
      <c r="I18">
        <v>3.4</v>
      </c>
      <c r="J18">
        <v>27</v>
      </c>
      <c r="K18">
        <v>52.9</v>
      </c>
      <c r="L18">
        <v>57.4</v>
      </c>
    </row>
    <row r="19" spans="1:12" x14ac:dyDescent="0.25">
      <c r="A19" t="s">
        <v>129</v>
      </c>
      <c r="B19" t="s">
        <v>99</v>
      </c>
      <c r="C19" t="s">
        <v>100</v>
      </c>
      <c r="D19">
        <v>147.69999999999999</v>
      </c>
      <c r="E19">
        <v>109.8</v>
      </c>
      <c r="F19">
        <v>49.7</v>
      </c>
      <c r="G19">
        <v>64.2</v>
      </c>
      <c r="H19">
        <v>108.3</v>
      </c>
      <c r="I19">
        <v>10.1</v>
      </c>
      <c r="J19">
        <v>42.8</v>
      </c>
      <c r="K19">
        <v>54.4</v>
      </c>
      <c r="L19">
        <v>95.5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1098B-F4C1-48C1-881E-355AA6EF5451}">
  <sheetPr codeName="Sheet14"/>
  <dimension ref="A1:K13"/>
  <sheetViews>
    <sheetView topLeftCell="C1" workbookViewId="0">
      <selection activeCell="G21" sqref="G21"/>
    </sheetView>
  </sheetViews>
  <sheetFormatPr defaultRowHeight="15" x14ac:dyDescent="0.25"/>
  <cols>
    <col min="1" max="1" width="14.7109375" bestFit="1" customWidth="1"/>
    <col min="2" max="2" width="20.85546875" bestFit="1" customWidth="1"/>
    <col min="3" max="3" width="20.42578125" bestFit="1" customWidth="1"/>
    <col min="5" max="5" width="13" customWidth="1"/>
    <col min="6" max="6" width="22.7109375" customWidth="1"/>
    <col min="7" max="7" width="22.28515625" customWidth="1"/>
    <col min="9" max="9" width="13.140625" bestFit="1" customWidth="1"/>
    <col min="10" max="10" width="23.140625" bestFit="1" customWidth="1"/>
    <col min="11" max="11" width="22.7109375" bestFit="1" customWidth="1"/>
  </cols>
  <sheetData>
    <row r="1" spans="1:11" x14ac:dyDescent="0.25">
      <c r="A1" s="2" t="s">
        <v>11</v>
      </c>
      <c r="B1" t="s">
        <v>138</v>
      </c>
    </row>
    <row r="3" spans="1:11" x14ac:dyDescent="0.25">
      <c r="A3" s="2" t="s">
        <v>139</v>
      </c>
      <c r="B3" t="s">
        <v>140</v>
      </c>
      <c r="C3" t="s">
        <v>141</v>
      </c>
      <c r="E3" t="s">
        <v>139</v>
      </c>
      <c r="F3" t="s">
        <v>140</v>
      </c>
      <c r="G3" t="s">
        <v>141</v>
      </c>
    </row>
    <row r="4" spans="1:11" x14ac:dyDescent="0.25">
      <c r="A4" s="3" t="s">
        <v>1</v>
      </c>
      <c r="B4">
        <v>73</v>
      </c>
      <c r="C4">
        <v>54</v>
      </c>
      <c r="E4" t="str">
        <f t="shared" ref="E4:E12" si="0">A4</f>
        <v>Atlanta</v>
      </c>
      <c r="F4">
        <f t="shared" ref="F4:F12" si="1">B4</f>
        <v>73</v>
      </c>
      <c r="G4">
        <f t="shared" ref="G4:G12" si="2">C4</f>
        <v>54</v>
      </c>
      <c r="I4" t="s">
        <v>139</v>
      </c>
      <c r="J4" t="s">
        <v>140</v>
      </c>
      <c r="K4" t="s">
        <v>141</v>
      </c>
    </row>
    <row r="5" spans="1:11" x14ac:dyDescent="0.25">
      <c r="A5" s="3" t="s">
        <v>83</v>
      </c>
      <c r="B5">
        <v>59</v>
      </c>
      <c r="C5">
        <v>45</v>
      </c>
      <c r="E5" t="str">
        <f t="shared" si="0"/>
        <v>Boston</v>
      </c>
      <c r="F5">
        <f t="shared" si="1"/>
        <v>59</v>
      </c>
      <c r="G5">
        <f t="shared" si="2"/>
        <v>45</v>
      </c>
      <c r="I5" t="s">
        <v>1</v>
      </c>
      <c r="J5">
        <v>73</v>
      </c>
      <c r="K5">
        <v>54</v>
      </c>
    </row>
    <row r="6" spans="1:11" x14ac:dyDescent="0.25">
      <c r="A6" s="3" t="s">
        <v>86</v>
      </c>
      <c r="B6">
        <v>61</v>
      </c>
      <c r="C6">
        <v>44</v>
      </c>
      <c r="E6" t="str">
        <f t="shared" si="0"/>
        <v>Chicago</v>
      </c>
      <c r="F6">
        <f t="shared" si="1"/>
        <v>61</v>
      </c>
      <c r="G6">
        <f t="shared" si="2"/>
        <v>44</v>
      </c>
      <c r="I6" t="s">
        <v>83</v>
      </c>
      <c r="J6">
        <v>59</v>
      </c>
      <c r="K6">
        <v>45</v>
      </c>
    </row>
    <row r="7" spans="1:11" x14ac:dyDescent="0.25">
      <c r="A7" s="3" t="s">
        <v>89</v>
      </c>
      <c r="B7">
        <v>66</v>
      </c>
      <c r="C7">
        <v>37</v>
      </c>
      <c r="E7" t="str">
        <f t="shared" si="0"/>
        <v>Denver</v>
      </c>
      <c r="F7">
        <f t="shared" si="1"/>
        <v>66</v>
      </c>
      <c r="G7">
        <f t="shared" si="2"/>
        <v>37</v>
      </c>
      <c r="I7" t="s">
        <v>86</v>
      </c>
      <c r="J7">
        <v>61</v>
      </c>
      <c r="K7">
        <v>44</v>
      </c>
    </row>
    <row r="8" spans="1:11" x14ac:dyDescent="0.25">
      <c r="A8" s="3" t="s">
        <v>92</v>
      </c>
      <c r="B8">
        <v>81</v>
      </c>
      <c r="C8">
        <v>60</v>
      </c>
      <c r="E8" t="str">
        <f t="shared" si="0"/>
        <v>Las Vegas</v>
      </c>
      <c r="F8">
        <f t="shared" si="1"/>
        <v>81</v>
      </c>
      <c r="G8">
        <f t="shared" si="2"/>
        <v>60</v>
      </c>
      <c r="I8" t="s">
        <v>89</v>
      </c>
      <c r="J8">
        <v>66</v>
      </c>
      <c r="K8">
        <v>37</v>
      </c>
    </row>
    <row r="9" spans="1:11" x14ac:dyDescent="0.25">
      <c r="A9" s="3" t="s">
        <v>95</v>
      </c>
      <c r="B9">
        <v>63</v>
      </c>
      <c r="C9">
        <v>49</v>
      </c>
      <c r="E9" t="str">
        <f t="shared" si="0"/>
        <v>New York</v>
      </c>
      <c r="F9">
        <f t="shared" si="1"/>
        <v>63</v>
      </c>
      <c r="G9">
        <f t="shared" si="2"/>
        <v>49</v>
      </c>
      <c r="I9" t="s">
        <v>92</v>
      </c>
      <c r="J9">
        <v>81</v>
      </c>
      <c r="K9">
        <v>60</v>
      </c>
    </row>
    <row r="10" spans="1:11" x14ac:dyDescent="0.25">
      <c r="A10" s="3" t="s">
        <v>98</v>
      </c>
      <c r="B10">
        <v>64</v>
      </c>
      <c r="C10">
        <v>51</v>
      </c>
      <c r="E10" t="str">
        <f t="shared" si="0"/>
        <v>San Francisco</v>
      </c>
      <c r="F10">
        <f t="shared" si="1"/>
        <v>64</v>
      </c>
      <c r="G10">
        <f t="shared" si="2"/>
        <v>51</v>
      </c>
      <c r="I10" t="s">
        <v>95</v>
      </c>
      <c r="J10">
        <v>63</v>
      </c>
      <c r="K10">
        <v>49</v>
      </c>
    </row>
    <row r="11" spans="1:11" x14ac:dyDescent="0.25">
      <c r="A11" s="3" t="s">
        <v>101</v>
      </c>
      <c r="B11">
        <v>61</v>
      </c>
      <c r="C11">
        <v>46</v>
      </c>
      <c r="E11" t="str">
        <f t="shared" si="0"/>
        <v>Seattle</v>
      </c>
      <c r="F11">
        <f t="shared" si="1"/>
        <v>61</v>
      </c>
      <c r="G11">
        <f t="shared" si="2"/>
        <v>46</v>
      </c>
      <c r="I11" t="s">
        <v>98</v>
      </c>
      <c r="J11">
        <v>64</v>
      </c>
      <c r="K11">
        <v>51</v>
      </c>
    </row>
    <row r="12" spans="1:11" x14ac:dyDescent="0.25">
      <c r="A12" s="3" t="s">
        <v>104</v>
      </c>
      <c r="B12">
        <v>83</v>
      </c>
      <c r="C12">
        <v>66</v>
      </c>
      <c r="E12" t="str">
        <f t="shared" si="0"/>
        <v>Tampa</v>
      </c>
      <c r="F12">
        <f t="shared" si="1"/>
        <v>83</v>
      </c>
      <c r="G12">
        <f t="shared" si="2"/>
        <v>66</v>
      </c>
      <c r="I12" t="s">
        <v>101</v>
      </c>
      <c r="J12">
        <v>61</v>
      </c>
      <c r="K12">
        <v>46</v>
      </c>
    </row>
    <row r="13" spans="1:11" x14ac:dyDescent="0.25">
      <c r="A13" s="3" t="s">
        <v>118</v>
      </c>
      <c r="B13">
        <v>611</v>
      </c>
      <c r="C13">
        <v>452</v>
      </c>
      <c r="I13" t="s">
        <v>104</v>
      </c>
      <c r="J13">
        <v>83</v>
      </c>
      <c r="K13">
        <v>66</v>
      </c>
    </row>
  </sheetData>
  <conditionalFormatting pivot="1" sqref="B4:C12">
    <cfRule type="colorScale" priority="1">
      <colorScale>
        <cfvo type="min"/>
        <cfvo type="percentile" val="50"/>
        <cfvo type="max"/>
        <color rgb="FF63BE7B"/>
        <color rgb="FFFFEB84"/>
        <color rgb="FFF8696B"/>
      </colorScale>
    </cfRule>
  </conditionalFormatting>
  <pageMargins left="0.7" right="0.7" top="0.75" bottom="0.75" header="0.3" footer="0.3"/>
  <tableParts count="2">
    <tablePart r:id="rId2"/>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B60CC-8C72-4708-9CF2-57B34312279C}">
  <sheetPr codeName="Sheet15"/>
  <dimension ref="A3:G13"/>
  <sheetViews>
    <sheetView workbookViewId="0">
      <selection activeCell="G21" sqref="G21"/>
    </sheetView>
  </sheetViews>
  <sheetFormatPr defaultRowHeight="15" x14ac:dyDescent="0.25"/>
  <cols>
    <col min="1" max="1" width="13.140625" bestFit="1" customWidth="1"/>
    <col min="2" max="2" width="15.140625" bestFit="1" customWidth="1"/>
    <col min="3" max="3" width="12.42578125" bestFit="1" customWidth="1"/>
    <col min="4" max="4" width="20.140625" bestFit="1" customWidth="1"/>
    <col min="5" max="5" width="12.7109375" bestFit="1" customWidth="1"/>
    <col min="6" max="6" width="12.5703125" bestFit="1" customWidth="1"/>
    <col min="7" max="7" width="11.5703125" bestFit="1" customWidth="1"/>
  </cols>
  <sheetData>
    <row r="3" spans="1:7" x14ac:dyDescent="0.25">
      <c r="A3" s="2" t="s">
        <v>139</v>
      </c>
      <c r="B3" t="s">
        <v>145</v>
      </c>
      <c r="C3" t="s">
        <v>146</v>
      </c>
      <c r="E3" t="str">
        <f t="shared" ref="E3:E12" si="0">A3</f>
        <v>Row Labels</v>
      </c>
      <c r="F3" t="str">
        <f t="shared" ref="F3:F12" si="1">B3</f>
        <v xml:space="preserve">Pollution Index </v>
      </c>
      <c r="G3" t="str">
        <f t="shared" ref="G3:G12" si="2">C3</f>
        <v xml:space="preserve">Traffic Index </v>
      </c>
    </row>
    <row r="4" spans="1:7" x14ac:dyDescent="0.25">
      <c r="A4" s="3" t="s">
        <v>1</v>
      </c>
      <c r="B4" s="1">
        <v>3.068965517241379</v>
      </c>
      <c r="C4" s="1">
        <v>3.1319648093841637</v>
      </c>
      <c r="E4" t="str">
        <f t="shared" si="0"/>
        <v>Atlanta</v>
      </c>
      <c r="F4" s="1">
        <f t="shared" si="1"/>
        <v>3.068965517241379</v>
      </c>
      <c r="G4" s="1">
        <f t="shared" si="2"/>
        <v>3.1319648093841637</v>
      </c>
    </row>
    <row r="5" spans="1:7" x14ac:dyDescent="0.25">
      <c r="A5" s="3" t="s">
        <v>83</v>
      </c>
      <c r="B5" s="1">
        <v>1</v>
      </c>
      <c r="C5" s="1">
        <v>3.6246334310850439</v>
      </c>
      <c r="E5" t="str">
        <f t="shared" si="0"/>
        <v>Boston</v>
      </c>
      <c r="F5" s="1">
        <f t="shared" si="1"/>
        <v>1</v>
      </c>
      <c r="G5" s="1">
        <f t="shared" si="2"/>
        <v>3.6246334310850439</v>
      </c>
    </row>
    <row r="6" spans="1:7" x14ac:dyDescent="0.25">
      <c r="A6" s="3" t="s">
        <v>86</v>
      </c>
      <c r="B6" s="1">
        <v>3.789272030651341</v>
      </c>
      <c r="C6" s="1">
        <v>2.9208211143695015</v>
      </c>
      <c r="E6" t="str">
        <f t="shared" si="0"/>
        <v>Chicago</v>
      </c>
      <c r="F6" s="1">
        <f t="shared" si="1"/>
        <v>3.789272030651341</v>
      </c>
      <c r="G6" s="1">
        <f t="shared" si="2"/>
        <v>2.9208211143695015</v>
      </c>
    </row>
    <row r="7" spans="1:7" x14ac:dyDescent="0.25">
      <c r="A7" s="3" t="s">
        <v>89</v>
      </c>
      <c r="B7" s="1">
        <v>2.946360153256705</v>
      </c>
      <c r="C7" s="1">
        <v>2.4193548387096775</v>
      </c>
      <c r="E7" t="str">
        <f t="shared" si="0"/>
        <v>Denver</v>
      </c>
      <c r="F7" s="1">
        <f t="shared" si="1"/>
        <v>2.946360153256705</v>
      </c>
      <c r="G7" s="1">
        <f t="shared" si="2"/>
        <v>2.4193548387096775</v>
      </c>
    </row>
    <row r="8" spans="1:7" x14ac:dyDescent="0.25">
      <c r="A8" s="3" t="s">
        <v>92</v>
      </c>
      <c r="B8" s="1">
        <v>4.2337164750957852</v>
      </c>
      <c r="C8" s="1">
        <v>1</v>
      </c>
      <c r="E8" t="str">
        <f t="shared" si="0"/>
        <v>Las Vegas</v>
      </c>
      <c r="F8" s="1">
        <f t="shared" si="1"/>
        <v>4.2337164750957852</v>
      </c>
      <c r="G8" s="1">
        <f t="shared" si="2"/>
        <v>1</v>
      </c>
    </row>
    <row r="9" spans="1:7" x14ac:dyDescent="0.25">
      <c r="A9" s="3" t="s">
        <v>95</v>
      </c>
      <c r="B9" s="1">
        <v>5</v>
      </c>
      <c r="C9" s="1">
        <v>2.2170087976539588</v>
      </c>
      <c r="E9" t="str">
        <f t="shared" si="0"/>
        <v>New York</v>
      </c>
      <c r="F9" s="1">
        <f t="shared" si="1"/>
        <v>5</v>
      </c>
      <c r="G9" s="1">
        <f t="shared" si="2"/>
        <v>2.2170087976539588</v>
      </c>
    </row>
    <row r="10" spans="1:7" x14ac:dyDescent="0.25">
      <c r="A10" s="3" t="s">
        <v>98</v>
      </c>
      <c r="B10" s="1">
        <v>4.1724137931034484</v>
      </c>
      <c r="C10" s="1">
        <v>5</v>
      </c>
      <c r="E10" t="str">
        <f t="shared" si="0"/>
        <v>San Francisco</v>
      </c>
      <c r="F10" s="1">
        <f t="shared" si="1"/>
        <v>4.1724137931034484</v>
      </c>
      <c r="G10" s="1">
        <f t="shared" si="2"/>
        <v>5</v>
      </c>
    </row>
    <row r="11" spans="1:7" x14ac:dyDescent="0.25">
      <c r="A11" s="3" t="s">
        <v>101</v>
      </c>
      <c r="B11" s="1">
        <v>1.85823754789272</v>
      </c>
      <c r="C11" s="1">
        <v>3.8533724340175945</v>
      </c>
      <c r="E11" t="str">
        <f t="shared" si="0"/>
        <v>Seattle</v>
      </c>
      <c r="F11" s="1">
        <f t="shared" si="1"/>
        <v>1.85823754789272</v>
      </c>
      <c r="G11" s="1">
        <f t="shared" si="2"/>
        <v>3.8533724340175945</v>
      </c>
    </row>
    <row r="12" spans="1:7" x14ac:dyDescent="0.25">
      <c r="A12" s="3" t="s">
        <v>104</v>
      </c>
      <c r="B12" s="1">
        <v>1.2605363984674329</v>
      </c>
      <c r="C12" s="1">
        <v>2.4809384164222874</v>
      </c>
      <c r="E12" t="str">
        <f t="shared" si="0"/>
        <v>Tampa</v>
      </c>
      <c r="F12" s="1">
        <f t="shared" si="1"/>
        <v>1.2605363984674329</v>
      </c>
      <c r="G12" s="1">
        <f t="shared" si="2"/>
        <v>2.4809384164222874</v>
      </c>
    </row>
    <row r="13" spans="1:7" x14ac:dyDescent="0.25">
      <c r="A13" s="3" t="s">
        <v>118</v>
      </c>
      <c r="B13" s="1">
        <v>27.329501915708814</v>
      </c>
      <c r="C13" s="1">
        <v>26.648093841642225</v>
      </c>
      <c r="F13" s="1"/>
      <c r="G13" s="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9CAE4-392A-4F83-86B1-405D439E8D33}">
  <sheetPr codeName="Sheet16"/>
  <dimension ref="A1:E13"/>
  <sheetViews>
    <sheetView workbookViewId="0">
      <selection activeCell="G21" sqref="G21"/>
    </sheetView>
  </sheetViews>
  <sheetFormatPr defaultRowHeight="15" x14ac:dyDescent="0.25"/>
  <cols>
    <col min="1" max="1" width="14.7109375" bestFit="1" customWidth="1"/>
    <col min="2" max="2" width="11.5703125" bestFit="1" customWidth="1"/>
    <col min="3" max="3" width="18.7109375" bestFit="1" customWidth="1"/>
    <col min="4" max="4" width="20.5703125" bestFit="1" customWidth="1"/>
  </cols>
  <sheetData>
    <row r="1" spans="1:5" x14ac:dyDescent="0.25">
      <c r="A1" s="2" t="s">
        <v>11</v>
      </c>
      <c r="B1" t="s">
        <v>138</v>
      </c>
      <c r="E1" t="s">
        <v>152</v>
      </c>
    </row>
    <row r="2" spans="1:5" x14ac:dyDescent="0.25">
      <c r="E2" s="42" t="s">
        <v>1</v>
      </c>
    </row>
    <row r="3" spans="1:5" x14ac:dyDescent="0.25">
      <c r="A3" s="2" t="s">
        <v>139</v>
      </c>
      <c r="B3" t="s">
        <v>143</v>
      </c>
      <c r="C3" t="s">
        <v>144</v>
      </c>
      <c r="E3" s="43" t="s">
        <v>83</v>
      </c>
    </row>
    <row r="4" spans="1:5" x14ac:dyDescent="0.25">
      <c r="A4" s="3" t="s">
        <v>1</v>
      </c>
      <c r="B4" s="8">
        <v>5727.52</v>
      </c>
      <c r="C4" s="8">
        <v>935.72</v>
      </c>
      <c r="E4" s="42" t="s">
        <v>86</v>
      </c>
    </row>
    <row r="5" spans="1:5" x14ac:dyDescent="0.25">
      <c r="A5" s="3" t="s">
        <v>83</v>
      </c>
      <c r="B5" s="8">
        <v>2758.22</v>
      </c>
      <c r="C5" s="8">
        <v>669.2</v>
      </c>
      <c r="E5" s="43" t="s">
        <v>89</v>
      </c>
    </row>
    <row r="6" spans="1:5" x14ac:dyDescent="0.25">
      <c r="A6" s="3" t="s">
        <v>86</v>
      </c>
      <c r="B6" s="8">
        <v>4381.6499999999996</v>
      </c>
      <c r="C6" s="8">
        <v>1098.8599999999999</v>
      </c>
      <c r="E6" s="42" t="s">
        <v>92</v>
      </c>
    </row>
    <row r="7" spans="1:5" x14ac:dyDescent="0.25">
      <c r="A7" s="3" t="s">
        <v>89</v>
      </c>
      <c r="B7" s="8">
        <v>4360.93</v>
      </c>
      <c r="C7" s="8">
        <v>675.61</v>
      </c>
      <c r="E7" s="43" t="s">
        <v>147</v>
      </c>
    </row>
    <row r="8" spans="1:5" x14ac:dyDescent="0.25">
      <c r="A8" s="3" t="s">
        <v>92</v>
      </c>
      <c r="B8" s="8">
        <v>3567.87</v>
      </c>
      <c r="C8" s="8">
        <v>618.9</v>
      </c>
      <c r="E8" s="42" t="s">
        <v>98</v>
      </c>
    </row>
    <row r="9" spans="1:5" x14ac:dyDescent="0.25">
      <c r="A9" s="3" t="s">
        <v>95</v>
      </c>
      <c r="B9" s="8">
        <v>1987.49</v>
      </c>
      <c r="C9" s="8">
        <v>538.9</v>
      </c>
      <c r="E9" s="43" t="s">
        <v>101</v>
      </c>
    </row>
    <row r="10" spans="1:5" x14ac:dyDescent="0.25">
      <c r="A10" s="3" t="s">
        <v>98</v>
      </c>
      <c r="B10" s="8">
        <v>6917.4</v>
      </c>
      <c r="C10" s="8">
        <v>715</v>
      </c>
      <c r="E10" s="44" t="s">
        <v>104</v>
      </c>
    </row>
    <row r="11" spans="1:5" x14ac:dyDescent="0.25">
      <c r="A11" s="3" t="s">
        <v>101</v>
      </c>
      <c r="B11" s="8">
        <v>5911.99</v>
      </c>
      <c r="C11" s="8">
        <v>632.69000000000005</v>
      </c>
    </row>
    <row r="12" spans="1:5" x14ac:dyDescent="0.25">
      <c r="A12" s="3" t="s">
        <v>104</v>
      </c>
      <c r="B12" s="8">
        <v>2218.2399999999998</v>
      </c>
      <c r="C12" s="8">
        <v>464.41</v>
      </c>
    </row>
    <row r="13" spans="1:5" x14ac:dyDescent="0.25">
      <c r="A13" s="3" t="s">
        <v>118</v>
      </c>
      <c r="B13">
        <v>37831.31</v>
      </c>
      <c r="C13">
        <v>6349.2899999999991</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xml version="1.0" encoding="utf-8"?>
<ct:contentTypeSchema xmlns:ct="http://schemas.microsoft.com/office/2006/metadata/contentType" xmlns:ma="http://schemas.microsoft.com/office/2006/metadata/properties/metaAttributes" ct:_="" ma:_="" ma:contentTypeName="Document" ma:contentTypeID="0x0101008F47A7922324D547A1BC39DE4C551C22" ma:contentTypeVersion="12" ma:contentTypeDescription="Create a new document." ma:contentTypeScope="" ma:versionID="de19d059a400440a714294613421f3d4">
  <xsd:schema xmlns:xsd="http://www.w3.org/2001/XMLSchema" xmlns:xs="http://www.w3.org/2001/XMLSchema" xmlns:p="http://schemas.microsoft.com/office/2006/metadata/properties" xmlns:ns3="fe340c6b-2fba-4de6-9abf-29db0454fe2b" xmlns:ns4="0d0d8b98-5717-42a2-9d61-d2a7ed6391db" targetNamespace="http://schemas.microsoft.com/office/2006/metadata/properties" ma:root="true" ma:fieldsID="648ece9824ccd7a8aa668769c97358a5" ns3:_="" ns4:_="">
    <xsd:import namespace="fe340c6b-2fba-4de6-9abf-29db0454fe2b"/>
    <xsd:import namespace="0d0d8b98-5717-42a2-9d61-d2a7ed6391db"/>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ServiceAutoTags" minOccurs="0"/>
                <xsd:element ref="ns3:MediaServiceOCR" minOccurs="0"/>
                <xsd:element ref="ns3:_activity"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e340c6b-2fba-4de6-9abf-29db0454fe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6" nillable="true" ma:displayName="_activity" ma:hidden="true" ma:internalName="_activity">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d0d8b98-5717-42a2-9d61-d2a7ed6391db"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SharingHintHash" ma:index="19"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1.xml>�� 
</file>

<file path=customXml/item12.xml>�� 
</file>

<file path=customXml/item13.xml>�� 
</file>

<file path=customXml/item14.xml>�� 
</file>

<file path=customXml/item15.xml>�� 
</file>

<file path=customXml/item16.xml>�� 
</file>

<file path=customXml/item17.xml><?xml version="1.0" encoding="utf-8"?>
<?mso-contentType ?>
<FormTemplates xmlns="http://schemas.microsoft.com/sharepoint/v3/contenttype/forms">
  <Display>DocumentLibraryForm</Display>
  <Edit>DocumentLibraryForm</Edit>
  <New>DocumentLibraryForm</New>
</FormTemplates>
</file>

<file path=customXml/item18.xml>�� 
</file>

<file path=customXml/item19.xml>�� 
</file>

<file path=customXml/item20.xml><?xml version="1.0" encoding="utf-8"?>
<p:properties xmlns:p="http://schemas.microsoft.com/office/2006/metadata/properties" xmlns:xsi="http://www.w3.org/2001/XMLSchema-instance" xmlns:pc="http://schemas.microsoft.com/office/infopath/2007/PartnerControls">
  <documentManagement>
    <_activity xmlns="fe340c6b-2fba-4de6-9abf-29db0454fe2b" xsi:nil="true"/>
  </documentManagement>
</p:properties>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46A57841-1D78-4ECF-BE03-5DBEBA7C2671}">
  <ds:schemaRefs>
    <ds:schemaRef ds:uri="http://gemini/pivotcustomization/ClientWindowXML"/>
  </ds:schemaRefs>
</ds:datastoreItem>
</file>

<file path=customXml/itemProps2.xml><?xml version="1.0" encoding="utf-8"?>
<ds:datastoreItem xmlns:ds="http://schemas.openxmlformats.org/officeDocument/2006/customXml" ds:itemID="{D70AC29E-65F5-4B7A-85B2-FF77D5CCB431}">
  <ds:schemaRefs>
    <ds:schemaRef ds:uri="http://gemini/pivotcustomization/ShowImplicitMeasures"/>
  </ds:schemaRefs>
</ds:datastoreItem>
</file>

<file path=customXml/itemProps3.xml><?xml version="1.0" encoding="utf-8"?>
<ds:datastoreItem xmlns:ds="http://schemas.openxmlformats.org/officeDocument/2006/customXml" ds:itemID="{C189A3AC-ECEC-4266-A5F5-0479E30718E2}">
  <ds:schemaRefs>
    <ds:schemaRef ds:uri="http://gemini/pivotcustomization/TableXML_Quality_Life_1 1_0534c901-c0f2-4e6c-94d8-9c8b92f3d3ea"/>
  </ds:schemaRefs>
</ds:datastoreItem>
</file>

<file path=customXml/itemProps4.xml><?xml version="1.0" encoding="utf-8"?>
<ds:datastoreItem xmlns:ds="http://schemas.openxmlformats.org/officeDocument/2006/customXml" ds:itemID="{F7C82DFA-67BC-44BF-A01D-A10F4E556867}">
  <ds:schemaRefs>
    <ds:schemaRef ds:uri="http://gemini/pivotcustomization/IsSandboxEmbedded"/>
  </ds:schemaRefs>
</ds:datastoreItem>
</file>

<file path=customXml/itemProps5.xml><?xml version="1.0" encoding="utf-8"?>
<ds:datastoreItem xmlns:ds="http://schemas.openxmlformats.org/officeDocument/2006/customXml" ds:itemID="{7DF7C195-1979-4B13-ABA5-AF8C36E65B24}">
  <ds:schemaRefs>
    <ds:schemaRef ds:uri="http://gemini/pivotcustomization/TableWidget"/>
  </ds:schemaRefs>
</ds:datastoreItem>
</file>

<file path=customXml/itemProps6.xml><?xml version="1.0" encoding="utf-8"?>
<ds:datastoreItem xmlns:ds="http://schemas.openxmlformats.org/officeDocument/2006/customXml" ds:itemID="{280FAD8F-9EE7-47DC-B484-64A6521888CF}">
  <ds:schemaRefs>
    <ds:schemaRef ds:uri="http://gemini/pivotcustomization/TableOrder"/>
  </ds:schemaRefs>
</ds:datastoreItem>
</file>

<file path=customXml/itemProps7.xml><?xml version="1.0" encoding="utf-8"?>
<ds:datastoreItem xmlns:ds="http://schemas.openxmlformats.org/officeDocument/2006/customXml" ds:itemID="{2A44471C-3FAB-41B2-A34B-AC903ABC3A9E}">
  <ds:schemaRefs>
    <ds:schemaRef ds:uri="http://www.w3.org/2001/XMLSchema"/>
    <ds:schemaRef ds:uri="http://microsoft.data.visualization.Client.Excel.LState/1.0"/>
  </ds:schemaRefs>
</ds:datastoreItem>
</file>

<file path=customXml/itemProps8.xml><?xml version="1.0" encoding="utf-8"?>
<ds:datastoreItem xmlns:ds="http://schemas.openxmlformats.org/officeDocument/2006/customXml" ds:itemID="{FCF3611A-6CF9-4849-8398-D3CB96DEEECD}">
  <ds:schemaRefs>
    <ds:schemaRef ds:uri="http://gemini/pivotcustomization/SandboxNonEmpty"/>
  </ds:schemaRefs>
</ds:datastoreItem>
</file>

<file path=customXml/itemProps9.xml><?xml version="1.0" encoding="utf-8"?>
<ds:datastoreItem xmlns:ds="http://schemas.openxmlformats.org/officeDocument/2006/customXml" ds:itemID="{D66277A1-2D92-4FDB-AFD6-3CB05EB82DD9}">
  <ds:schemaRefs>
    <ds:schemaRef ds:uri="http://gemini/pivotcustomization/Diagrams"/>
  </ds:schemaRefs>
</ds:datastoreItem>
</file>

<file path=customXml/itemProps10.xml><?xml version="1.0" encoding="utf-8"?>
<ds:datastoreItem xmlns:ds="http://schemas.openxmlformats.org/officeDocument/2006/customXml" ds:itemID="{C655871F-4D1E-49F3-A201-7C5A3E7CF5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e340c6b-2fba-4de6-9abf-29db0454fe2b"/>
    <ds:schemaRef ds:uri="0d0d8b98-5717-42a2-9d61-d2a7ed6391d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1.xml><?xml version="1.0" encoding="utf-8"?>
<ds:datastoreItem xmlns:ds="http://schemas.openxmlformats.org/officeDocument/2006/customXml" ds:itemID="{258DFA88-A4F3-475E-B6C1-C3DCF26D7B6A}">
  <ds:schemaRefs>
    <ds:schemaRef ds:uri="http://gemini/pivotcustomization/ManualCalcMode"/>
  </ds:schemaRefs>
</ds:datastoreItem>
</file>

<file path=customXml/itemProps12.xml><?xml version="1.0" encoding="utf-8"?>
<ds:datastoreItem xmlns:ds="http://schemas.openxmlformats.org/officeDocument/2006/customXml" ds:itemID="{6F952898-3695-421C-8521-78F505628034}">
  <ds:schemaRefs>
    <ds:schemaRef ds:uri="http://gemini/pivotcustomization/PowerPivotVersion"/>
  </ds:schemaRefs>
</ds:datastoreItem>
</file>

<file path=customXml/itemProps13.xml><?xml version="1.0" encoding="utf-8"?>
<ds:datastoreItem xmlns:ds="http://schemas.openxmlformats.org/officeDocument/2006/customXml" ds:itemID="{4D846A38-A085-4200-BB74-31FB3ABEE512}">
  <ds:schemaRefs>
    <ds:schemaRef ds:uri="http://gemini/pivotcustomization/TableXML_Cost Of Living Power_8e5de91b-fc10-48de-8360-62234f214d7b"/>
  </ds:schemaRefs>
</ds:datastoreItem>
</file>

<file path=customXml/itemProps14.xml><?xml version="1.0" encoding="utf-8"?>
<ds:datastoreItem xmlns:ds="http://schemas.openxmlformats.org/officeDocument/2006/customXml" ds:itemID="{AD9A3B97-F0F7-4C70-BF4A-E1DDAAE7569E}">
  <ds:schemaRefs>
    <ds:schemaRef ds:uri="http://www.w3.org/2001/XMLSchema"/>
    <ds:schemaRef ds:uri="http://microsoft.data.visualization.engine.tours/1.0"/>
  </ds:schemaRefs>
</ds:datastoreItem>
</file>

<file path=customXml/itemProps15.xml><?xml version="1.0" encoding="utf-8"?>
<ds:datastoreItem xmlns:ds="http://schemas.openxmlformats.org/officeDocument/2006/customXml" ds:itemID="{5412F983-EBC8-43DA-A769-526C3940A2FD}">
  <ds:schemaRefs>
    <ds:schemaRef ds:uri="http://gemini/pivotcustomization/TableXML_Cost_Of_living_query_d386f884-0149-46a0-97fb-24fcb55d22fa"/>
  </ds:schemaRefs>
</ds:datastoreItem>
</file>

<file path=customXml/itemProps16.xml><?xml version="1.0" encoding="utf-8"?>
<ds:datastoreItem xmlns:ds="http://schemas.openxmlformats.org/officeDocument/2006/customXml" ds:itemID="{C7BBEFDB-7480-40CA-95DB-0074C19C874A}">
  <ds:schemaRefs>
    <ds:schemaRef ds:uri="http://gemini/pivotcustomization/FormulaBarState"/>
  </ds:schemaRefs>
</ds:datastoreItem>
</file>

<file path=customXml/itemProps17.xml><?xml version="1.0" encoding="utf-8"?>
<ds:datastoreItem xmlns:ds="http://schemas.openxmlformats.org/officeDocument/2006/customXml" ds:itemID="{66A9223E-EB35-4B73-B9A8-0FE038E6412D}">
  <ds:schemaRefs>
    <ds:schemaRef ds:uri="http://schemas.microsoft.com/sharepoint/v3/contenttype/forms"/>
  </ds:schemaRefs>
</ds:datastoreItem>
</file>

<file path=customXml/itemProps18.xml><?xml version="1.0" encoding="utf-8"?>
<ds:datastoreItem xmlns:ds="http://schemas.openxmlformats.org/officeDocument/2006/customXml" ds:itemID="{3BC695B0-AD5C-4A30-9452-3D4C86B84FC3}">
  <ds:schemaRefs>
    <ds:schemaRef ds:uri="http://schemas.microsoft.com/DataMashup"/>
  </ds:schemaRefs>
</ds:datastoreItem>
</file>

<file path=customXml/itemProps19.xml><?xml version="1.0" encoding="utf-8"?>
<ds:datastoreItem xmlns:ds="http://schemas.openxmlformats.org/officeDocument/2006/customXml" ds:itemID="{5436799F-1EFC-4EB5-B24D-F020C7F1654D}">
  <ds:schemaRefs>
    <ds:schemaRef ds:uri="http://gemini/pivotcustomization/RelationshipAutoDetectionEnabled"/>
  </ds:schemaRefs>
</ds:datastoreItem>
</file>

<file path=customXml/itemProps20.xml><?xml version="1.0" encoding="utf-8"?>
<ds:datastoreItem xmlns:ds="http://schemas.openxmlformats.org/officeDocument/2006/customXml" ds:itemID="{29BAF069-7717-4572-9262-A37A6DA7F9F1}">
  <ds:schemaRefs>
    <ds:schemaRef ds:uri="http://schemas.microsoft.com/office/2006/metadata/properties"/>
    <ds:schemaRef ds:uri="http://www.w3.org/XML/1998/namespace"/>
    <ds:schemaRef ds:uri="http://schemas.microsoft.com/office/infopath/2007/PartnerControls"/>
    <ds:schemaRef ds:uri="http://purl.org/dc/elements/1.1/"/>
    <ds:schemaRef ds:uri="http://purl.org/dc/dcmitype/"/>
    <ds:schemaRef ds:uri="0d0d8b98-5717-42a2-9d61-d2a7ed6391db"/>
    <ds:schemaRef ds:uri="http://schemas.microsoft.com/office/2006/documentManagement/types"/>
    <ds:schemaRef ds:uri="http://schemas.openxmlformats.org/package/2006/metadata/core-properties"/>
    <ds:schemaRef ds:uri="fe340c6b-2fba-4de6-9abf-29db0454fe2b"/>
    <ds:schemaRef ds:uri="http://purl.org/dc/terms/"/>
  </ds:schemaRefs>
</ds:datastoreItem>
</file>

<file path=customXml/itemProps21.xml><?xml version="1.0" encoding="utf-8"?>
<ds:datastoreItem xmlns:ds="http://schemas.openxmlformats.org/officeDocument/2006/customXml" ds:itemID="{EBE88C98-4357-4EB9-9B4E-CFE645312AE6}">
  <ds:schemaRefs>
    <ds:schemaRef ds:uri="http://gemini/pivotcustomization/ErrorCache"/>
  </ds:schemaRefs>
</ds:datastoreItem>
</file>

<file path=customXml/itemProps22.xml><?xml version="1.0" encoding="utf-8"?>
<ds:datastoreItem xmlns:ds="http://schemas.openxmlformats.org/officeDocument/2006/customXml" ds:itemID="{7851F7C3-E527-4259-B422-86B0665302FB}">
  <ds:schemaRefs>
    <ds:schemaRef ds:uri="http://gemini/pivotcustomization/TableXML_Quality_Life_1"/>
  </ds:schemaRefs>
</ds:datastoreItem>
</file>

<file path=customXml/itemProps23.xml><?xml version="1.0" encoding="utf-8"?>
<ds:datastoreItem xmlns:ds="http://schemas.openxmlformats.org/officeDocument/2006/customXml" ds:itemID="{AF64F1F6-CAC8-4A2B-8DB5-A068B5B67176}">
  <ds:schemaRefs>
    <ds:schemaRef ds:uri="http://www.w3.org/2001/XMLSchema"/>
    <ds:schemaRef ds:uri="http://microsoft.data.visualization.Client.Excel/1.0"/>
  </ds:schemaRefs>
</ds:datastoreItem>
</file>

<file path=customXml/itemProps24.xml><?xml version="1.0" encoding="utf-8"?>
<ds:datastoreItem xmlns:ds="http://schemas.openxmlformats.org/officeDocument/2006/customXml" ds:itemID="{7A614A84-1FDA-4867-8AE2-D768CABC21BD}">
  <ds:schemaRefs>
    <ds:schemaRef ds:uri="http://gemini/pivotcustomization/MeasureGridState"/>
  </ds:schemaRefs>
</ds:datastoreItem>
</file>

<file path=customXml/itemProps25.xml><?xml version="1.0" encoding="utf-8"?>
<ds:datastoreItem xmlns:ds="http://schemas.openxmlformats.org/officeDocument/2006/customXml" ds:itemID="{55685E41-3157-4FA9-8A03-FBC312E6DD61}">
  <ds:schemaRefs>
    <ds:schemaRef ds:uri="http://gemini/pivotcustomization/TableXML_HC_1_f68e0388-e532-486e-b8cd-1376e5ee237f"/>
  </ds:schemaRefs>
</ds:datastoreItem>
</file>

<file path=customXml/itemProps26.xml><?xml version="1.0" encoding="utf-8"?>
<ds:datastoreItem xmlns:ds="http://schemas.openxmlformats.org/officeDocument/2006/customXml" ds:itemID="{BFFB02FE-9096-4A2F-B359-E8D23001309D}">
  <ds:schemaRefs>
    <ds:schemaRef ds:uri="http://gemini/pivotcustomization/ShowHidden"/>
  </ds:schemaRefs>
</ds:datastoreItem>
</file>

<file path=customXml/itemProps27.xml><?xml version="1.0" encoding="utf-8"?>
<ds:datastoreItem xmlns:ds="http://schemas.openxmlformats.org/officeDocument/2006/customXml" ds:itemID="{47CAC75E-B150-4E8E-8CD4-9FE10E5F9C76}">
  <ds:schemaRefs>
    <ds:schemaRef ds:uri="http://gemini/pivotcustomization/LinkedTableUpdateMo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Dashboard</vt:lpstr>
      <vt:lpstr>Conclusion</vt:lpstr>
      <vt:lpstr>Normalized sheet</vt:lpstr>
      <vt:lpstr>Dataset</vt:lpstr>
      <vt:lpstr>Bibliography</vt:lpstr>
      <vt:lpstr>Group Members</vt:lpstr>
      <vt:lpstr>CrimeRate_Data</vt:lpstr>
      <vt:lpstr>HC_1</vt:lpstr>
      <vt:lpstr>Cost_Of_living_query_1</vt:lpstr>
      <vt:lpstr>QLnCL</vt:lpstr>
      <vt:lpstr>QLnCLnHC</vt:lpstr>
      <vt:lpstr>Final Merged</vt:lpstr>
      <vt:lpstr>Table9</vt:lpstr>
      <vt:lpstr>Quality_Life_1</vt:lpstr>
      <vt:lpstr>Temperature Chart</vt:lpstr>
      <vt:lpstr>Traffic Chart</vt:lpstr>
      <vt:lpstr>Crime chart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Renu Sree Paruchuri</dc:creator>
  <cp:keywords/>
  <dc:description/>
  <cp:lastModifiedBy>Renu Sree Paruchuri</cp:lastModifiedBy>
  <cp:revision/>
  <dcterms:created xsi:type="dcterms:W3CDTF">2015-06-05T18:17:20Z</dcterms:created>
  <dcterms:modified xsi:type="dcterms:W3CDTF">2024-06-15T22:27:01Z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0x0101008F47A7922324D547A1BC39DE4C551C22</vt:lpwstr>
  </property>
</Properties>
</file>